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0785" yWindow="-15" windowWidth="10725" windowHeight="10515"/>
  </bookViews>
  <sheets>
    <sheet name="Reencauchadas" sheetId="1" r:id="rId1"/>
    <sheet name="Compras" sheetId="4" r:id="rId2"/>
    <sheet name="Nuevas" sheetId="3" r:id="rId3"/>
    <sheet name="Distrb_Llant" sheetId="7" r:id="rId4"/>
    <sheet name="Usadas" sheetId="6" r:id="rId5"/>
    <sheet name="Nuevas (Resumen)" sheetId="2" r:id="rId6"/>
    <sheet name="Hoja1" sheetId="8" r:id="rId7"/>
  </sheets>
  <definedNames>
    <definedName name="_xlnm._FilterDatabase" localSheetId="2" hidden="1">Nuevas!$D$804:$O$877</definedName>
    <definedName name="_xlnm._FilterDatabase" localSheetId="5" hidden="1">'Nuevas (Resumen)'!$E$85:$P$158</definedName>
    <definedName name="_xlnm._FilterDatabase" localSheetId="0" hidden="1">Reencauchadas!$E$7:$T$3289</definedName>
    <definedName name="_xlnm._FilterDatabase" localSheetId="4" hidden="1">Usadas!$B$4:$S$191</definedName>
    <definedName name="_xlnm.Print_Area" localSheetId="1">Compras!$B$256:$M$265</definedName>
    <definedName name="_xlnm.Print_Area" localSheetId="3">Distrb_Llant!$S$3:$AG$15</definedName>
    <definedName name="_xlnm.Print_Area" localSheetId="2">Nuevas!$D$110:$O$113</definedName>
    <definedName name="_xlnm.Print_Area" localSheetId="5">'Nuevas (Resumen)'!$C$7:$P$37</definedName>
    <definedName name="_xlnm.Print_Area" localSheetId="0">Reencauchadas!$E$231:$L$242</definedName>
    <definedName name="_xlnm.Print_Area" localSheetId="4">Usadas!#REF!</definedName>
    <definedName name="_xlnm.Print_Titles" localSheetId="1">Compras!$303:$304</definedName>
    <definedName name="_xlnm.Print_Titles" localSheetId="2">Nuevas!$7:$7</definedName>
    <definedName name="_xlnm.Print_Titles" localSheetId="5">'Nuevas (Resumen)'!$38:$39</definedName>
    <definedName name="_xlnm.Print_Titles" localSheetId="0">Reencauchadas!$2:$7</definedName>
  </definedNames>
  <calcPr calcId="124519"/>
</workbook>
</file>

<file path=xl/calcChain.xml><?xml version="1.0" encoding="utf-8"?>
<calcChain xmlns="http://schemas.openxmlformats.org/spreadsheetml/2006/main">
  <c r="O46" i="1"/>
  <c r="O45"/>
  <c r="O44"/>
  <c r="Z49"/>
  <c r="X49"/>
  <c r="W49"/>
  <c r="V49"/>
  <c r="O49"/>
  <c r="Z48"/>
  <c r="X48"/>
  <c r="W48"/>
  <c r="V48"/>
  <c r="O48"/>
  <c r="Z47"/>
  <c r="X47"/>
  <c r="W47"/>
  <c r="V47"/>
  <c r="O47"/>
  <c r="Z46"/>
  <c r="X46"/>
  <c r="W46"/>
  <c r="V46"/>
  <c r="Z45"/>
  <c r="X45"/>
  <c r="W45"/>
  <c r="V45"/>
  <c r="Z44"/>
  <c r="X44"/>
  <c r="W44"/>
  <c r="V44"/>
  <c r="Z43"/>
  <c r="X43"/>
  <c r="W43"/>
  <c r="V43"/>
  <c r="O43"/>
  <c r="Z42"/>
  <c r="X42"/>
  <c r="W42"/>
  <c r="V42"/>
  <c r="O42"/>
  <c r="T156" i="6"/>
  <c r="T155"/>
  <c r="T154"/>
  <c r="T153"/>
  <c r="T152"/>
  <c r="Z55" i="1"/>
  <c r="X55"/>
  <c r="W55"/>
  <c r="V55"/>
  <c r="Z54"/>
  <c r="X54"/>
  <c r="W54"/>
  <c r="V54"/>
  <c r="Z51"/>
  <c r="X51"/>
  <c r="W51"/>
  <c r="V51"/>
  <c r="Z50"/>
  <c r="X50"/>
  <c r="W50"/>
  <c r="V50"/>
  <c r="Z41"/>
  <c r="X41"/>
  <c r="W41"/>
  <c r="V41"/>
  <c r="O41"/>
  <c r="Z40"/>
  <c r="X40"/>
  <c r="W40"/>
  <c r="V40"/>
  <c r="O40"/>
  <c r="Z39"/>
  <c r="X39"/>
  <c r="W39"/>
  <c r="V39"/>
  <c r="O39"/>
  <c r="Z38"/>
  <c r="X38"/>
  <c r="W38"/>
  <c r="V38"/>
  <c r="O38"/>
  <c r="Z37"/>
  <c r="X37"/>
  <c r="W37"/>
  <c r="V37"/>
  <c r="O37"/>
  <c r="Z36"/>
  <c r="X36"/>
  <c r="W36"/>
  <c r="V36"/>
  <c r="O36"/>
  <c r="Z35"/>
  <c r="X35"/>
  <c r="W35"/>
  <c r="V35"/>
  <c r="O35"/>
  <c r="Z34"/>
  <c r="X34"/>
  <c r="W34"/>
  <c r="V34"/>
  <c r="O34"/>
  <c r="Z33"/>
  <c r="X33"/>
  <c r="W33"/>
  <c r="V33"/>
  <c r="O33"/>
  <c r="Z32"/>
  <c r="X32"/>
  <c r="W32"/>
  <c r="V32"/>
  <c r="O32"/>
  <c r="Z31"/>
  <c r="X31"/>
  <c r="W31"/>
  <c r="V31"/>
  <c r="O31"/>
  <c r="Z30"/>
  <c r="X30"/>
  <c r="W30"/>
  <c r="V30"/>
  <c r="O30"/>
  <c r="Z29"/>
  <c r="X29"/>
  <c r="W29"/>
  <c r="V29"/>
  <c r="O29"/>
  <c r="Z28"/>
  <c r="X28"/>
  <c r="W28"/>
  <c r="V28"/>
  <c r="O28"/>
  <c r="Z27"/>
  <c r="X27"/>
  <c r="W27"/>
  <c r="V27"/>
  <c r="O27"/>
  <c r="Z26"/>
  <c r="X26"/>
  <c r="W26"/>
  <c r="V26"/>
  <c r="O26"/>
  <c r="Z25"/>
  <c r="X25"/>
  <c r="W25"/>
  <c r="V25"/>
  <c r="O25"/>
  <c r="Z24"/>
  <c r="X24"/>
  <c r="W24"/>
  <c r="V24"/>
  <c r="O24"/>
  <c r="Z23"/>
  <c r="X23"/>
  <c r="W23"/>
  <c r="V23"/>
  <c r="O23"/>
  <c r="Z22"/>
  <c r="X22"/>
  <c r="W22"/>
  <c r="V22"/>
  <c r="O22"/>
  <c r="Z21"/>
  <c r="X21"/>
  <c r="W21"/>
  <c r="V21"/>
  <c r="O21"/>
  <c r="V53"/>
  <c r="O67"/>
  <c r="Z68"/>
  <c r="X68"/>
  <c r="W68"/>
  <c r="V68"/>
  <c r="Z67"/>
  <c r="X67"/>
  <c r="W67"/>
  <c r="V67"/>
  <c r="Z66"/>
  <c r="X66"/>
  <c r="W66"/>
  <c r="V66"/>
  <c r="Z65"/>
  <c r="X65"/>
  <c r="W65"/>
  <c r="V65"/>
  <c r="Z64"/>
  <c r="X64"/>
  <c r="W64"/>
  <c r="V64"/>
  <c r="Z63"/>
  <c r="X63"/>
  <c r="W63"/>
  <c r="V63"/>
  <c r="Z62"/>
  <c r="X62"/>
  <c r="W62"/>
  <c r="V62"/>
  <c r="Z61"/>
  <c r="X61"/>
  <c r="W61"/>
  <c r="V61"/>
  <c r="Z60"/>
  <c r="X60"/>
  <c r="W60"/>
  <c r="V60"/>
  <c r="Z59"/>
  <c r="X59"/>
  <c r="W59"/>
  <c r="V59"/>
  <c r="Z58"/>
  <c r="X58"/>
  <c r="W58"/>
  <c r="V58"/>
  <c r="Z57"/>
  <c r="X57"/>
  <c r="W57"/>
  <c r="V57"/>
  <c r="O57"/>
  <c r="Z56"/>
  <c r="X56"/>
  <c r="W56"/>
  <c r="V56"/>
  <c r="O56"/>
  <c r="Z53"/>
  <c r="X53"/>
  <c r="W53"/>
  <c r="Z52"/>
  <c r="X52"/>
  <c r="W52"/>
  <c r="V52"/>
  <c r="O36" i="4"/>
  <c r="O34"/>
  <c r="P36"/>
  <c r="P35"/>
  <c r="P34"/>
  <c r="P33"/>
  <c r="H35"/>
  <c r="W35" s="1"/>
  <c r="H34"/>
  <c r="H33"/>
  <c r="X33" s="1"/>
  <c r="H32"/>
  <c r="X32" s="1"/>
  <c r="V34"/>
  <c r="U34"/>
  <c r="W34"/>
  <c r="V33"/>
  <c r="U33"/>
  <c r="N36"/>
  <c r="H36"/>
  <c r="W36" s="1"/>
  <c r="V35"/>
  <c r="U35"/>
  <c r="I35"/>
  <c r="Q35" s="1"/>
  <c r="R35" s="1"/>
  <c r="S35" s="1"/>
  <c r="X35"/>
  <c r="N32"/>
  <c r="I33" l="1"/>
  <c r="Q33" s="1"/>
  <c r="R33" s="1"/>
  <c r="S33" s="1"/>
  <c r="W33"/>
  <c r="X34"/>
  <c r="I34"/>
  <c r="Q34" s="1"/>
  <c r="R34" s="1"/>
  <c r="S34" s="1"/>
  <c r="I32"/>
  <c r="T32"/>
  <c r="U32" s="1"/>
  <c r="W32"/>
  <c r="I36"/>
  <c r="Q36" s="1"/>
  <c r="R36" s="1"/>
  <c r="S36" s="1"/>
  <c r="X36"/>
  <c r="Q87" i="1"/>
  <c r="Z91"/>
  <c r="X91"/>
  <c r="W91"/>
  <c r="V91"/>
  <c r="T151" i="6"/>
  <c r="T150"/>
  <c r="Z87" i="1"/>
  <c r="X87"/>
  <c r="W87"/>
  <c r="V87"/>
  <c r="O87"/>
  <c r="Z86"/>
  <c r="X86"/>
  <c r="W86"/>
  <c r="V86"/>
  <c r="Z88"/>
  <c r="X88"/>
  <c r="W88"/>
  <c r="V88"/>
  <c r="O88"/>
  <c r="Z85"/>
  <c r="X85"/>
  <c r="W85"/>
  <c r="V85"/>
  <c r="Z89"/>
  <c r="X89"/>
  <c r="W89"/>
  <c r="V89"/>
  <c r="O89"/>
  <c r="Z84"/>
  <c r="X84"/>
  <c r="W84"/>
  <c r="V84"/>
  <c r="Z83"/>
  <c r="X83"/>
  <c r="W83"/>
  <c r="V83"/>
  <c r="Z80"/>
  <c r="X80"/>
  <c r="W80"/>
  <c r="V80"/>
  <c r="Z79"/>
  <c r="X79"/>
  <c r="W79"/>
  <c r="V79"/>
  <c r="Z82"/>
  <c r="X82"/>
  <c r="W82"/>
  <c r="V82"/>
  <c r="O82"/>
  <c r="Z78"/>
  <c r="X78"/>
  <c r="W78"/>
  <c r="V78"/>
  <c r="Z77"/>
  <c r="X77"/>
  <c r="W77"/>
  <c r="V77"/>
  <c r="Z81"/>
  <c r="X81"/>
  <c r="W81"/>
  <c r="V81"/>
  <c r="O81"/>
  <c r="Z76"/>
  <c r="X76"/>
  <c r="W76"/>
  <c r="V76"/>
  <c r="O76"/>
  <c r="Z74"/>
  <c r="X74"/>
  <c r="W74"/>
  <c r="V74"/>
  <c r="O74"/>
  <c r="Z73"/>
  <c r="X73"/>
  <c r="W73"/>
  <c r="V73"/>
  <c r="Z72"/>
  <c r="X72"/>
  <c r="W72"/>
  <c r="V72"/>
  <c r="Z71"/>
  <c r="X71"/>
  <c r="W71"/>
  <c r="V71"/>
  <c r="Z70"/>
  <c r="X70"/>
  <c r="W70"/>
  <c r="V70"/>
  <c r="Z75"/>
  <c r="X75"/>
  <c r="W75"/>
  <c r="V75"/>
  <c r="O75"/>
  <c r="Z69"/>
  <c r="X69"/>
  <c r="W69"/>
  <c r="V69"/>
  <c r="Z20"/>
  <c r="X20"/>
  <c r="W20"/>
  <c r="V20"/>
  <c r="O20"/>
  <c r="Z105"/>
  <c r="X105"/>
  <c r="W105"/>
  <c r="V105"/>
  <c r="T149" i="6"/>
  <c r="T148"/>
  <c r="AC17" i="4"/>
  <c r="AF17"/>
  <c r="AC18"/>
  <c r="AF18"/>
  <c r="AC19"/>
  <c r="AF19"/>
  <c r="Z20"/>
  <c r="AD20"/>
  <c r="AC22"/>
  <c r="AF22"/>
  <c r="AC23"/>
  <c r="AF23"/>
  <c r="Z24"/>
  <c r="AD24"/>
  <c r="AD26"/>
  <c r="AD27"/>
  <c r="AD28" s="1"/>
  <c r="T147" i="6"/>
  <c r="T146"/>
  <c r="Q106" i="1"/>
  <c r="Z104"/>
  <c r="X104"/>
  <c r="W104"/>
  <c r="V104"/>
  <c r="Z103"/>
  <c r="X103"/>
  <c r="W103"/>
  <c r="V103"/>
  <c r="Z102"/>
  <c r="X102"/>
  <c r="W102"/>
  <c r="V102"/>
  <c r="Z101"/>
  <c r="X101"/>
  <c r="W101"/>
  <c r="V101"/>
  <c r="Z100"/>
  <c r="X100"/>
  <c r="W100"/>
  <c r="V100"/>
  <c r="Z99"/>
  <c r="X99"/>
  <c r="W99"/>
  <c r="V99"/>
  <c r="Z98"/>
  <c r="X98"/>
  <c r="W98"/>
  <c r="V98"/>
  <c r="Z97"/>
  <c r="X97"/>
  <c r="W97"/>
  <c r="V97"/>
  <c r="Z96"/>
  <c r="X96"/>
  <c r="W96"/>
  <c r="V96"/>
  <c r="Z93"/>
  <c r="X93"/>
  <c r="W93"/>
  <c r="V93"/>
  <c r="Z92"/>
  <c r="X92"/>
  <c r="W92"/>
  <c r="V92"/>
  <c r="Z95"/>
  <c r="X95"/>
  <c r="W95"/>
  <c r="V95"/>
  <c r="Z90"/>
  <c r="X90"/>
  <c r="W90"/>
  <c r="V90"/>
  <c r="O126"/>
  <c r="Z114"/>
  <c r="X114"/>
  <c r="W114"/>
  <c r="V114"/>
  <c r="Z113"/>
  <c r="X113"/>
  <c r="W113"/>
  <c r="V113"/>
  <c r="Z112"/>
  <c r="X112"/>
  <c r="W112"/>
  <c r="V112"/>
  <c r="Z111"/>
  <c r="X111"/>
  <c r="W111"/>
  <c r="V111"/>
  <c r="Z110"/>
  <c r="X110"/>
  <c r="W110"/>
  <c r="V110"/>
  <c r="Z109"/>
  <c r="X109"/>
  <c r="W109"/>
  <c r="V109"/>
  <c r="Z108"/>
  <c r="X108"/>
  <c r="W108"/>
  <c r="V108"/>
  <c r="Z119"/>
  <c r="X119"/>
  <c r="W119"/>
  <c r="V119"/>
  <c r="O119"/>
  <c r="Z107"/>
  <c r="X107"/>
  <c r="W107"/>
  <c r="V107"/>
  <c r="Z106"/>
  <c r="X106"/>
  <c r="W106"/>
  <c r="V106"/>
  <c r="O106"/>
  <c r="T145" i="6"/>
  <c r="T144"/>
  <c r="Z130" i="1"/>
  <c r="X130"/>
  <c r="W130"/>
  <c r="V130"/>
  <c r="Z129"/>
  <c r="X129"/>
  <c r="W129"/>
  <c r="V129"/>
  <c r="Z128"/>
  <c r="X128"/>
  <c r="W128"/>
  <c r="V128"/>
  <c r="Z127"/>
  <c r="X127"/>
  <c r="W127"/>
  <c r="V127"/>
  <c r="Z126"/>
  <c r="X126"/>
  <c r="W126"/>
  <c r="V126"/>
  <c r="Z125"/>
  <c r="X125"/>
  <c r="W125"/>
  <c r="V125"/>
  <c r="Z123"/>
  <c r="X123"/>
  <c r="W123"/>
  <c r="V123"/>
  <c r="O123"/>
  <c r="Z122"/>
  <c r="X122"/>
  <c r="W122"/>
  <c r="V122"/>
  <c r="Z121"/>
  <c r="X121"/>
  <c r="W121"/>
  <c r="V121"/>
  <c r="Z120"/>
  <c r="X120"/>
  <c r="W120"/>
  <c r="V120"/>
  <c r="Z124"/>
  <c r="X124"/>
  <c r="W124"/>
  <c r="V124"/>
  <c r="Z118"/>
  <c r="X118"/>
  <c r="W118"/>
  <c r="V118"/>
  <c r="Z117"/>
  <c r="X117"/>
  <c r="W117"/>
  <c r="V117"/>
  <c r="Z116"/>
  <c r="X116"/>
  <c r="W116"/>
  <c r="V116"/>
  <c r="Z115"/>
  <c r="X115"/>
  <c r="W115"/>
  <c r="V115"/>
  <c r="T143" i="6"/>
  <c r="B96" i="3"/>
  <c r="N31" i="4"/>
  <c r="H30"/>
  <c r="H31"/>
  <c r="H29"/>
  <c r="P32" l="1"/>
  <c r="J32"/>
  <c r="K32" s="1"/>
  <c r="M32" s="1"/>
  <c r="N28"/>
  <c r="H28"/>
  <c r="W28" s="1"/>
  <c r="V27"/>
  <c r="U27"/>
  <c r="H27"/>
  <c r="W27" s="1"/>
  <c r="N26"/>
  <c r="H26"/>
  <c r="X26" s="1"/>
  <c r="Z148" i="1"/>
  <c r="X148"/>
  <c r="W148"/>
  <c r="V148"/>
  <c r="O148"/>
  <c r="Z140"/>
  <c r="X140"/>
  <c r="W140"/>
  <c r="V140"/>
  <c r="O140"/>
  <c r="Z138"/>
  <c r="X138"/>
  <c r="W138"/>
  <c r="V138"/>
  <c r="O138"/>
  <c r="Z139"/>
  <c r="X139"/>
  <c r="W139"/>
  <c r="V139"/>
  <c r="O139"/>
  <c r="Z137"/>
  <c r="X137"/>
  <c r="W137"/>
  <c r="V137"/>
  <c r="O137"/>
  <c r="Z136"/>
  <c r="X136"/>
  <c r="W136"/>
  <c r="V136"/>
  <c r="Z135"/>
  <c r="X135"/>
  <c r="W135"/>
  <c r="V135"/>
  <c r="Z134"/>
  <c r="X134"/>
  <c r="W134"/>
  <c r="V134"/>
  <c r="O130"/>
  <c r="Z133"/>
  <c r="X133"/>
  <c r="W133"/>
  <c r="V133"/>
  <c r="Z132"/>
  <c r="X132"/>
  <c r="W132"/>
  <c r="V132"/>
  <c r="Z131"/>
  <c r="X131"/>
  <c r="W131"/>
  <c r="V131"/>
  <c r="T142" i="6"/>
  <c r="T141"/>
  <c r="T140"/>
  <c r="Z164" i="1"/>
  <c r="X164"/>
  <c r="W164"/>
  <c r="V164"/>
  <c r="O164"/>
  <c r="Z163"/>
  <c r="X163"/>
  <c r="W163"/>
  <c r="V163"/>
  <c r="O163"/>
  <c r="Z162"/>
  <c r="X162"/>
  <c r="W162"/>
  <c r="V162"/>
  <c r="O162"/>
  <c r="T139" i="6"/>
  <c r="T138"/>
  <c r="T137"/>
  <c r="Z180" i="1"/>
  <c r="X180"/>
  <c r="W180"/>
  <c r="Q180"/>
  <c r="V180" s="1"/>
  <c r="Z179"/>
  <c r="X179"/>
  <c r="W179"/>
  <c r="Q179"/>
  <c r="V179" s="1"/>
  <c r="Z178"/>
  <c r="X178"/>
  <c r="W178"/>
  <c r="Q178"/>
  <c r="V178" s="1"/>
  <c r="Q187"/>
  <c r="Q186"/>
  <c r="Q185"/>
  <c r="Q184"/>
  <c r="Q183"/>
  <c r="Q182"/>
  <c r="Q181"/>
  <c r="X193"/>
  <c r="X192"/>
  <c r="X191"/>
  <c r="X190"/>
  <c r="X189"/>
  <c r="X188"/>
  <c r="T136" i="6"/>
  <c r="T133"/>
  <c r="T132"/>
  <c r="T131"/>
  <c r="T130"/>
  <c r="T129"/>
  <c r="T128"/>
  <c r="T127"/>
  <c r="T126"/>
  <c r="T125"/>
  <c r="T124"/>
  <c r="Q32" i="4" l="1"/>
  <c r="R32" s="1"/>
  <c r="S32" s="1"/>
  <c r="O32"/>
  <c r="W26"/>
  <c r="I26"/>
  <c r="T26"/>
  <c r="U26" s="1"/>
  <c r="I28"/>
  <c r="P28" s="1"/>
  <c r="Q28" s="1"/>
  <c r="R28" s="1"/>
  <c r="S28" s="1"/>
  <c r="X28"/>
  <c r="P26"/>
  <c r="X27"/>
  <c r="I27"/>
  <c r="P27" s="1"/>
  <c r="Q27" s="1"/>
  <c r="R27" s="1"/>
  <c r="S27" s="1"/>
  <c r="A124" i="6"/>
  <c r="A125" s="1"/>
  <c r="A126" s="1"/>
  <c r="A127" s="1"/>
  <c r="A128" s="1"/>
  <c r="A129" s="1"/>
  <c r="A130" s="1"/>
  <c r="A131" s="1"/>
  <c r="A132" s="1"/>
  <c r="A133" s="1"/>
  <c r="B124"/>
  <c r="B125" s="1"/>
  <c r="B126" s="1"/>
  <c r="B127" s="1"/>
  <c r="B128" s="1"/>
  <c r="B129" s="1"/>
  <c r="B130" s="1"/>
  <c r="B131" s="1"/>
  <c r="B132" s="1"/>
  <c r="B133" s="1"/>
  <c r="Z175" i="1"/>
  <c r="X175"/>
  <c r="W175"/>
  <c r="V175"/>
  <c r="O175"/>
  <c r="Z172"/>
  <c r="X172"/>
  <c r="W172"/>
  <c r="V172"/>
  <c r="O172"/>
  <c r="Z171"/>
  <c r="X171"/>
  <c r="W171"/>
  <c r="V171"/>
  <c r="O171"/>
  <c r="Z161"/>
  <c r="X161"/>
  <c r="W161"/>
  <c r="V161"/>
  <c r="O161"/>
  <c r="Z160"/>
  <c r="X160"/>
  <c r="W160"/>
  <c r="V160"/>
  <c r="O160"/>
  <c r="Z159"/>
  <c r="X159"/>
  <c r="W159"/>
  <c r="V159"/>
  <c r="O159"/>
  <c r="Z158"/>
  <c r="X158"/>
  <c r="W158"/>
  <c r="V158"/>
  <c r="O158"/>
  <c r="Z157"/>
  <c r="X157"/>
  <c r="W157"/>
  <c r="V157"/>
  <c r="O157"/>
  <c r="Z156"/>
  <c r="X156"/>
  <c r="W156"/>
  <c r="V156"/>
  <c r="O156"/>
  <c r="Z155"/>
  <c r="X155"/>
  <c r="W155"/>
  <c r="V155"/>
  <c r="O155"/>
  <c r="Z154"/>
  <c r="X154"/>
  <c r="W154"/>
  <c r="V154"/>
  <c r="O154"/>
  <c r="Z153"/>
  <c r="X153"/>
  <c r="W153"/>
  <c r="V153"/>
  <c r="O153"/>
  <c r="Z152"/>
  <c r="X152"/>
  <c r="W152"/>
  <c r="V152"/>
  <c r="O152"/>
  <c r="Z151"/>
  <c r="X151"/>
  <c r="W151"/>
  <c r="V151"/>
  <c r="O151"/>
  <c r="Z150"/>
  <c r="X150"/>
  <c r="W150"/>
  <c r="V150"/>
  <c r="O150"/>
  <c r="Z149"/>
  <c r="X149"/>
  <c r="W149"/>
  <c r="V149"/>
  <c r="O149"/>
  <c r="Z147"/>
  <c r="X147"/>
  <c r="W147"/>
  <c r="V147"/>
  <c r="Z146"/>
  <c r="X146"/>
  <c r="W146"/>
  <c r="V146"/>
  <c r="Z145"/>
  <c r="X145"/>
  <c r="W145"/>
  <c r="V145"/>
  <c r="O145"/>
  <c r="Z144"/>
  <c r="X144"/>
  <c r="W144"/>
  <c r="V144"/>
  <c r="O144"/>
  <c r="Z143"/>
  <c r="X143"/>
  <c r="W143"/>
  <c r="V143"/>
  <c r="O143"/>
  <c r="Z142"/>
  <c r="X142"/>
  <c r="W142"/>
  <c r="V142"/>
  <c r="O142"/>
  <c r="Z141"/>
  <c r="X141"/>
  <c r="W141"/>
  <c r="V141"/>
  <c r="O141"/>
  <c r="T135" i="6"/>
  <c r="T134"/>
  <c r="Z198" i="1"/>
  <c r="X198"/>
  <c r="W198"/>
  <c r="V198"/>
  <c r="O198"/>
  <c r="Z197"/>
  <c r="X197"/>
  <c r="W197"/>
  <c r="V197"/>
  <c r="O197"/>
  <c r="T123" i="6"/>
  <c r="O202" i="1"/>
  <c r="O203"/>
  <c r="N25" i="4"/>
  <c r="H25"/>
  <c r="W25" s="1"/>
  <c r="V24"/>
  <c r="U24"/>
  <c r="H24"/>
  <c r="W24" s="1"/>
  <c r="N23"/>
  <c r="H23"/>
  <c r="X23" s="1"/>
  <c r="V206" i="1"/>
  <c r="V205"/>
  <c r="O209"/>
  <c r="O210"/>
  <c r="O211"/>
  <c r="O212"/>
  <c r="O214"/>
  <c r="O215"/>
  <c r="O216"/>
  <c r="O217"/>
  <c r="V224"/>
  <c r="O224"/>
  <c r="Z224"/>
  <c r="X224"/>
  <c r="Z206"/>
  <c r="X206"/>
  <c r="W206"/>
  <c r="O206"/>
  <c r="T122" i="6"/>
  <c r="Z189" i="1"/>
  <c r="W189"/>
  <c r="V189"/>
  <c r="O189"/>
  <c r="Z188"/>
  <c r="W188"/>
  <c r="V188"/>
  <c r="O188"/>
  <c r="Z191"/>
  <c r="W191"/>
  <c r="V191"/>
  <c r="O191"/>
  <c r="Z187"/>
  <c r="X187"/>
  <c r="W187"/>
  <c r="V187"/>
  <c r="O187"/>
  <c r="Z186"/>
  <c r="X186"/>
  <c r="W186"/>
  <c r="V186"/>
  <c r="Z185"/>
  <c r="X185"/>
  <c r="W185"/>
  <c r="V185"/>
  <c r="Z184"/>
  <c r="X184"/>
  <c r="W184"/>
  <c r="V184"/>
  <c r="Z183"/>
  <c r="X183"/>
  <c r="W183"/>
  <c r="V183"/>
  <c r="Z182"/>
  <c r="X182"/>
  <c r="W182"/>
  <c r="V182"/>
  <c r="Z181"/>
  <c r="X181"/>
  <c r="W181"/>
  <c r="V181"/>
  <c r="Z177"/>
  <c r="X177"/>
  <c r="W177"/>
  <c r="V177"/>
  <c r="O177"/>
  <c r="Z176"/>
  <c r="X176"/>
  <c r="W176"/>
  <c r="V176"/>
  <c r="O176"/>
  <c r="Z170"/>
  <c r="X170"/>
  <c r="W170"/>
  <c r="V170"/>
  <c r="O170"/>
  <c r="Z174"/>
  <c r="X174"/>
  <c r="W174"/>
  <c r="V174"/>
  <c r="O174"/>
  <c r="Z173"/>
  <c r="X173"/>
  <c r="W173"/>
  <c r="V173"/>
  <c r="O173"/>
  <c r="Z169"/>
  <c r="X169"/>
  <c r="W169"/>
  <c r="V169"/>
  <c r="O169"/>
  <c r="Z168"/>
  <c r="X168"/>
  <c r="W168"/>
  <c r="V168"/>
  <c r="O168"/>
  <c r="Z167"/>
  <c r="X167"/>
  <c r="W167"/>
  <c r="V167"/>
  <c r="O167"/>
  <c r="Z166"/>
  <c r="X166"/>
  <c r="W166"/>
  <c r="V166"/>
  <c r="O166"/>
  <c r="Z165"/>
  <c r="X165"/>
  <c r="W165"/>
  <c r="V165"/>
  <c r="O165"/>
  <c r="Z212"/>
  <c r="X212"/>
  <c r="W212"/>
  <c r="V212"/>
  <c r="Z211"/>
  <c r="X211"/>
  <c r="W211"/>
  <c r="V211"/>
  <c r="Z210"/>
  <c r="X210"/>
  <c r="W210"/>
  <c r="V210"/>
  <c r="Z209"/>
  <c r="X209"/>
  <c r="W209"/>
  <c r="V209"/>
  <c r="Z208"/>
  <c r="X208"/>
  <c r="W208"/>
  <c r="V208"/>
  <c r="Z207"/>
  <c r="X207"/>
  <c r="W207"/>
  <c r="V207"/>
  <c r="O207"/>
  <c r="Z205"/>
  <c r="X205"/>
  <c r="W205"/>
  <c r="O205"/>
  <c r="Z204"/>
  <c r="X204"/>
  <c r="W204"/>
  <c r="V204"/>
  <c r="O204"/>
  <c r="Z203"/>
  <c r="X203"/>
  <c r="W203"/>
  <c r="V203"/>
  <c r="Z202"/>
  <c r="X202"/>
  <c r="W202"/>
  <c r="V202"/>
  <c r="Z201"/>
  <c r="X201"/>
  <c r="W201"/>
  <c r="V201"/>
  <c r="O201"/>
  <c r="Z200"/>
  <c r="X200"/>
  <c r="W200"/>
  <c r="V200"/>
  <c r="O200"/>
  <c r="Z199"/>
  <c r="X199"/>
  <c r="W199"/>
  <c r="V199"/>
  <c r="O199"/>
  <c r="Z196"/>
  <c r="X196"/>
  <c r="W196"/>
  <c r="V196"/>
  <c r="O196"/>
  <c r="Z195"/>
  <c r="X195"/>
  <c r="W195"/>
  <c r="V195"/>
  <c r="O195"/>
  <c r="Z194"/>
  <c r="X194"/>
  <c r="W194"/>
  <c r="V194"/>
  <c r="O194"/>
  <c r="Z193"/>
  <c r="W193"/>
  <c r="V193"/>
  <c r="O193"/>
  <c r="Z192"/>
  <c r="W192"/>
  <c r="V192"/>
  <c r="O192"/>
  <c r="Z190"/>
  <c r="W190"/>
  <c r="V190"/>
  <c r="O190"/>
  <c r="X3289"/>
  <c r="X3288"/>
  <c r="X3287"/>
  <c r="X3286"/>
  <c r="X3285"/>
  <c r="X3284"/>
  <c r="X3283"/>
  <c r="X3282"/>
  <c r="X3281"/>
  <c r="X3280"/>
  <c r="X3279"/>
  <c r="X3278"/>
  <c r="X3277"/>
  <c r="X3276"/>
  <c r="X3275"/>
  <c r="X3274"/>
  <c r="X3273"/>
  <c r="X3272"/>
  <c r="X3271"/>
  <c r="X3270"/>
  <c r="X3269"/>
  <c r="X3268"/>
  <c r="X3267"/>
  <c r="X3266"/>
  <c r="X3265"/>
  <c r="X3264"/>
  <c r="X3263"/>
  <c r="X3262"/>
  <c r="X3261"/>
  <c r="X3260"/>
  <c r="X3259"/>
  <c r="X3258"/>
  <c r="X3257"/>
  <c r="X3256"/>
  <c r="X3255"/>
  <c r="X3254"/>
  <c r="X3253"/>
  <c r="X3252"/>
  <c r="X3251"/>
  <c r="X3250"/>
  <c r="X3249"/>
  <c r="X3248"/>
  <c r="X3247"/>
  <c r="X3246"/>
  <c r="X3245"/>
  <c r="X3244"/>
  <c r="X3243"/>
  <c r="X3242"/>
  <c r="X3241"/>
  <c r="X3240"/>
  <c r="X3239"/>
  <c r="X3238"/>
  <c r="X3237"/>
  <c r="X3236"/>
  <c r="X3235"/>
  <c r="X3234"/>
  <c r="X3233"/>
  <c r="X3232"/>
  <c r="X3231"/>
  <c r="X3230"/>
  <c r="X3229"/>
  <c r="X3228"/>
  <c r="X3227"/>
  <c r="X3226"/>
  <c r="X3225"/>
  <c r="X3224"/>
  <c r="X3223"/>
  <c r="X3222"/>
  <c r="X3221"/>
  <c r="X3220"/>
  <c r="X3219"/>
  <c r="X3218"/>
  <c r="X3217"/>
  <c r="X3216"/>
  <c r="X3215"/>
  <c r="X3214"/>
  <c r="X3213"/>
  <c r="X3212"/>
  <c r="X3211"/>
  <c r="X3210"/>
  <c r="X3209"/>
  <c r="X3208"/>
  <c r="X3207"/>
  <c r="X3206"/>
  <c r="X3205"/>
  <c r="X3204"/>
  <c r="X3203"/>
  <c r="X3202"/>
  <c r="X3201"/>
  <c r="X3200"/>
  <c r="X3199"/>
  <c r="X3198"/>
  <c r="X3197"/>
  <c r="X3196"/>
  <c r="X3195"/>
  <c r="X3194"/>
  <c r="X3193"/>
  <c r="X3192"/>
  <c r="X3191"/>
  <c r="X3190"/>
  <c r="X3189"/>
  <c r="X3188"/>
  <c r="X3187"/>
  <c r="X3186"/>
  <c r="X3185"/>
  <c r="X3184"/>
  <c r="X3183"/>
  <c r="X3182"/>
  <c r="X3181"/>
  <c r="X3180"/>
  <c r="X3179"/>
  <c r="X3178"/>
  <c r="X3177"/>
  <c r="X3176"/>
  <c r="X3175"/>
  <c r="X3174"/>
  <c r="X3173"/>
  <c r="X3172"/>
  <c r="X3171"/>
  <c r="X3170"/>
  <c r="X3169"/>
  <c r="X3168"/>
  <c r="X3167"/>
  <c r="X3166"/>
  <c r="X3165"/>
  <c r="X3164"/>
  <c r="X3163"/>
  <c r="X3162"/>
  <c r="X3161"/>
  <c r="X3160"/>
  <c r="X3159"/>
  <c r="X3158"/>
  <c r="X3157"/>
  <c r="X3156"/>
  <c r="X3155"/>
  <c r="X3154"/>
  <c r="X3153"/>
  <c r="X3152"/>
  <c r="X3151"/>
  <c r="X3150"/>
  <c r="X3149"/>
  <c r="X3148"/>
  <c r="X3147"/>
  <c r="X3146"/>
  <c r="X3145"/>
  <c r="X3144"/>
  <c r="X3143"/>
  <c r="X3142"/>
  <c r="X3141"/>
  <c r="X3140"/>
  <c r="X3139"/>
  <c r="X3138"/>
  <c r="X3137"/>
  <c r="X3136"/>
  <c r="X3135"/>
  <c r="X3134"/>
  <c r="X3133"/>
  <c r="X3132"/>
  <c r="X3131"/>
  <c r="X3130"/>
  <c r="X3129"/>
  <c r="X3128"/>
  <c r="X3127"/>
  <c r="X3126"/>
  <c r="X3125"/>
  <c r="X3124"/>
  <c r="X3123"/>
  <c r="X3122"/>
  <c r="X3121"/>
  <c r="X3120"/>
  <c r="X3119"/>
  <c r="X3118"/>
  <c r="X3117"/>
  <c r="X3116"/>
  <c r="X3115"/>
  <c r="X3114"/>
  <c r="X3113"/>
  <c r="X3112"/>
  <c r="X3111"/>
  <c r="X3110"/>
  <c r="X3109"/>
  <c r="X3108"/>
  <c r="X3107"/>
  <c r="X3106"/>
  <c r="X3105"/>
  <c r="X3104"/>
  <c r="X3103"/>
  <c r="X3102"/>
  <c r="X3101"/>
  <c r="X3100"/>
  <c r="X3099"/>
  <c r="X3098"/>
  <c r="X3097"/>
  <c r="X3096"/>
  <c r="X3095"/>
  <c r="X3094"/>
  <c r="X3093"/>
  <c r="X3092"/>
  <c r="X3091"/>
  <c r="X3090"/>
  <c r="X3089"/>
  <c r="X3088"/>
  <c r="X3087"/>
  <c r="X3086"/>
  <c r="X3085"/>
  <c r="X3084"/>
  <c r="X3083"/>
  <c r="X3082"/>
  <c r="X3081"/>
  <c r="X3080"/>
  <c r="X3079"/>
  <c r="X3078"/>
  <c r="X3077"/>
  <c r="X3076"/>
  <c r="X3075"/>
  <c r="X3074"/>
  <c r="X3073"/>
  <c r="X3072"/>
  <c r="X3071"/>
  <c r="X3070"/>
  <c r="X3069"/>
  <c r="X3068"/>
  <c r="X3067"/>
  <c r="X3066"/>
  <c r="X3065"/>
  <c r="X3064"/>
  <c r="X3063"/>
  <c r="X3062"/>
  <c r="X3061"/>
  <c r="X3060"/>
  <c r="X3059"/>
  <c r="X3058"/>
  <c r="X3057"/>
  <c r="X3056"/>
  <c r="X3055"/>
  <c r="X3054"/>
  <c r="X3053"/>
  <c r="X3052"/>
  <c r="X3051"/>
  <c r="X3050"/>
  <c r="X3049"/>
  <c r="X3048"/>
  <c r="X3047"/>
  <c r="X3046"/>
  <c r="X3045"/>
  <c r="X3044"/>
  <c r="X3043"/>
  <c r="X3042"/>
  <c r="X3041"/>
  <c r="X3040"/>
  <c r="X3039"/>
  <c r="X3038"/>
  <c r="X3037"/>
  <c r="X3036"/>
  <c r="X3035"/>
  <c r="X3034"/>
  <c r="X3033"/>
  <c r="X3032"/>
  <c r="X3031"/>
  <c r="X3030"/>
  <c r="X3029"/>
  <c r="X3028"/>
  <c r="X3027"/>
  <c r="X3026"/>
  <c r="X3025"/>
  <c r="X3024"/>
  <c r="X3023"/>
  <c r="X3022"/>
  <c r="X3021"/>
  <c r="X3020"/>
  <c r="X3019"/>
  <c r="X3018"/>
  <c r="X3017"/>
  <c r="X3016"/>
  <c r="X3015"/>
  <c r="X3014"/>
  <c r="X3013"/>
  <c r="X3012"/>
  <c r="X3011"/>
  <c r="X3010"/>
  <c r="X3009"/>
  <c r="X3008"/>
  <c r="X3007"/>
  <c r="X3006"/>
  <c r="X3005"/>
  <c r="X3004"/>
  <c r="X3003"/>
  <c r="X3002"/>
  <c r="X3001"/>
  <c r="X3000"/>
  <c r="X2999"/>
  <c r="X2998"/>
  <c r="X2997"/>
  <c r="X2996"/>
  <c r="X2995"/>
  <c r="X2994"/>
  <c r="X2993"/>
  <c r="X2992"/>
  <c r="X2991"/>
  <c r="X2990"/>
  <c r="X2989"/>
  <c r="X2988"/>
  <c r="X2987"/>
  <c r="X2986"/>
  <c r="X2985"/>
  <c r="X2984"/>
  <c r="X2983"/>
  <c r="X2982"/>
  <c r="X2981"/>
  <c r="X2980"/>
  <c r="X2979"/>
  <c r="X2978"/>
  <c r="X2977"/>
  <c r="X2976"/>
  <c r="X2975"/>
  <c r="X2974"/>
  <c r="X2973"/>
  <c r="X2972"/>
  <c r="X2971"/>
  <c r="X2970"/>
  <c r="X2969"/>
  <c r="X2968"/>
  <c r="X2967"/>
  <c r="X2966"/>
  <c r="X2965"/>
  <c r="X2964"/>
  <c r="X2963"/>
  <c r="X2962"/>
  <c r="X2961"/>
  <c r="X2960"/>
  <c r="X2959"/>
  <c r="X2958"/>
  <c r="X2957"/>
  <c r="X2956"/>
  <c r="X2955"/>
  <c r="X2954"/>
  <c r="X2953"/>
  <c r="X2952"/>
  <c r="X2951"/>
  <c r="X2950"/>
  <c r="X2949"/>
  <c r="X2948"/>
  <c r="X2947"/>
  <c r="X2946"/>
  <c r="X2945"/>
  <c r="X2944"/>
  <c r="X2943"/>
  <c r="X2942"/>
  <c r="X2941"/>
  <c r="X2940"/>
  <c r="X2939"/>
  <c r="X2938"/>
  <c r="X2937"/>
  <c r="X2936"/>
  <c r="X2935"/>
  <c r="X2934"/>
  <c r="X2933"/>
  <c r="X2932"/>
  <c r="X2931"/>
  <c r="X2930"/>
  <c r="X2929"/>
  <c r="X2928"/>
  <c r="X2927"/>
  <c r="X2926"/>
  <c r="X2925"/>
  <c r="X2924"/>
  <c r="X2923"/>
  <c r="X2922"/>
  <c r="X2921"/>
  <c r="X2920"/>
  <c r="X2919"/>
  <c r="X2918"/>
  <c r="X2917"/>
  <c r="X2916"/>
  <c r="X2915"/>
  <c r="X2914"/>
  <c r="X2913"/>
  <c r="X2912"/>
  <c r="X2911"/>
  <c r="X2910"/>
  <c r="X2909"/>
  <c r="X2908"/>
  <c r="X2907"/>
  <c r="X2906"/>
  <c r="X2905"/>
  <c r="X2904"/>
  <c r="X2903"/>
  <c r="X2902"/>
  <c r="X2901"/>
  <c r="X2900"/>
  <c r="X2899"/>
  <c r="X2898"/>
  <c r="X2897"/>
  <c r="X2896"/>
  <c r="X2895"/>
  <c r="X2894"/>
  <c r="X2893"/>
  <c r="X2892"/>
  <c r="X2891"/>
  <c r="X2890"/>
  <c r="X2889"/>
  <c r="X2888"/>
  <c r="X2887"/>
  <c r="X2886"/>
  <c r="X2885"/>
  <c r="X2884"/>
  <c r="X2883"/>
  <c r="X2882"/>
  <c r="X2881"/>
  <c r="X2880"/>
  <c r="X2879"/>
  <c r="X2878"/>
  <c r="X2877"/>
  <c r="X2876"/>
  <c r="X2875"/>
  <c r="X2874"/>
  <c r="X2873"/>
  <c r="X2872"/>
  <c r="X2871"/>
  <c r="X2870"/>
  <c r="X2869"/>
  <c r="X2868"/>
  <c r="X2867"/>
  <c r="X2866"/>
  <c r="X2865"/>
  <c r="X2864"/>
  <c r="X2863"/>
  <c r="X2862"/>
  <c r="X2861"/>
  <c r="X2860"/>
  <c r="X2859"/>
  <c r="X2858"/>
  <c r="X2857"/>
  <c r="X2856"/>
  <c r="X2855"/>
  <c r="X2854"/>
  <c r="X2853"/>
  <c r="X2852"/>
  <c r="X2851"/>
  <c r="X2850"/>
  <c r="X2849"/>
  <c r="X2847"/>
  <c r="X2846"/>
  <c r="X2845"/>
  <c r="X2844"/>
  <c r="X2843"/>
  <c r="X2842"/>
  <c r="X2841"/>
  <c r="X2840"/>
  <c r="X2839"/>
  <c r="X2838"/>
  <c r="X2837"/>
  <c r="X2836"/>
  <c r="X2835"/>
  <c r="X2834"/>
  <c r="X2833"/>
  <c r="X2832"/>
  <c r="X2831"/>
  <c r="X2830"/>
  <c r="X2829"/>
  <c r="X2828"/>
  <c r="X2827"/>
  <c r="X2826"/>
  <c r="X2825"/>
  <c r="X2824"/>
  <c r="X2823"/>
  <c r="X2822"/>
  <c r="X2821"/>
  <c r="X2820"/>
  <c r="X2819"/>
  <c r="X2818"/>
  <c r="X2817"/>
  <c r="X2816"/>
  <c r="X2815"/>
  <c r="X2814"/>
  <c r="X2813"/>
  <c r="X2812"/>
  <c r="X2811"/>
  <c r="X2810"/>
  <c r="X2809"/>
  <c r="X2808"/>
  <c r="X2807"/>
  <c r="X2806"/>
  <c r="X2805"/>
  <c r="X2804"/>
  <c r="X2803"/>
  <c r="X2802"/>
  <c r="X2801"/>
  <c r="X2800"/>
  <c r="X2799"/>
  <c r="X2798"/>
  <c r="X2797"/>
  <c r="X2796"/>
  <c r="X2795"/>
  <c r="X2794"/>
  <c r="X2793"/>
  <c r="X2792"/>
  <c r="X2791"/>
  <c r="X2790"/>
  <c r="X2789"/>
  <c r="X2788"/>
  <c r="X2787"/>
  <c r="X2786"/>
  <c r="X2785"/>
  <c r="X2784"/>
  <c r="X2783"/>
  <c r="X2782"/>
  <c r="X2781"/>
  <c r="X2780"/>
  <c r="X2779"/>
  <c r="X2778"/>
  <c r="X2777"/>
  <c r="X2776"/>
  <c r="X2775"/>
  <c r="X2774"/>
  <c r="X2773"/>
  <c r="X2772"/>
  <c r="X2771"/>
  <c r="X2770"/>
  <c r="X2769"/>
  <c r="X2768"/>
  <c r="X2767"/>
  <c r="X2766"/>
  <c r="X2765"/>
  <c r="X2764"/>
  <c r="X2763"/>
  <c r="X2762"/>
  <c r="X2761"/>
  <c r="X2760"/>
  <c r="X2759"/>
  <c r="X2758"/>
  <c r="X2757"/>
  <c r="X2756"/>
  <c r="X2755"/>
  <c r="X2754"/>
  <c r="X2753"/>
  <c r="X2752"/>
  <c r="X2751"/>
  <c r="X2750"/>
  <c r="X2749"/>
  <c r="X2748"/>
  <c r="X2747"/>
  <c r="X2746"/>
  <c r="X2745"/>
  <c r="X2744"/>
  <c r="X2743"/>
  <c r="X2742"/>
  <c r="X2741"/>
  <c r="X2740"/>
  <c r="X2739"/>
  <c r="X2738"/>
  <c r="X2737"/>
  <c r="X2736"/>
  <c r="X2735"/>
  <c r="X2734"/>
  <c r="X2733"/>
  <c r="X2732"/>
  <c r="X2731"/>
  <c r="X2730"/>
  <c r="X2729"/>
  <c r="X2728"/>
  <c r="X2727"/>
  <c r="X2726"/>
  <c r="X2725"/>
  <c r="X2724"/>
  <c r="X2723"/>
  <c r="X2722"/>
  <c r="X2721"/>
  <c r="X2720"/>
  <c r="X2719"/>
  <c r="X2718"/>
  <c r="X2717"/>
  <c r="X2716"/>
  <c r="X2715"/>
  <c r="X2714"/>
  <c r="X2713"/>
  <c r="X2712"/>
  <c r="X2711"/>
  <c r="X2710"/>
  <c r="X2709"/>
  <c r="X2708"/>
  <c r="X2707"/>
  <c r="X2706"/>
  <c r="X2705"/>
  <c r="X2704"/>
  <c r="X2703"/>
  <c r="X2702"/>
  <c r="X2701"/>
  <c r="X2700"/>
  <c r="X2699"/>
  <c r="X2698"/>
  <c r="X2697"/>
  <c r="X2696"/>
  <c r="X2695"/>
  <c r="X2694"/>
  <c r="X2693"/>
  <c r="X2692"/>
  <c r="X2691"/>
  <c r="X2690"/>
  <c r="X2689"/>
  <c r="X2688"/>
  <c r="X2687"/>
  <c r="X2686"/>
  <c r="X2685"/>
  <c r="X2684"/>
  <c r="X2683"/>
  <c r="X2682"/>
  <c r="X2681"/>
  <c r="X2680"/>
  <c r="X2679"/>
  <c r="X2678"/>
  <c r="X2677"/>
  <c r="X2673"/>
  <c r="X2672"/>
  <c r="X2671"/>
  <c r="X2670"/>
  <c r="X2669"/>
  <c r="X2668"/>
  <c r="X2667"/>
  <c r="X2666"/>
  <c r="X2665"/>
  <c r="X2664"/>
  <c r="X2663"/>
  <c r="X2662"/>
  <c r="X2661"/>
  <c r="X2660"/>
  <c r="X2659"/>
  <c r="X2658"/>
  <c r="X2657"/>
  <c r="X2656"/>
  <c r="X2655"/>
  <c r="X2654"/>
  <c r="X2653"/>
  <c r="X2652"/>
  <c r="X2651"/>
  <c r="X2650"/>
  <c r="X2649"/>
  <c r="X2648"/>
  <c r="X2647"/>
  <c r="X2646"/>
  <c r="X2645"/>
  <c r="X2644"/>
  <c r="X2643"/>
  <c r="X2642"/>
  <c r="X2641"/>
  <c r="X2640"/>
  <c r="X2639"/>
  <c r="X2638"/>
  <c r="X2637"/>
  <c r="X2636"/>
  <c r="X2635"/>
  <c r="X2634"/>
  <c r="X2633"/>
  <c r="X2632"/>
  <c r="X2631"/>
  <c r="X2630"/>
  <c r="X2629"/>
  <c r="X2628"/>
  <c r="X2627"/>
  <c r="X2626"/>
  <c r="X2625"/>
  <c r="X2624"/>
  <c r="X2623"/>
  <c r="X2622"/>
  <c r="X2621"/>
  <c r="X2620"/>
  <c r="X2619"/>
  <c r="X2618"/>
  <c r="X2617"/>
  <c r="X2616"/>
  <c r="X2615"/>
  <c r="X2614"/>
  <c r="X2613"/>
  <c r="X2612"/>
  <c r="X2611"/>
  <c r="X2609"/>
  <c r="X2608"/>
  <c r="X2607"/>
  <c r="X2606"/>
  <c r="X2605"/>
  <c r="X2604"/>
  <c r="X2603"/>
  <c r="X2602"/>
  <c r="X2601"/>
  <c r="X2600"/>
  <c r="X2599"/>
  <c r="X2598"/>
  <c r="X2597"/>
  <c r="X2596"/>
  <c r="X2595"/>
  <c r="X2594"/>
  <c r="X2593"/>
  <c r="X2592"/>
  <c r="X2591"/>
  <c r="X2590"/>
  <c r="X2589"/>
  <c r="X2588"/>
  <c r="X2587"/>
  <c r="X2586"/>
  <c r="X2585"/>
  <c r="X2584"/>
  <c r="X2583"/>
  <c r="X2582"/>
  <c r="X2581"/>
  <c r="X2580"/>
  <c r="X2579"/>
  <c r="X2578"/>
  <c r="X2577"/>
  <c r="X2576"/>
  <c r="X2575"/>
  <c r="X2574"/>
  <c r="X2573"/>
  <c r="X2572"/>
  <c r="X2571"/>
  <c r="X2570"/>
  <c r="X2569"/>
  <c r="X2568"/>
  <c r="X2567"/>
  <c r="X2566"/>
  <c r="X2565"/>
  <c r="X2564"/>
  <c r="X2563"/>
  <c r="X2562"/>
  <c r="X2561"/>
  <c r="X2560"/>
  <c r="X2559"/>
  <c r="X2558"/>
  <c r="X2557"/>
  <c r="X2556"/>
  <c r="X2555"/>
  <c r="X2554"/>
  <c r="X2553"/>
  <c r="X2552"/>
  <c r="X2551"/>
  <c r="X2550"/>
  <c r="X2549"/>
  <c r="X2548"/>
  <c r="X2547"/>
  <c r="X2546"/>
  <c r="X2545"/>
  <c r="X2544"/>
  <c r="X2543"/>
  <c r="X2542"/>
  <c r="X2541"/>
  <c r="X2540"/>
  <c r="X2539"/>
  <c r="X2538"/>
  <c r="X2537"/>
  <c r="X2536"/>
  <c r="X2535"/>
  <c r="X2534"/>
  <c r="X2533"/>
  <c r="X2532"/>
  <c r="X2531"/>
  <c r="X2530"/>
  <c r="X2529"/>
  <c r="X2528"/>
  <c r="X2527"/>
  <c r="X2526"/>
  <c r="X2525"/>
  <c r="X2524"/>
  <c r="X2523"/>
  <c r="X2522"/>
  <c r="X2521"/>
  <c r="X2520"/>
  <c r="X2519"/>
  <c r="X2518"/>
  <c r="X2517"/>
  <c r="X2516"/>
  <c r="X2515"/>
  <c r="X2514"/>
  <c r="X2513"/>
  <c r="X2512"/>
  <c r="X2511"/>
  <c r="X2510"/>
  <c r="X2509"/>
  <c r="X2508"/>
  <c r="X2507"/>
  <c r="X2506"/>
  <c r="X2505"/>
  <c r="X2504"/>
  <c r="X2503"/>
  <c r="X2502"/>
  <c r="X2501"/>
  <c r="X2500"/>
  <c r="X2499"/>
  <c r="X2498"/>
  <c r="X2497"/>
  <c r="X2496"/>
  <c r="X2495"/>
  <c r="X2494"/>
  <c r="X2493"/>
  <c r="X2492"/>
  <c r="X2491"/>
  <c r="X2490"/>
  <c r="X2489"/>
  <c r="X2488"/>
  <c r="X2487"/>
  <c r="X2486"/>
  <c r="X2485"/>
  <c r="X2484"/>
  <c r="X2483"/>
  <c r="X2482"/>
  <c r="X2481"/>
  <c r="X2480"/>
  <c r="X2479"/>
  <c r="X2478"/>
  <c r="X2477"/>
  <c r="X2476"/>
  <c r="X2475"/>
  <c r="X2474"/>
  <c r="X2473"/>
  <c r="X2472"/>
  <c r="X2471"/>
  <c r="X2470"/>
  <c r="X2469"/>
  <c r="X2468"/>
  <c r="X2467"/>
  <c r="X2466"/>
  <c r="X2465"/>
  <c r="X2464"/>
  <c r="X2463"/>
  <c r="X2462"/>
  <c r="X2461"/>
  <c r="X2460"/>
  <c r="X2459"/>
  <c r="X2458"/>
  <c r="X2457"/>
  <c r="X2456"/>
  <c r="X2455"/>
  <c r="X2454"/>
  <c r="X2453"/>
  <c r="X2452"/>
  <c r="X2451"/>
  <c r="X2450"/>
  <c r="X2449"/>
  <c r="X2448"/>
  <c r="X2447"/>
  <c r="X2446"/>
  <c r="X2445"/>
  <c r="X2444"/>
  <c r="X2443"/>
  <c r="X2442"/>
  <c r="X2441"/>
  <c r="X2440"/>
  <c r="X2439"/>
  <c r="X2438"/>
  <c r="X2437"/>
  <c r="X2436"/>
  <c r="X2435"/>
  <c r="X2434"/>
  <c r="X2433"/>
  <c r="X2432"/>
  <c r="X2430"/>
  <c r="X2428"/>
  <c r="X2427"/>
  <c r="X2426"/>
  <c r="X2425"/>
  <c r="X2424"/>
  <c r="X2423"/>
  <c r="X2422"/>
  <c r="X2421"/>
  <c r="X2420"/>
  <c r="X2419"/>
  <c r="X2418"/>
  <c r="X2417"/>
  <c r="X2416"/>
  <c r="X2415"/>
  <c r="X2414"/>
  <c r="X2413"/>
  <c r="X2412"/>
  <c r="X2411"/>
  <c r="X2410"/>
  <c r="X2409"/>
  <c r="X2408"/>
  <c r="X2407"/>
  <c r="X2406"/>
  <c r="X2405"/>
  <c r="X2404"/>
  <c r="X2403"/>
  <c r="X2402"/>
  <c r="X2401"/>
  <c r="X2400"/>
  <c r="X2399"/>
  <c r="X2398"/>
  <c r="X2397"/>
  <c r="X2396"/>
  <c r="X2395"/>
  <c r="X2394"/>
  <c r="X2393"/>
  <c r="X2392"/>
  <c r="X2391"/>
  <c r="X2390"/>
  <c r="X2389"/>
  <c r="X2388"/>
  <c r="X2387"/>
  <c r="X2386"/>
  <c r="X2385"/>
  <c r="X2384"/>
  <c r="X2383"/>
  <c r="X2382"/>
  <c r="X2381"/>
  <c r="X2380"/>
  <c r="X2379"/>
  <c r="X2378"/>
  <c r="X2377"/>
  <c r="X2376"/>
  <c r="X2375"/>
  <c r="X2374"/>
  <c r="X2373"/>
  <c r="X2372"/>
  <c r="X2371"/>
  <c r="X2370"/>
  <c r="X2369"/>
  <c r="X2368"/>
  <c r="X2367"/>
  <c r="X2366"/>
  <c r="X2365"/>
  <c r="X2364"/>
  <c r="X2363"/>
  <c r="X2362"/>
  <c r="X2361"/>
  <c r="X2360"/>
  <c r="X2359"/>
  <c r="X2358"/>
  <c r="X2357"/>
  <c r="X2356"/>
  <c r="X2355"/>
  <c r="X2354"/>
  <c r="X2353"/>
  <c r="X2352"/>
  <c r="X2351"/>
  <c r="X2350"/>
  <c r="X2349"/>
  <c r="X2348"/>
  <c r="X2347"/>
  <c r="X2346"/>
  <c r="X2345"/>
  <c r="X2344"/>
  <c r="X2343"/>
  <c r="X2342"/>
  <c r="X2341"/>
  <c r="X2340"/>
  <c r="X2339"/>
  <c r="X2338"/>
  <c r="X2337"/>
  <c r="X2336"/>
  <c r="X2334"/>
  <c r="X2333"/>
  <c r="X2332"/>
  <c r="X2331"/>
  <c r="X2330"/>
  <c r="X2329"/>
  <c r="X2328"/>
  <c r="X2327"/>
  <c r="X2326"/>
  <c r="X2325"/>
  <c r="X2324"/>
  <c r="X2323"/>
  <c r="X2322"/>
  <c r="X2321"/>
  <c r="X2320"/>
  <c r="X2319"/>
  <c r="X2318"/>
  <c r="X2317"/>
  <c r="X2316"/>
  <c r="X2315"/>
  <c r="X2314"/>
  <c r="X2313"/>
  <c r="X2312"/>
  <c r="X2311"/>
  <c r="X2310"/>
  <c r="X2309"/>
  <c r="X2308"/>
  <c r="X2307"/>
  <c r="X2306"/>
  <c r="X2305"/>
  <c r="X2304"/>
  <c r="X2303"/>
  <c r="X2302"/>
  <c r="X2301"/>
  <c r="X2300"/>
  <c r="X2299"/>
  <c r="X2298"/>
  <c r="X2297"/>
  <c r="X2296"/>
  <c r="X2295"/>
  <c r="X2294"/>
  <c r="X2293"/>
  <c r="X2292"/>
  <c r="X2291"/>
  <c r="X2290"/>
  <c r="X2289"/>
  <c r="X2288"/>
  <c r="X2287"/>
  <c r="X2286"/>
  <c r="X2285"/>
  <c r="X2284"/>
  <c r="X2283"/>
  <c r="X2282"/>
  <c r="X2281"/>
  <c r="X2280"/>
  <c r="X2279"/>
  <c r="X2278"/>
  <c r="X2277"/>
  <c r="X2276"/>
  <c r="X2275"/>
  <c r="X2274"/>
  <c r="X2273"/>
  <c r="X2272"/>
  <c r="X2271"/>
  <c r="X2270"/>
  <c r="X2269"/>
  <c r="X2268"/>
  <c r="X2267"/>
  <c r="X2266"/>
  <c r="X2265"/>
  <c r="X2264"/>
  <c r="X2263"/>
  <c r="X2262"/>
  <c r="X2261"/>
  <c r="X2260"/>
  <c r="X2259"/>
  <c r="X2258"/>
  <c r="X2257"/>
  <c r="X2256"/>
  <c r="X2255"/>
  <c r="X2254"/>
  <c r="X2253"/>
  <c r="X2252"/>
  <c r="X2251"/>
  <c r="X2250"/>
  <c r="X2249"/>
  <c r="X2248"/>
  <c r="X2247"/>
  <c r="X2246"/>
  <c r="X2245"/>
  <c r="X2244"/>
  <c r="X2243"/>
  <c r="X2242"/>
  <c r="X2241"/>
  <c r="X2240"/>
  <c r="X2239"/>
  <c r="X2238"/>
  <c r="X2237"/>
  <c r="X2236"/>
  <c r="X2235"/>
  <c r="X2234"/>
  <c r="X2233"/>
  <c r="X2232"/>
  <c r="X2231"/>
  <c r="X2230"/>
  <c r="X2229"/>
  <c r="X2228"/>
  <c r="X2227"/>
  <c r="X2226"/>
  <c r="X2225"/>
  <c r="X2224"/>
  <c r="X2223"/>
  <c r="X2222"/>
  <c r="X2221"/>
  <c r="X2220"/>
  <c r="X2219"/>
  <c r="X2218"/>
  <c r="X2217"/>
  <c r="X2216"/>
  <c r="X2215"/>
  <c r="X2214"/>
  <c r="X2213"/>
  <c r="X2212"/>
  <c r="X2211"/>
  <c r="X2210"/>
  <c r="X2209"/>
  <c r="X2208"/>
  <c r="X2207"/>
  <c r="X2206"/>
  <c r="X2205"/>
  <c r="X2204"/>
  <c r="X2203"/>
  <c r="X2202"/>
  <c r="X2201"/>
  <c r="X2200"/>
  <c r="X2199"/>
  <c r="X2198"/>
  <c r="X2197"/>
  <c r="X2196"/>
  <c r="X2195"/>
  <c r="X2194"/>
  <c r="X2193"/>
  <c r="X2192"/>
  <c r="X2191"/>
  <c r="X2190"/>
  <c r="X2189"/>
  <c r="X2188"/>
  <c r="X2187"/>
  <c r="X2186"/>
  <c r="X2185"/>
  <c r="X2184"/>
  <c r="X2183"/>
  <c r="X2182"/>
  <c r="X2181"/>
  <c r="X2180"/>
  <c r="X2179"/>
  <c r="X2178"/>
  <c r="X2177"/>
  <c r="X2176"/>
  <c r="X2175"/>
  <c r="X2174"/>
  <c r="X2173"/>
  <c r="X2172"/>
  <c r="X2171"/>
  <c r="X2170"/>
  <c r="X2169"/>
  <c r="X2168"/>
  <c r="X2167"/>
  <c r="X2166"/>
  <c r="X2165"/>
  <c r="X2164"/>
  <c r="X2163"/>
  <c r="X2162"/>
  <c r="X2161"/>
  <c r="X2160"/>
  <c r="X2159"/>
  <c r="X2158"/>
  <c r="X2157"/>
  <c r="X2156"/>
  <c r="X2155"/>
  <c r="X2154"/>
  <c r="X2153"/>
  <c r="X2152"/>
  <c r="X2151"/>
  <c r="X2150"/>
  <c r="X2149"/>
  <c r="X2148"/>
  <c r="X2147"/>
  <c r="X2146"/>
  <c r="X2145"/>
  <c r="X2144"/>
  <c r="X2143"/>
  <c r="X2142"/>
  <c r="X2141"/>
  <c r="X2140"/>
  <c r="X2139"/>
  <c r="X2138"/>
  <c r="X2137"/>
  <c r="X2136"/>
  <c r="X2135"/>
  <c r="X2134"/>
  <c r="X2133"/>
  <c r="X2132"/>
  <c r="X2131"/>
  <c r="X2130"/>
  <c r="X2129"/>
  <c r="X2128"/>
  <c r="X2127"/>
  <c r="X2126"/>
  <c r="X2125"/>
  <c r="X2124"/>
  <c r="X2123"/>
  <c r="X2122"/>
  <c r="X2121"/>
  <c r="X2120"/>
  <c r="X2119"/>
  <c r="X2118"/>
  <c r="X2117"/>
  <c r="X2116"/>
  <c r="X2115"/>
  <c r="X2114"/>
  <c r="X2113"/>
  <c r="X2112"/>
  <c r="X2111"/>
  <c r="X2110"/>
  <c r="X2109"/>
  <c r="X2108"/>
  <c r="X2107"/>
  <c r="X2106"/>
  <c r="X2105"/>
  <c r="X2104"/>
  <c r="X2103"/>
  <c r="X2102"/>
  <c r="X2101"/>
  <c r="X2100"/>
  <c r="X2099"/>
  <c r="X2098"/>
  <c r="X2097"/>
  <c r="X2096"/>
  <c r="X2095"/>
  <c r="X2094"/>
  <c r="X2093"/>
  <c r="X2092"/>
  <c r="X2091"/>
  <c r="X2090"/>
  <c r="X2089"/>
  <c r="X2088"/>
  <c r="X2086"/>
  <c r="X2085"/>
  <c r="X2084"/>
  <c r="X2083"/>
  <c r="X2082"/>
  <c r="X2081"/>
  <c r="X2080"/>
  <c r="X2079"/>
  <c r="X2078"/>
  <c r="X2077"/>
  <c r="X2076"/>
  <c r="X2075"/>
  <c r="X2074"/>
  <c r="X2073"/>
  <c r="X2072"/>
  <c r="X2071"/>
  <c r="X2070"/>
  <c r="X2069"/>
  <c r="X2068"/>
  <c r="X2067"/>
  <c r="X2066"/>
  <c r="X2065"/>
  <c r="X2064"/>
  <c r="X2063"/>
  <c r="X2062"/>
  <c r="X2061"/>
  <c r="X2060"/>
  <c r="X2059"/>
  <c r="X2058"/>
  <c r="X2057"/>
  <c r="X2056"/>
  <c r="X2055"/>
  <c r="X2054"/>
  <c r="X2053"/>
  <c r="X2052"/>
  <c r="X2051"/>
  <c r="X2050"/>
  <c r="X2049"/>
  <c r="X2048"/>
  <c r="X2047"/>
  <c r="X2046"/>
  <c r="X2045"/>
  <c r="X2044"/>
  <c r="X2043"/>
  <c r="X2042"/>
  <c r="X2041"/>
  <c r="X2040"/>
  <c r="X2039"/>
  <c r="X2038"/>
  <c r="X2037"/>
  <c r="X2036"/>
  <c r="X2035"/>
  <c r="X2034"/>
  <c r="X2033"/>
  <c r="X2032"/>
  <c r="X2031"/>
  <c r="X2030"/>
  <c r="X2029"/>
  <c r="X2028"/>
  <c r="X2027"/>
  <c r="X2026"/>
  <c r="X2025"/>
  <c r="X2024"/>
  <c r="X2023"/>
  <c r="X2022"/>
  <c r="X2021"/>
  <c r="X2020"/>
  <c r="X2019"/>
  <c r="X2018"/>
  <c r="X2017"/>
  <c r="X2016"/>
  <c r="X2015"/>
  <c r="X2014"/>
  <c r="X2013"/>
  <c r="X2012"/>
  <c r="X2011"/>
  <c r="X2010"/>
  <c r="X2009"/>
  <c r="X2008"/>
  <c r="X2007"/>
  <c r="X2006"/>
  <c r="X2005"/>
  <c r="X2004"/>
  <c r="X2003"/>
  <c r="X2002"/>
  <c r="X2001"/>
  <c r="X2000"/>
  <c r="X1999"/>
  <c r="X1998"/>
  <c r="X1997"/>
  <c r="X1996"/>
  <c r="X1995"/>
  <c r="X1994"/>
  <c r="X1993"/>
  <c r="X1992"/>
  <c r="X1991"/>
  <c r="X1990"/>
  <c r="X1989"/>
  <c r="X1988"/>
  <c r="X1987"/>
  <c r="X1986"/>
  <c r="X1985"/>
  <c r="X1984"/>
  <c r="X1983"/>
  <c r="X1982"/>
  <c r="X1981"/>
  <c r="X1980"/>
  <c r="X1979"/>
  <c r="X1978"/>
  <c r="X1977"/>
  <c r="X1976"/>
  <c r="X1975"/>
  <c r="X1974"/>
  <c r="X1973"/>
  <c r="X1972"/>
  <c r="X1971"/>
  <c r="X1970"/>
  <c r="X1969"/>
  <c r="X1968"/>
  <c r="X1967"/>
  <c r="X1966"/>
  <c r="X1965"/>
  <c r="X1964"/>
  <c r="X1963"/>
  <c r="X1962"/>
  <c r="X1961"/>
  <c r="X1960"/>
  <c r="X1959"/>
  <c r="X1958"/>
  <c r="X1957"/>
  <c r="X1956"/>
  <c r="X1955"/>
  <c r="X1954"/>
  <c r="X1953"/>
  <c r="X1952"/>
  <c r="X1951"/>
  <c r="X1950"/>
  <c r="X1949"/>
  <c r="X1948"/>
  <c r="X1947"/>
  <c r="X1946"/>
  <c r="X1945"/>
  <c r="X1944"/>
  <c r="X1943"/>
  <c r="X1942"/>
  <c r="X1941"/>
  <c r="X1940"/>
  <c r="X1939"/>
  <c r="X1938"/>
  <c r="X1937"/>
  <c r="X1936"/>
  <c r="X1935"/>
  <c r="X1934"/>
  <c r="X1933"/>
  <c r="X1932"/>
  <c r="X1931"/>
  <c r="X1930"/>
  <c r="X1929"/>
  <c r="X1928"/>
  <c r="X1927"/>
  <c r="X1926"/>
  <c r="X1925"/>
  <c r="X1924"/>
  <c r="X1923"/>
  <c r="X1922"/>
  <c r="X1921"/>
  <c r="X1920"/>
  <c r="X1919"/>
  <c r="X1918"/>
  <c r="X1917"/>
  <c r="X1916"/>
  <c r="X1915"/>
  <c r="X1914"/>
  <c r="X1913"/>
  <c r="X1912"/>
  <c r="X1911"/>
  <c r="X1910"/>
  <c r="X1909"/>
  <c r="X1908"/>
  <c r="X1907"/>
  <c r="X1906"/>
  <c r="X1905"/>
  <c r="X1904"/>
  <c r="X1903"/>
  <c r="X1902"/>
  <c r="X1901"/>
  <c r="X1900"/>
  <c r="X1899"/>
  <c r="X1898"/>
  <c r="X1897"/>
  <c r="X1896"/>
  <c r="X1895"/>
  <c r="X1894"/>
  <c r="X1893"/>
  <c r="X1892"/>
  <c r="X1891"/>
  <c r="X1890"/>
  <c r="X1889"/>
  <c r="X1888"/>
  <c r="X1887"/>
  <c r="X1886"/>
  <c r="X1885"/>
  <c r="X1884"/>
  <c r="X1883"/>
  <c r="X1882"/>
  <c r="X1881"/>
  <c r="X1880"/>
  <c r="X1879"/>
  <c r="X1878"/>
  <c r="X1877"/>
  <c r="X1876"/>
  <c r="X1875"/>
  <c r="X1874"/>
  <c r="X1873"/>
  <c r="X1872"/>
  <c r="X1871"/>
  <c r="X1870"/>
  <c r="X1869"/>
  <c r="X1868"/>
  <c r="X1867"/>
  <c r="X1866"/>
  <c r="X1865"/>
  <c r="X1864"/>
  <c r="X1863"/>
  <c r="X1862"/>
  <c r="X1861"/>
  <c r="X1860"/>
  <c r="X1859"/>
  <c r="X1858"/>
  <c r="X1857"/>
  <c r="X1856"/>
  <c r="X1855"/>
  <c r="X1854"/>
  <c r="X1853"/>
  <c r="X1852"/>
  <c r="X1851"/>
  <c r="X1850"/>
  <c r="X1849"/>
  <c r="X1848"/>
  <c r="X1847"/>
  <c r="X1846"/>
  <c r="X1845"/>
  <c r="X1844"/>
  <c r="X1843"/>
  <c r="X1842"/>
  <c r="X1841"/>
  <c r="X1840"/>
  <c r="X1839"/>
  <c r="X1838"/>
  <c r="X1837"/>
  <c r="X1836"/>
  <c r="X1835"/>
  <c r="X1834"/>
  <c r="X1833"/>
  <c r="X1832"/>
  <c r="X1831"/>
  <c r="X1830"/>
  <c r="X1829"/>
  <c r="X1828"/>
  <c r="X1827"/>
  <c r="X1826"/>
  <c r="X1825"/>
  <c r="X1824"/>
  <c r="X1823"/>
  <c r="X1822"/>
  <c r="X1821"/>
  <c r="X1820"/>
  <c r="X1819"/>
  <c r="X1818"/>
  <c r="X1817"/>
  <c r="X1816"/>
  <c r="X1815"/>
  <c r="X1814"/>
  <c r="X1813"/>
  <c r="X1812"/>
  <c r="X1811"/>
  <c r="X1810"/>
  <c r="X1809"/>
  <c r="X1808"/>
  <c r="X1807"/>
  <c r="X1806"/>
  <c r="X1805"/>
  <c r="X1804"/>
  <c r="X1803"/>
  <c r="X1802"/>
  <c r="X1801"/>
  <c r="X1800"/>
  <c r="X1799"/>
  <c r="X1798"/>
  <c r="X1797"/>
  <c r="X1796"/>
  <c r="X1795"/>
  <c r="X1794"/>
  <c r="X1793"/>
  <c r="X1792"/>
  <c r="X1791"/>
  <c r="X1790"/>
  <c r="X1789"/>
  <c r="X1788"/>
  <c r="X1787"/>
  <c r="X1786"/>
  <c r="X1785"/>
  <c r="X1784"/>
  <c r="X1783"/>
  <c r="X1782"/>
  <c r="X1781"/>
  <c r="X1780"/>
  <c r="X1779"/>
  <c r="X1778"/>
  <c r="X1777"/>
  <c r="X1776"/>
  <c r="X1775"/>
  <c r="X1774"/>
  <c r="X1773"/>
  <c r="X1772"/>
  <c r="X1771"/>
  <c r="X1770"/>
  <c r="X1769"/>
  <c r="X1768"/>
  <c r="X1767"/>
  <c r="X1766"/>
  <c r="X1765"/>
  <c r="X1764"/>
  <c r="X1763"/>
  <c r="X1762"/>
  <c r="X1761"/>
  <c r="X1760"/>
  <c r="X1759"/>
  <c r="X1758"/>
  <c r="X1756"/>
  <c r="X1755"/>
  <c r="X1754"/>
  <c r="X1753"/>
  <c r="X1752"/>
  <c r="X1751"/>
  <c r="X1750"/>
  <c r="X1749"/>
  <c r="X1748"/>
  <c r="X1747"/>
  <c r="X1746"/>
  <c r="X1745"/>
  <c r="X1744"/>
  <c r="X1743"/>
  <c r="X1742"/>
  <c r="X1741"/>
  <c r="X1740"/>
  <c r="X1739"/>
  <c r="X1738"/>
  <c r="X1737"/>
  <c r="X1736"/>
  <c r="X1735"/>
  <c r="X1734"/>
  <c r="X1733"/>
  <c r="X1732"/>
  <c r="X1731"/>
  <c r="X1730"/>
  <c r="X1729"/>
  <c r="X1728"/>
  <c r="X1727"/>
  <c r="X1726"/>
  <c r="X1725"/>
  <c r="X1724"/>
  <c r="X1723"/>
  <c r="X1722"/>
  <c r="X1721"/>
  <c r="X1720"/>
  <c r="X1719"/>
  <c r="X1718"/>
  <c r="X1717"/>
  <c r="X1716"/>
  <c r="X1715"/>
  <c r="X1714"/>
  <c r="X1713"/>
  <c r="X1712"/>
  <c r="X1711"/>
  <c r="X1710"/>
  <c r="X1709"/>
  <c r="X1708"/>
  <c r="X1707"/>
  <c r="X1706"/>
  <c r="X1705"/>
  <c r="X1704"/>
  <c r="X1703"/>
  <c r="X1702"/>
  <c r="X1701"/>
  <c r="X1700"/>
  <c r="X1699"/>
  <c r="X1698"/>
  <c r="X1697"/>
  <c r="X1696"/>
  <c r="X1695"/>
  <c r="X1694"/>
  <c r="X1693"/>
  <c r="X1692"/>
  <c r="X1691"/>
  <c r="X1690"/>
  <c r="X1689"/>
  <c r="X1688"/>
  <c r="X1687"/>
  <c r="X1686"/>
  <c r="X1685"/>
  <c r="X1684"/>
  <c r="X1683"/>
  <c r="X1682"/>
  <c r="X1681"/>
  <c r="X1680"/>
  <c r="X1679"/>
  <c r="X1678"/>
  <c r="X1677"/>
  <c r="X1676"/>
  <c r="X1675"/>
  <c r="X1674"/>
  <c r="X1673"/>
  <c r="X1672"/>
  <c r="X1671"/>
  <c r="X1670"/>
  <c r="X1669"/>
  <c r="X1668"/>
  <c r="X1667"/>
  <c r="X1666"/>
  <c r="X1665"/>
  <c r="X1664"/>
  <c r="X1663"/>
  <c r="X1662"/>
  <c r="X1661"/>
  <c r="X1660"/>
  <c r="X1659"/>
  <c r="X1658"/>
  <c r="X1657"/>
  <c r="X1656"/>
  <c r="X1655"/>
  <c r="X1654"/>
  <c r="X1653"/>
  <c r="X1652"/>
  <c r="X1651"/>
  <c r="X1650"/>
  <c r="X1649"/>
  <c r="X1648"/>
  <c r="X1647"/>
  <c r="X1646"/>
  <c r="X1645"/>
  <c r="X1644"/>
  <c r="X1643"/>
  <c r="X1642"/>
  <c r="X1641"/>
  <c r="X1640"/>
  <c r="X1639"/>
  <c r="X1638"/>
  <c r="X1637"/>
  <c r="X1636"/>
  <c r="X1635"/>
  <c r="X1634"/>
  <c r="X1633"/>
  <c r="X1632"/>
  <c r="X1631"/>
  <c r="X1630"/>
  <c r="X1629"/>
  <c r="X1628"/>
  <c r="X1627"/>
  <c r="X1626"/>
  <c r="X1625"/>
  <c r="X1624"/>
  <c r="X1623"/>
  <c r="X1622"/>
  <c r="X1621"/>
  <c r="X1620"/>
  <c r="X1619"/>
  <c r="X1618"/>
  <c r="X1617"/>
  <c r="X1616"/>
  <c r="X1615"/>
  <c r="X1614"/>
  <c r="X1613"/>
  <c r="X1612"/>
  <c r="X1611"/>
  <c r="X1610"/>
  <c r="X1609"/>
  <c r="X1608"/>
  <c r="X1607"/>
  <c r="X1606"/>
  <c r="X1605"/>
  <c r="X1604"/>
  <c r="X1603"/>
  <c r="X1602"/>
  <c r="X1601"/>
  <c r="X1600"/>
  <c r="X1599"/>
  <c r="X1598"/>
  <c r="X1597"/>
  <c r="X1596"/>
  <c r="X1595"/>
  <c r="X1594"/>
  <c r="X1593"/>
  <c r="X1592"/>
  <c r="X1591"/>
  <c r="X1590"/>
  <c r="X1589"/>
  <c r="X1588"/>
  <c r="X1587"/>
  <c r="X1586"/>
  <c r="X1585"/>
  <c r="X1584"/>
  <c r="X1583"/>
  <c r="X1582"/>
  <c r="X1581"/>
  <c r="X1580"/>
  <c r="X1579"/>
  <c r="X1578"/>
  <c r="X1577"/>
  <c r="X1576"/>
  <c r="X1575"/>
  <c r="X1574"/>
  <c r="X1573"/>
  <c r="X1572"/>
  <c r="X1571"/>
  <c r="X1570"/>
  <c r="X1569"/>
  <c r="X1568"/>
  <c r="X1567"/>
  <c r="X1566"/>
  <c r="X1565"/>
  <c r="X1564"/>
  <c r="X1563"/>
  <c r="X1562"/>
  <c r="X1561"/>
  <c r="X1560"/>
  <c r="X1559"/>
  <c r="X1558"/>
  <c r="X1557"/>
  <c r="X1556"/>
  <c r="X1555"/>
  <c r="X1554"/>
  <c r="X1553"/>
  <c r="X1552"/>
  <c r="X1551"/>
  <c r="X1550"/>
  <c r="X1549"/>
  <c r="X1548"/>
  <c r="X1547"/>
  <c r="X1546"/>
  <c r="X1545"/>
  <c r="X1544"/>
  <c r="X1543"/>
  <c r="X1542"/>
  <c r="X1541"/>
  <c r="X1540"/>
  <c r="X1539"/>
  <c r="X1538"/>
  <c r="X1537"/>
  <c r="X1536"/>
  <c r="X1535"/>
  <c r="X1534"/>
  <c r="X1533"/>
  <c r="X1532"/>
  <c r="X1531"/>
  <c r="X1530"/>
  <c r="X1529"/>
  <c r="X1528"/>
  <c r="X1527"/>
  <c r="X1526"/>
  <c r="X1525"/>
  <c r="X1524"/>
  <c r="X1523"/>
  <c r="X1522"/>
  <c r="X1521"/>
  <c r="X1520"/>
  <c r="X1519"/>
  <c r="X1518"/>
  <c r="X1517"/>
  <c r="X1516"/>
  <c r="X1515"/>
  <c r="X1514"/>
  <c r="X1513"/>
  <c r="X1512"/>
  <c r="X1511"/>
  <c r="X1510"/>
  <c r="X1509"/>
  <c r="X1508"/>
  <c r="X1507"/>
  <c r="X1506"/>
  <c r="X1505"/>
  <c r="X1504"/>
  <c r="X1503"/>
  <c r="X1502"/>
  <c r="X1501"/>
  <c r="X1500"/>
  <c r="X1499"/>
  <c r="X1498"/>
  <c r="X1497"/>
  <c r="X1496"/>
  <c r="X1495"/>
  <c r="X1494"/>
  <c r="X1493"/>
  <c r="X1492"/>
  <c r="X1491"/>
  <c r="X1490"/>
  <c r="X1489"/>
  <c r="X1488"/>
  <c r="X1487"/>
  <c r="X1486"/>
  <c r="X1485"/>
  <c r="X1484"/>
  <c r="X1483"/>
  <c r="X1482"/>
  <c r="X1481"/>
  <c r="X1480"/>
  <c r="X1479"/>
  <c r="X1478"/>
  <c r="X1477"/>
  <c r="X1476"/>
  <c r="X1475"/>
  <c r="X1474"/>
  <c r="X1473"/>
  <c r="X1472"/>
  <c r="X1471"/>
  <c r="X1470"/>
  <c r="X1469"/>
  <c r="X1468"/>
  <c r="X1467"/>
  <c r="X1466"/>
  <c r="X1465"/>
  <c r="X1464"/>
  <c r="X1463"/>
  <c r="X1462"/>
  <c r="X1461"/>
  <c r="X1460"/>
  <c r="X1459"/>
  <c r="X1458"/>
  <c r="X1457"/>
  <c r="X1456"/>
  <c r="X1455"/>
  <c r="X1454"/>
  <c r="X1453"/>
  <c r="X1452"/>
  <c r="X1451"/>
  <c r="X1450"/>
  <c r="X1449"/>
  <c r="X1448"/>
  <c r="X1447"/>
  <c r="X1446"/>
  <c r="X1445"/>
  <c r="X1444"/>
  <c r="X1443"/>
  <c r="X1442"/>
  <c r="X1441"/>
  <c r="X1440"/>
  <c r="X1439"/>
  <c r="X1438"/>
  <c r="X1437"/>
  <c r="X1436"/>
  <c r="X1435"/>
  <c r="X1434"/>
  <c r="X1433"/>
  <c r="X1432"/>
  <c r="X1431"/>
  <c r="X1430"/>
  <c r="X1429"/>
  <c r="X1428"/>
  <c r="X1427"/>
  <c r="X1426"/>
  <c r="X1425"/>
  <c r="X1424"/>
  <c r="X1423"/>
  <c r="X1422"/>
  <c r="X1421"/>
  <c r="X1420"/>
  <c r="X1419"/>
  <c r="X1418"/>
  <c r="X1417"/>
  <c r="X1416"/>
  <c r="X1415"/>
  <c r="X1414"/>
  <c r="X1413"/>
  <c r="X1412"/>
  <c r="X1411"/>
  <c r="X1410"/>
  <c r="X1409"/>
  <c r="X1408"/>
  <c r="X1407"/>
  <c r="X1406"/>
  <c r="X1405"/>
  <c r="X1404"/>
  <c r="X1403"/>
  <c r="X1402"/>
  <c r="X1401"/>
  <c r="X1400"/>
  <c r="X1399"/>
  <c r="X1398"/>
  <c r="X1397"/>
  <c r="X1396"/>
  <c r="X1395"/>
  <c r="X1394"/>
  <c r="X1393"/>
  <c r="X1392"/>
  <c r="X1391"/>
  <c r="X1390"/>
  <c r="X1389"/>
  <c r="X1388"/>
  <c r="X1387"/>
  <c r="X1386"/>
  <c r="X1385"/>
  <c r="X1384"/>
  <c r="X1383"/>
  <c r="X1382"/>
  <c r="X1381"/>
  <c r="X1380"/>
  <c r="X1379"/>
  <c r="X1378"/>
  <c r="X1377"/>
  <c r="X1376"/>
  <c r="X1375"/>
  <c r="X1374"/>
  <c r="X1373"/>
  <c r="X1372"/>
  <c r="X1371"/>
  <c r="X1370"/>
  <c r="X1369"/>
  <c r="X1368"/>
  <c r="X1367"/>
  <c r="X1366"/>
  <c r="X1365"/>
  <c r="X1364"/>
  <c r="X1363"/>
  <c r="X1362"/>
  <c r="X1361"/>
  <c r="X1360"/>
  <c r="X1359"/>
  <c r="X1358"/>
  <c r="X1357"/>
  <c r="X1356"/>
  <c r="X1355"/>
  <c r="X1354"/>
  <c r="X1353"/>
  <c r="X1352"/>
  <c r="X1351"/>
  <c r="X1350"/>
  <c r="X1349"/>
  <c r="X1348"/>
  <c r="X1347"/>
  <c r="X1346"/>
  <c r="X1345"/>
  <c r="X1344"/>
  <c r="X1343"/>
  <c r="X1342"/>
  <c r="X1341"/>
  <c r="X1340"/>
  <c r="X1339"/>
  <c r="X1338"/>
  <c r="X1337"/>
  <c r="X1336"/>
  <c r="X1335"/>
  <c r="X1334"/>
  <c r="X1333"/>
  <c r="X1332"/>
  <c r="X1331"/>
  <c r="X1330"/>
  <c r="X1329"/>
  <c r="X1328"/>
  <c r="X1327"/>
  <c r="X1326"/>
  <c r="X1325"/>
  <c r="X1324"/>
  <c r="X1323"/>
  <c r="X1322"/>
  <c r="X1321"/>
  <c r="X1320"/>
  <c r="X1319"/>
  <c r="X1318"/>
  <c r="X1317"/>
  <c r="X1316"/>
  <c r="X1315"/>
  <c r="X1314"/>
  <c r="X1313"/>
  <c r="X1312"/>
  <c r="X1311"/>
  <c r="X1310"/>
  <c r="X1309"/>
  <c r="X1308"/>
  <c r="X1307"/>
  <c r="X1306"/>
  <c r="X1305"/>
  <c r="X1304"/>
  <c r="X1303"/>
  <c r="X1302"/>
  <c r="X1301"/>
  <c r="X1300"/>
  <c r="X1299"/>
  <c r="X1298"/>
  <c r="X1297"/>
  <c r="X1296"/>
  <c r="X1295"/>
  <c r="X1294"/>
  <c r="X1293"/>
  <c r="X1292"/>
  <c r="X1291"/>
  <c r="X1290"/>
  <c r="X1289"/>
  <c r="X1288"/>
  <c r="X1287"/>
  <c r="X1286"/>
  <c r="X1285"/>
  <c r="X1284"/>
  <c r="X1283"/>
  <c r="X1282"/>
  <c r="X1281"/>
  <c r="X1280"/>
  <c r="X1279"/>
  <c r="X1278"/>
  <c r="X1277"/>
  <c r="X1276"/>
  <c r="X1275"/>
  <c r="X1274"/>
  <c r="X1273"/>
  <c r="X1272"/>
  <c r="X1271"/>
  <c r="X1270"/>
  <c r="X1269"/>
  <c r="X1268"/>
  <c r="X1267"/>
  <c r="X1266"/>
  <c r="X1265"/>
  <c r="X1264"/>
  <c r="X1263"/>
  <c r="X1262"/>
  <c r="X1261"/>
  <c r="X1260"/>
  <c r="X1259"/>
  <c r="X1258"/>
  <c r="X1257"/>
  <c r="X1256"/>
  <c r="X1255"/>
  <c r="X1254"/>
  <c r="X1253"/>
  <c r="X1252"/>
  <c r="X1251"/>
  <c r="X1250"/>
  <c r="X1249"/>
  <c r="X1248"/>
  <c r="X1247"/>
  <c r="X1246"/>
  <c r="X1245"/>
  <c r="X1244"/>
  <c r="X1243"/>
  <c r="X1242"/>
  <c r="X1241"/>
  <c r="X1240"/>
  <c r="X1239"/>
  <c r="X1238"/>
  <c r="X1237"/>
  <c r="X1236"/>
  <c r="X1235"/>
  <c r="X1234"/>
  <c r="X1233"/>
  <c r="X1232"/>
  <c r="X1231"/>
  <c r="X1230"/>
  <c r="X1229"/>
  <c r="X1228"/>
  <c r="X1227"/>
  <c r="X1226"/>
  <c r="X1225"/>
  <c r="X1224"/>
  <c r="X1223"/>
  <c r="X1222"/>
  <c r="X1221"/>
  <c r="X1220"/>
  <c r="X1219"/>
  <c r="X1218"/>
  <c r="X1217"/>
  <c r="X1216"/>
  <c r="X1215"/>
  <c r="X1214"/>
  <c r="X1213"/>
  <c r="X1212"/>
  <c r="X1211"/>
  <c r="X1210"/>
  <c r="X1209"/>
  <c r="X1208"/>
  <c r="X1207"/>
  <c r="X1206"/>
  <c r="X1205"/>
  <c r="X1204"/>
  <c r="X1203"/>
  <c r="X1202"/>
  <c r="X1201"/>
  <c r="X1200"/>
  <c r="X1199"/>
  <c r="X1198"/>
  <c r="X1197"/>
  <c r="X1196"/>
  <c r="X1195"/>
  <c r="X1194"/>
  <c r="X1193"/>
  <c r="X1192"/>
  <c r="X1191"/>
  <c r="X1190"/>
  <c r="X1189"/>
  <c r="X1188"/>
  <c r="X1187"/>
  <c r="X1186"/>
  <c r="X1185"/>
  <c r="X1184"/>
  <c r="X1183"/>
  <c r="X1182"/>
  <c r="X1181"/>
  <c r="X1180"/>
  <c r="X1179"/>
  <c r="X1178"/>
  <c r="X1177"/>
  <c r="X1176"/>
  <c r="X1175"/>
  <c r="X1174"/>
  <c r="X1173"/>
  <c r="X1172"/>
  <c r="X1171"/>
  <c r="X1170"/>
  <c r="X1169"/>
  <c r="X1168"/>
  <c r="X1167"/>
  <c r="X1166"/>
  <c r="X1165"/>
  <c r="X1164"/>
  <c r="X1163"/>
  <c r="X1162"/>
  <c r="X1161"/>
  <c r="X1160"/>
  <c r="X1159"/>
  <c r="X1158"/>
  <c r="X1157"/>
  <c r="X1156"/>
  <c r="X1155"/>
  <c r="X1154"/>
  <c r="X1153"/>
  <c r="X1152"/>
  <c r="X1151"/>
  <c r="X1150"/>
  <c r="X1149"/>
  <c r="X1148"/>
  <c r="X1147"/>
  <c r="X1146"/>
  <c r="X1145"/>
  <c r="X1144"/>
  <c r="X1143"/>
  <c r="X1142"/>
  <c r="X1141"/>
  <c r="X1140"/>
  <c r="X1139"/>
  <c r="X1138"/>
  <c r="X1137"/>
  <c r="X1136"/>
  <c r="X1135"/>
  <c r="X1134"/>
  <c r="X1133"/>
  <c r="X1132"/>
  <c r="X1131"/>
  <c r="X1130"/>
  <c r="X1129"/>
  <c r="X1128"/>
  <c r="X1127"/>
  <c r="X1126"/>
  <c r="X1125"/>
  <c r="X1124"/>
  <c r="X1123"/>
  <c r="X1122"/>
  <c r="X1121"/>
  <c r="X1120"/>
  <c r="X1119"/>
  <c r="X1118"/>
  <c r="X1117"/>
  <c r="X1116"/>
  <c r="X1115"/>
  <c r="X1114"/>
  <c r="X1113"/>
  <c r="X1112"/>
  <c r="X1111"/>
  <c r="X1110"/>
  <c r="X1109"/>
  <c r="X1108"/>
  <c r="X1107"/>
  <c r="X1106"/>
  <c r="X1105"/>
  <c r="X1104"/>
  <c r="X1103"/>
  <c r="X1102"/>
  <c r="X1101"/>
  <c r="X1100"/>
  <c r="X1099"/>
  <c r="X1098"/>
  <c r="X1097"/>
  <c r="X1096"/>
  <c r="X1095"/>
  <c r="X1094"/>
  <c r="X1093"/>
  <c r="X1092"/>
  <c r="X1091"/>
  <c r="X1090"/>
  <c r="X1089"/>
  <c r="X1088"/>
  <c r="X1087"/>
  <c r="X1086"/>
  <c r="X1085"/>
  <c r="X1084"/>
  <c r="X1083"/>
  <c r="X1082"/>
  <c r="X1081"/>
  <c r="X1080"/>
  <c r="X1079"/>
  <c r="X1078"/>
  <c r="X1077"/>
  <c r="X1076"/>
  <c r="X1075"/>
  <c r="X1074"/>
  <c r="X1073"/>
  <c r="X1072"/>
  <c r="X1071"/>
  <c r="X1070"/>
  <c r="X1069"/>
  <c r="X1068"/>
  <c r="X1067"/>
  <c r="X1066"/>
  <c r="X1065"/>
  <c r="X1064"/>
  <c r="X1063"/>
  <c r="X1062"/>
  <c r="X1061"/>
  <c r="X1060"/>
  <c r="X1059"/>
  <c r="X1058"/>
  <c r="X1057"/>
  <c r="X1056"/>
  <c r="X1055"/>
  <c r="X1054"/>
  <c r="X1053"/>
  <c r="X1052"/>
  <c r="X1051"/>
  <c r="X1050"/>
  <c r="X1049"/>
  <c r="X1048"/>
  <c r="X1047"/>
  <c r="X1046"/>
  <c r="X1045"/>
  <c r="X1044"/>
  <c r="X1043"/>
  <c r="X1042"/>
  <c r="X1041"/>
  <c r="X1040"/>
  <c r="X1039"/>
  <c r="X1038"/>
  <c r="X1037"/>
  <c r="X1036"/>
  <c r="X1035"/>
  <c r="X1034"/>
  <c r="X1033"/>
  <c r="X1032"/>
  <c r="X1031"/>
  <c r="X1030"/>
  <c r="X1029"/>
  <c r="X1028"/>
  <c r="X1027"/>
  <c r="X1026"/>
  <c r="X1025"/>
  <c r="X1024"/>
  <c r="X1023"/>
  <c r="X1022"/>
  <c r="X1021"/>
  <c r="X1020"/>
  <c r="X1019"/>
  <c r="X1018"/>
  <c r="X1017"/>
  <c r="X1016"/>
  <c r="X1015"/>
  <c r="X1014"/>
  <c r="X1013"/>
  <c r="X1012"/>
  <c r="X1011"/>
  <c r="X1010"/>
  <c r="X1009"/>
  <c r="X1008"/>
  <c r="X1007"/>
  <c r="X1006"/>
  <c r="X1005"/>
  <c r="X1004"/>
  <c r="X1003"/>
  <c r="X1002"/>
  <c r="X1001"/>
  <c r="X1000"/>
  <c r="X999"/>
  <c r="X998"/>
  <c r="X997"/>
  <c r="X996"/>
  <c r="X995"/>
  <c r="X994"/>
  <c r="X993"/>
  <c r="X992"/>
  <c r="X991"/>
  <c r="X990"/>
  <c r="X989"/>
  <c r="X988"/>
  <c r="X987"/>
  <c r="X986"/>
  <c r="X985"/>
  <c r="X984"/>
  <c r="X983"/>
  <c r="X982"/>
  <c r="X981"/>
  <c r="X980"/>
  <c r="X979"/>
  <c r="X978"/>
  <c r="X977"/>
  <c r="X976"/>
  <c r="X975"/>
  <c r="X974"/>
  <c r="X973"/>
  <c r="X972"/>
  <c r="X971"/>
  <c r="X970"/>
  <c r="X969"/>
  <c r="X968"/>
  <c r="X967"/>
  <c r="X966"/>
  <c r="X965"/>
  <c r="X964"/>
  <c r="X963"/>
  <c r="X962"/>
  <c r="X961"/>
  <c r="X960"/>
  <c r="X959"/>
  <c r="X958"/>
  <c r="X957"/>
  <c r="X956"/>
  <c r="X955"/>
  <c r="X954"/>
  <c r="X953"/>
  <c r="X952"/>
  <c r="X951"/>
  <c r="X950"/>
  <c r="X949"/>
  <c r="X948"/>
  <c r="X947"/>
  <c r="X946"/>
  <c r="X945"/>
  <c r="X944"/>
  <c r="X943"/>
  <c r="X942"/>
  <c r="X941"/>
  <c r="X940"/>
  <c r="X939"/>
  <c r="X938"/>
  <c r="X937"/>
  <c r="X936"/>
  <c r="X935"/>
  <c r="X934"/>
  <c r="X933"/>
  <c r="X932"/>
  <c r="X931"/>
  <c r="X930"/>
  <c r="X929"/>
  <c r="X928"/>
  <c r="X927"/>
  <c r="X926"/>
  <c r="X925"/>
  <c r="X924"/>
  <c r="X923"/>
  <c r="X922"/>
  <c r="X921"/>
  <c r="X920"/>
  <c r="X919"/>
  <c r="X918"/>
  <c r="X917"/>
  <c r="X916"/>
  <c r="X915"/>
  <c r="X914"/>
  <c r="X913"/>
  <c r="X912"/>
  <c r="X911"/>
  <c r="X910"/>
  <c r="X909"/>
  <c r="X908"/>
  <c r="X907"/>
  <c r="X906"/>
  <c r="X905"/>
  <c r="X904"/>
  <c r="X903"/>
  <c r="X902"/>
  <c r="X901"/>
  <c r="X900"/>
  <c r="X899"/>
  <c r="X898"/>
  <c r="X897"/>
  <c r="X896"/>
  <c r="X895"/>
  <c r="X894"/>
  <c r="X893"/>
  <c r="X892"/>
  <c r="X891"/>
  <c r="X890"/>
  <c r="X889"/>
  <c r="X888"/>
  <c r="X887"/>
  <c r="X886"/>
  <c r="X885"/>
  <c r="X884"/>
  <c r="X883"/>
  <c r="X882"/>
  <c r="X881"/>
  <c r="X880"/>
  <c r="X879"/>
  <c r="X878"/>
  <c r="X877"/>
  <c r="X876"/>
  <c r="X875"/>
  <c r="X874"/>
  <c r="X873"/>
  <c r="X872"/>
  <c r="X871"/>
  <c r="X870"/>
  <c r="X869"/>
  <c r="X868"/>
  <c r="X867"/>
  <c r="X866"/>
  <c r="X865"/>
  <c r="X864"/>
  <c r="X863"/>
  <c r="X862"/>
  <c r="X861"/>
  <c r="X860"/>
  <c r="X859"/>
  <c r="X858"/>
  <c r="X857"/>
  <c r="X856"/>
  <c r="X855"/>
  <c r="X854"/>
  <c r="X853"/>
  <c r="X852"/>
  <c r="X851"/>
  <c r="X850"/>
  <c r="X849"/>
  <c r="X848"/>
  <c r="X847"/>
  <c r="X846"/>
  <c r="X845"/>
  <c r="X844"/>
  <c r="X843"/>
  <c r="X842"/>
  <c r="X841"/>
  <c r="X840"/>
  <c r="X839"/>
  <c r="X838"/>
  <c r="X837"/>
  <c r="X836"/>
  <c r="X835"/>
  <c r="X834"/>
  <c r="X833"/>
  <c r="X832"/>
  <c r="X831"/>
  <c r="X830"/>
  <c r="X829"/>
  <c r="X828"/>
  <c r="X827"/>
  <c r="X826"/>
  <c r="X825"/>
  <c r="X824"/>
  <c r="X823"/>
  <c r="X822"/>
  <c r="X821"/>
  <c r="X820"/>
  <c r="X819"/>
  <c r="X818"/>
  <c r="X817"/>
  <c r="X816"/>
  <c r="X815"/>
  <c r="X814"/>
  <c r="X813"/>
  <c r="X812"/>
  <c r="X811"/>
  <c r="X810"/>
  <c r="X809"/>
  <c r="X808"/>
  <c r="X807"/>
  <c r="X806"/>
  <c r="X805"/>
  <c r="X804"/>
  <c r="X803"/>
  <c r="X802"/>
  <c r="X801"/>
  <c r="X800"/>
  <c r="X799"/>
  <c r="X798"/>
  <c r="X797"/>
  <c r="X796"/>
  <c r="X795"/>
  <c r="X794"/>
  <c r="X793"/>
  <c r="X792"/>
  <c r="X791"/>
  <c r="X790"/>
  <c r="X789"/>
  <c r="X788"/>
  <c r="X787"/>
  <c r="X786"/>
  <c r="X785"/>
  <c r="X784"/>
  <c r="X783"/>
  <c r="X782"/>
  <c r="X781"/>
  <c r="X780"/>
  <c r="X779"/>
  <c r="X778"/>
  <c r="X777"/>
  <c r="X776"/>
  <c r="X775"/>
  <c r="X774"/>
  <c r="X773"/>
  <c r="X772"/>
  <c r="X771"/>
  <c r="X770"/>
  <c r="X769"/>
  <c r="X768"/>
  <c r="X767"/>
  <c r="X766"/>
  <c r="X765"/>
  <c r="X764"/>
  <c r="X763"/>
  <c r="X762"/>
  <c r="X761"/>
  <c r="X760"/>
  <c r="X759"/>
  <c r="X758"/>
  <c r="X757"/>
  <c r="X756"/>
  <c r="X755"/>
  <c r="X754"/>
  <c r="X753"/>
  <c r="X752"/>
  <c r="X751"/>
  <c r="X750"/>
  <c r="X749"/>
  <c r="X748"/>
  <c r="X747"/>
  <c r="X746"/>
  <c r="X745"/>
  <c r="X744"/>
  <c r="X743"/>
  <c r="X742"/>
  <c r="X741"/>
  <c r="X740"/>
  <c r="X739"/>
  <c r="X738"/>
  <c r="X737"/>
  <c r="X736"/>
  <c r="X735"/>
  <c r="X734"/>
  <c r="X733"/>
  <c r="X732"/>
  <c r="X731"/>
  <c r="X730"/>
  <c r="X729"/>
  <c r="X728"/>
  <c r="X727"/>
  <c r="X726"/>
  <c r="X725"/>
  <c r="X724"/>
  <c r="X723"/>
  <c r="X722"/>
  <c r="X721"/>
  <c r="X720"/>
  <c r="X719"/>
  <c r="X718"/>
  <c r="X717"/>
  <c r="X716"/>
  <c r="X715"/>
  <c r="X714"/>
  <c r="X713"/>
  <c r="X712"/>
  <c r="X711"/>
  <c r="X710"/>
  <c r="X709"/>
  <c r="X708"/>
  <c r="X707"/>
  <c r="X706"/>
  <c r="X705"/>
  <c r="X704"/>
  <c r="X703"/>
  <c r="X702"/>
  <c r="X701"/>
  <c r="X700"/>
  <c r="X699"/>
  <c r="X698"/>
  <c r="X697"/>
  <c r="X696"/>
  <c r="X695"/>
  <c r="X694"/>
  <c r="X693"/>
  <c r="X692"/>
  <c r="X691"/>
  <c r="X690"/>
  <c r="X689"/>
  <c r="X688"/>
  <c r="X687"/>
  <c r="X686"/>
  <c r="X685"/>
  <c r="X684"/>
  <c r="X683"/>
  <c r="X682"/>
  <c r="X681"/>
  <c r="X680"/>
  <c r="X679"/>
  <c r="X678"/>
  <c r="X677"/>
  <c r="X676"/>
  <c r="X675"/>
  <c r="X674"/>
  <c r="X673"/>
  <c r="X672"/>
  <c r="X671"/>
  <c r="X670"/>
  <c r="X669"/>
  <c r="X668"/>
  <c r="X667"/>
  <c r="X666"/>
  <c r="X665"/>
  <c r="X664"/>
  <c r="X663"/>
  <c r="X662"/>
  <c r="X661"/>
  <c r="X660"/>
  <c r="X659"/>
  <c r="X658"/>
  <c r="X657"/>
  <c r="X656"/>
  <c r="X655"/>
  <c r="X654"/>
  <c r="X653"/>
  <c r="X652"/>
  <c r="X651"/>
  <c r="X650"/>
  <c r="X649"/>
  <c r="X648"/>
  <c r="X647"/>
  <c r="X646"/>
  <c r="X645"/>
  <c r="X644"/>
  <c r="X643"/>
  <c r="X642"/>
  <c r="X641"/>
  <c r="X640"/>
  <c r="X639"/>
  <c r="X638"/>
  <c r="X637"/>
  <c r="X636"/>
  <c r="X635"/>
  <c r="X634"/>
  <c r="X633"/>
  <c r="X632"/>
  <c r="X631"/>
  <c r="X630"/>
  <c r="X629"/>
  <c r="X628"/>
  <c r="X627"/>
  <c r="X626"/>
  <c r="X625"/>
  <c r="X624"/>
  <c r="X623"/>
  <c r="X622"/>
  <c r="X621"/>
  <c r="X620"/>
  <c r="X619"/>
  <c r="X618"/>
  <c r="X617"/>
  <c r="X616"/>
  <c r="X615"/>
  <c r="X614"/>
  <c r="X613"/>
  <c r="X612"/>
  <c r="X611"/>
  <c r="X610"/>
  <c r="X609"/>
  <c r="X608"/>
  <c r="X607"/>
  <c r="X606"/>
  <c r="X605"/>
  <c r="X604"/>
  <c r="X603"/>
  <c r="X602"/>
  <c r="X601"/>
  <c r="X600"/>
  <c r="X599"/>
  <c r="X598"/>
  <c r="X597"/>
  <c r="X596"/>
  <c r="X595"/>
  <c r="X594"/>
  <c r="X593"/>
  <c r="X592"/>
  <c r="X591"/>
  <c r="X590"/>
  <c r="X589"/>
  <c r="X588"/>
  <c r="X587"/>
  <c r="X586"/>
  <c r="X585"/>
  <c r="X584"/>
  <c r="X583"/>
  <c r="X582"/>
  <c r="X581"/>
  <c r="X580"/>
  <c r="X579"/>
  <c r="X578"/>
  <c r="X577"/>
  <c r="X576"/>
  <c r="X575"/>
  <c r="X574"/>
  <c r="X573"/>
  <c r="X572"/>
  <c r="X571"/>
  <c r="X570"/>
  <c r="X569"/>
  <c r="X568"/>
  <c r="X567"/>
  <c r="X566"/>
  <c r="X565"/>
  <c r="X564"/>
  <c r="X563"/>
  <c r="X562"/>
  <c r="X561"/>
  <c r="X560"/>
  <c r="X559"/>
  <c r="X558"/>
  <c r="X557"/>
  <c r="X556"/>
  <c r="X555"/>
  <c r="X554"/>
  <c r="X553"/>
  <c r="X552"/>
  <c r="X551"/>
  <c r="X550"/>
  <c r="X549"/>
  <c r="X548"/>
  <c r="X547"/>
  <c r="X546"/>
  <c r="X545"/>
  <c r="X544"/>
  <c r="X543"/>
  <c r="X542"/>
  <c r="X541"/>
  <c r="X540"/>
  <c r="X539"/>
  <c r="X538"/>
  <c r="X537"/>
  <c r="X536"/>
  <c r="X535"/>
  <c r="X534"/>
  <c r="X533"/>
  <c r="X532"/>
  <c r="X531"/>
  <c r="X530"/>
  <c r="X529"/>
  <c r="X528"/>
  <c r="X527"/>
  <c r="X526"/>
  <c r="X525"/>
  <c r="X524"/>
  <c r="X523"/>
  <c r="X522"/>
  <c r="X521"/>
  <c r="X520"/>
  <c r="X519"/>
  <c r="X518"/>
  <c r="X517"/>
  <c r="X516"/>
  <c r="X515"/>
  <c r="X514"/>
  <c r="X513"/>
  <c r="X512"/>
  <c r="X511"/>
  <c r="X510"/>
  <c r="X509"/>
  <c r="X508"/>
  <c r="X507"/>
  <c r="X506"/>
  <c r="X505"/>
  <c r="X504"/>
  <c r="X503"/>
  <c r="X502"/>
  <c r="X501"/>
  <c r="X500"/>
  <c r="X499"/>
  <c r="X498"/>
  <c r="X497"/>
  <c r="X496"/>
  <c r="X495"/>
  <c r="X494"/>
  <c r="X493"/>
  <c r="X492"/>
  <c r="X491"/>
  <c r="X490"/>
  <c r="X489"/>
  <c r="X488"/>
  <c r="X487"/>
  <c r="X486"/>
  <c r="X485"/>
  <c r="X484"/>
  <c r="X483"/>
  <c r="X482"/>
  <c r="X481"/>
  <c r="X480"/>
  <c r="X479"/>
  <c r="X478"/>
  <c r="X477"/>
  <c r="X476"/>
  <c r="X475"/>
  <c r="X474"/>
  <c r="X473"/>
  <c r="X472"/>
  <c r="X471"/>
  <c r="X470"/>
  <c r="X469"/>
  <c r="X468"/>
  <c r="X467"/>
  <c r="X466"/>
  <c r="X465"/>
  <c r="X464"/>
  <c r="X463"/>
  <c r="X462"/>
  <c r="X461"/>
  <c r="X460"/>
  <c r="X459"/>
  <c r="X458"/>
  <c r="X457"/>
  <c r="X456"/>
  <c r="X455"/>
  <c r="X454"/>
  <c r="X453"/>
  <c r="X452"/>
  <c r="X451"/>
  <c r="X450"/>
  <c r="X449"/>
  <c r="X448"/>
  <c r="X447"/>
  <c r="X446"/>
  <c r="X445"/>
  <c r="X444"/>
  <c r="X443"/>
  <c r="X442"/>
  <c r="X441"/>
  <c r="X440"/>
  <c r="X439"/>
  <c r="X438"/>
  <c r="X437"/>
  <c r="X436"/>
  <c r="X435"/>
  <c r="X434"/>
  <c r="X433"/>
  <c r="X432"/>
  <c r="X431"/>
  <c r="X430"/>
  <c r="X429"/>
  <c r="X428"/>
  <c r="X427"/>
  <c r="X426"/>
  <c r="X425"/>
  <c r="X424"/>
  <c r="X423"/>
  <c r="X422"/>
  <c r="X421"/>
  <c r="X420"/>
  <c r="X419"/>
  <c r="X418"/>
  <c r="X417"/>
  <c r="X416"/>
  <c r="X415"/>
  <c r="X414"/>
  <c r="X413"/>
  <c r="X412"/>
  <c r="X411"/>
  <c r="X410"/>
  <c r="X409"/>
  <c r="X408"/>
  <c r="X407"/>
  <c r="X406"/>
  <c r="X405"/>
  <c r="X404"/>
  <c r="X403"/>
  <c r="X402"/>
  <c r="X401"/>
  <c r="X400"/>
  <c r="X399"/>
  <c r="X398"/>
  <c r="X397"/>
  <c r="X396"/>
  <c r="X395"/>
  <c r="X394"/>
  <c r="X393"/>
  <c r="X392"/>
  <c r="X391"/>
  <c r="X390"/>
  <c r="X389"/>
  <c r="X388"/>
  <c r="X387"/>
  <c r="X386"/>
  <c r="X385"/>
  <c r="X384"/>
  <c r="X383"/>
  <c r="X382"/>
  <c r="X381"/>
  <c r="X380"/>
  <c r="X379"/>
  <c r="X378"/>
  <c r="X377"/>
  <c r="X376"/>
  <c r="X375"/>
  <c r="X374"/>
  <c r="X373"/>
  <c r="X372"/>
  <c r="X371"/>
  <c r="X370"/>
  <c r="X369"/>
  <c r="X368"/>
  <c r="X367"/>
  <c r="X366"/>
  <c r="X365"/>
  <c r="X364"/>
  <c r="X363"/>
  <c r="X362"/>
  <c r="X361"/>
  <c r="X360"/>
  <c r="X359"/>
  <c r="X358"/>
  <c r="X357"/>
  <c r="X356"/>
  <c r="X355"/>
  <c r="X354"/>
  <c r="X353"/>
  <c r="X352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W3289"/>
  <c r="V3289"/>
  <c r="W3288"/>
  <c r="V3288"/>
  <c r="W3287"/>
  <c r="V3287"/>
  <c r="W3286"/>
  <c r="V3286"/>
  <c r="W3285"/>
  <c r="V3285"/>
  <c r="W3284"/>
  <c r="V3284"/>
  <c r="W3283"/>
  <c r="V3283"/>
  <c r="W3282"/>
  <c r="V3282"/>
  <c r="W3281"/>
  <c r="V3281"/>
  <c r="W3280"/>
  <c r="V3280"/>
  <c r="W3279"/>
  <c r="V3279"/>
  <c r="W3278"/>
  <c r="V3278"/>
  <c r="W3277"/>
  <c r="V3277"/>
  <c r="W3276"/>
  <c r="V3276"/>
  <c r="V3275"/>
  <c r="V3274"/>
  <c r="V3273"/>
  <c r="W3272"/>
  <c r="V3272"/>
  <c r="W3271"/>
  <c r="V3271"/>
  <c r="W3270"/>
  <c r="V3270"/>
  <c r="W3269"/>
  <c r="V3269"/>
  <c r="W3268"/>
  <c r="V3268"/>
  <c r="W3267"/>
  <c r="V3267"/>
  <c r="W3266"/>
  <c r="V3266"/>
  <c r="W3265"/>
  <c r="V3265"/>
  <c r="W3264"/>
  <c r="V3264"/>
  <c r="W3263"/>
  <c r="V3263"/>
  <c r="W3262"/>
  <c r="V3262"/>
  <c r="W3261"/>
  <c r="V3261"/>
  <c r="W3260"/>
  <c r="V3260"/>
  <c r="W3259"/>
  <c r="V3259"/>
  <c r="W3258"/>
  <c r="V3258"/>
  <c r="W3257"/>
  <c r="V3257"/>
  <c r="W3256"/>
  <c r="V3256"/>
  <c r="W3255"/>
  <c r="V3255"/>
  <c r="W3254"/>
  <c r="V3254"/>
  <c r="W3253"/>
  <c r="V3253"/>
  <c r="W3252"/>
  <c r="V3252"/>
  <c r="W3251"/>
  <c r="V3251"/>
  <c r="V3250"/>
  <c r="V3249"/>
  <c r="V3248"/>
  <c r="V3247"/>
  <c r="V3246"/>
  <c r="V3245"/>
  <c r="V3244"/>
  <c r="W3243"/>
  <c r="V3243"/>
  <c r="W3242"/>
  <c r="V3242"/>
  <c r="W3241"/>
  <c r="V3241"/>
  <c r="W3240"/>
  <c r="V3240"/>
  <c r="W3239"/>
  <c r="V3239"/>
  <c r="W3238"/>
  <c r="V3238"/>
  <c r="W3237"/>
  <c r="V3237"/>
  <c r="W3236"/>
  <c r="V3236"/>
  <c r="W3235"/>
  <c r="V3235"/>
  <c r="W3234"/>
  <c r="V3234"/>
  <c r="W3233"/>
  <c r="V3233"/>
  <c r="W3232"/>
  <c r="V3232"/>
  <c r="W3231"/>
  <c r="V3231"/>
  <c r="W3230"/>
  <c r="V3230"/>
  <c r="W3229"/>
  <c r="V3229"/>
  <c r="W3228"/>
  <c r="V3228"/>
  <c r="W3227"/>
  <c r="V3227"/>
  <c r="W3226"/>
  <c r="V3226"/>
  <c r="W3225"/>
  <c r="V3225"/>
  <c r="W3224"/>
  <c r="V3224"/>
  <c r="W3223"/>
  <c r="V3223"/>
  <c r="W3222"/>
  <c r="V3222"/>
  <c r="W3221"/>
  <c r="V3221"/>
  <c r="W3220"/>
  <c r="V3220"/>
  <c r="W3219"/>
  <c r="V3219"/>
  <c r="V3218"/>
  <c r="V3217"/>
  <c r="V3216"/>
  <c r="V3215"/>
  <c r="V3214"/>
  <c r="V3213"/>
  <c r="W3212"/>
  <c r="V3212"/>
  <c r="W3211"/>
  <c r="V3211"/>
  <c r="W3210"/>
  <c r="V3210"/>
  <c r="W3209"/>
  <c r="V3209"/>
  <c r="W3208"/>
  <c r="V3208"/>
  <c r="W3207"/>
  <c r="V3207"/>
  <c r="W3206"/>
  <c r="V3206"/>
  <c r="W3205"/>
  <c r="V3205"/>
  <c r="W3204"/>
  <c r="V3204"/>
  <c r="W3203"/>
  <c r="V3203"/>
  <c r="W3202"/>
  <c r="V3202"/>
  <c r="W3201"/>
  <c r="V3201"/>
  <c r="W3200"/>
  <c r="V3200"/>
  <c r="W3199"/>
  <c r="V3199"/>
  <c r="W3198"/>
  <c r="V3198"/>
  <c r="W3197"/>
  <c r="V3197"/>
  <c r="W3196"/>
  <c r="V3196"/>
  <c r="W3195"/>
  <c r="V3195"/>
  <c r="W3194"/>
  <c r="V3194"/>
  <c r="W3193"/>
  <c r="V3193"/>
  <c r="W3192"/>
  <c r="V3192"/>
  <c r="W3191"/>
  <c r="V3191"/>
  <c r="W3190"/>
  <c r="V3190"/>
  <c r="W3189"/>
  <c r="V3189"/>
  <c r="W3188"/>
  <c r="V3188"/>
  <c r="W3187"/>
  <c r="V3187"/>
  <c r="W3186"/>
  <c r="V3186"/>
  <c r="W3185"/>
  <c r="V3185"/>
  <c r="W3184"/>
  <c r="V3184"/>
  <c r="W3183"/>
  <c r="V3183"/>
  <c r="W3182"/>
  <c r="V3182"/>
  <c r="W3181"/>
  <c r="V3181"/>
  <c r="W3180"/>
  <c r="V3180"/>
  <c r="W3179"/>
  <c r="V3179"/>
  <c r="W3178"/>
  <c r="V3178"/>
  <c r="W3177"/>
  <c r="V3177"/>
  <c r="W3176"/>
  <c r="V3176"/>
  <c r="W3175"/>
  <c r="V3175"/>
  <c r="W3174"/>
  <c r="V3174"/>
  <c r="W3173"/>
  <c r="V3173"/>
  <c r="W3172"/>
  <c r="V3172"/>
  <c r="W3171"/>
  <c r="V3171"/>
  <c r="W3170"/>
  <c r="V3170"/>
  <c r="W3169"/>
  <c r="V3169"/>
  <c r="W3168"/>
  <c r="V3168"/>
  <c r="V3167"/>
  <c r="V3166"/>
  <c r="V3165"/>
  <c r="W3164"/>
  <c r="V3164"/>
  <c r="V3163"/>
  <c r="W3162"/>
  <c r="V3162"/>
  <c r="V3161"/>
  <c r="V3160"/>
  <c r="W3159"/>
  <c r="V3159"/>
  <c r="W3158"/>
  <c r="V3158"/>
  <c r="V3157"/>
  <c r="V3156"/>
  <c r="W3155"/>
  <c r="V3155"/>
  <c r="W3154"/>
  <c r="V3154"/>
  <c r="W3153"/>
  <c r="V3153"/>
  <c r="W3152"/>
  <c r="V3152"/>
  <c r="W3151"/>
  <c r="V3151"/>
  <c r="W3150"/>
  <c r="V3150"/>
  <c r="W3149"/>
  <c r="V3149"/>
  <c r="W3148"/>
  <c r="V3148"/>
  <c r="W3147"/>
  <c r="V3147"/>
  <c r="W3146"/>
  <c r="V3146"/>
  <c r="W3145"/>
  <c r="V3145"/>
  <c r="W3144"/>
  <c r="V3144"/>
  <c r="W3143"/>
  <c r="V3143"/>
  <c r="W3142"/>
  <c r="V3142"/>
  <c r="W3141"/>
  <c r="V3141"/>
  <c r="W3140"/>
  <c r="V3140"/>
  <c r="W3139"/>
  <c r="V3139"/>
  <c r="V3138"/>
  <c r="W3137"/>
  <c r="V3137"/>
  <c r="V3136"/>
  <c r="V3135"/>
  <c r="V3134"/>
  <c r="V3133"/>
  <c r="V3132"/>
  <c r="V3131"/>
  <c r="W3130"/>
  <c r="V3130"/>
  <c r="W3129"/>
  <c r="V3129"/>
  <c r="W3128"/>
  <c r="V3128"/>
  <c r="V3127"/>
  <c r="W3126"/>
  <c r="V3126"/>
  <c r="V3125"/>
  <c r="V3124"/>
  <c r="W3123"/>
  <c r="V3123"/>
  <c r="W3122"/>
  <c r="V3122"/>
  <c r="W3121"/>
  <c r="V3121"/>
  <c r="W3120"/>
  <c r="V3120"/>
  <c r="W3119"/>
  <c r="V3119"/>
  <c r="W3118"/>
  <c r="V3118"/>
  <c r="W3117"/>
  <c r="V3117"/>
  <c r="W3116"/>
  <c r="V3116"/>
  <c r="W3115"/>
  <c r="V3115"/>
  <c r="W3114"/>
  <c r="V3114"/>
  <c r="W3113"/>
  <c r="V3113"/>
  <c r="W3112"/>
  <c r="V3112"/>
  <c r="W3111"/>
  <c r="V3111"/>
  <c r="W3110"/>
  <c r="V3110"/>
  <c r="W3109"/>
  <c r="V3109"/>
  <c r="W3108"/>
  <c r="V3108"/>
  <c r="W3107"/>
  <c r="V3107"/>
  <c r="W3106"/>
  <c r="V3106"/>
  <c r="W3105"/>
  <c r="V3105"/>
  <c r="W3104"/>
  <c r="V3104"/>
  <c r="W3103"/>
  <c r="V3103"/>
  <c r="V3102"/>
  <c r="V3101"/>
  <c r="W3100"/>
  <c r="V3100"/>
  <c r="W3099"/>
  <c r="V3099"/>
  <c r="W3098"/>
  <c r="V3098"/>
  <c r="W3097"/>
  <c r="V3097"/>
  <c r="W3096"/>
  <c r="V3096"/>
  <c r="W3095"/>
  <c r="V3095"/>
  <c r="W3094"/>
  <c r="V3094"/>
  <c r="W3093"/>
  <c r="V3093"/>
  <c r="W3092"/>
  <c r="V3092"/>
  <c r="W3091"/>
  <c r="V3091"/>
  <c r="W3090"/>
  <c r="V3090"/>
  <c r="W3089"/>
  <c r="V3089"/>
  <c r="W3088"/>
  <c r="V3088"/>
  <c r="W3087"/>
  <c r="V3087"/>
  <c r="V3086"/>
  <c r="V3085"/>
  <c r="V3084"/>
  <c r="V3083"/>
  <c r="V3082"/>
  <c r="W3081"/>
  <c r="V3081"/>
  <c r="W3080"/>
  <c r="V3080"/>
  <c r="V3079"/>
  <c r="W3078"/>
  <c r="V3078"/>
  <c r="V3077"/>
  <c r="V3076"/>
  <c r="V3075"/>
  <c r="W3074"/>
  <c r="V3074"/>
  <c r="W3073"/>
  <c r="V3073"/>
  <c r="W3072"/>
  <c r="V3072"/>
  <c r="W3071"/>
  <c r="V3071"/>
  <c r="W3070"/>
  <c r="V3070"/>
  <c r="W3069"/>
  <c r="V3069"/>
  <c r="W3068"/>
  <c r="V3068"/>
  <c r="W3067"/>
  <c r="V3067"/>
  <c r="W3066"/>
  <c r="V3066"/>
  <c r="W3065"/>
  <c r="V3065"/>
  <c r="W3064"/>
  <c r="V3064"/>
  <c r="W3063"/>
  <c r="V3063"/>
  <c r="W3062"/>
  <c r="V3062"/>
  <c r="W3061"/>
  <c r="V3061"/>
  <c r="W3060"/>
  <c r="V3060"/>
  <c r="W3059"/>
  <c r="V3059"/>
  <c r="W3058"/>
  <c r="V3058"/>
  <c r="W3057"/>
  <c r="V3057"/>
  <c r="W3056"/>
  <c r="V3056"/>
  <c r="W3055"/>
  <c r="V3055"/>
  <c r="W3054"/>
  <c r="V3054"/>
  <c r="W3053"/>
  <c r="V3053"/>
  <c r="W3052"/>
  <c r="V3052"/>
  <c r="V3051"/>
  <c r="V3050"/>
  <c r="V3049"/>
  <c r="V3048"/>
  <c r="V3047"/>
  <c r="W3046"/>
  <c r="V3046"/>
  <c r="W3045"/>
  <c r="V3045"/>
  <c r="V3044"/>
  <c r="W3043"/>
  <c r="V3043"/>
  <c r="V3042"/>
  <c r="W3041"/>
  <c r="V3041"/>
  <c r="W3040"/>
  <c r="V3040"/>
  <c r="W3039"/>
  <c r="V3039"/>
  <c r="W3038"/>
  <c r="V3038"/>
  <c r="W3037"/>
  <c r="V3037"/>
  <c r="W3036"/>
  <c r="V3036"/>
  <c r="W3035"/>
  <c r="V3035"/>
  <c r="W3034"/>
  <c r="V3034"/>
  <c r="W3033"/>
  <c r="V3033"/>
  <c r="W3032"/>
  <c r="V3032"/>
  <c r="W3031"/>
  <c r="V3031"/>
  <c r="W3030"/>
  <c r="V3030"/>
  <c r="W3029"/>
  <c r="V3029"/>
  <c r="W3028"/>
  <c r="V3028"/>
  <c r="W3027"/>
  <c r="V3027"/>
  <c r="W3026"/>
  <c r="V3026"/>
  <c r="V3025"/>
  <c r="V3024"/>
  <c r="V3023"/>
  <c r="V3022"/>
  <c r="V3021"/>
  <c r="V3020"/>
  <c r="V3019"/>
  <c r="V3018"/>
  <c r="W3017"/>
  <c r="V3017"/>
  <c r="W3016"/>
  <c r="V3016"/>
  <c r="W3015"/>
  <c r="V3015"/>
  <c r="W3014"/>
  <c r="V3014"/>
  <c r="W3013"/>
  <c r="V3013"/>
  <c r="W3012"/>
  <c r="V3012"/>
  <c r="W3011"/>
  <c r="V3011"/>
  <c r="W3010"/>
  <c r="V3010"/>
  <c r="W3009"/>
  <c r="V3009"/>
  <c r="W3008"/>
  <c r="V3008"/>
  <c r="W3007"/>
  <c r="V3007"/>
  <c r="W3006"/>
  <c r="V3006"/>
  <c r="W3005"/>
  <c r="V3005"/>
  <c r="V3004"/>
  <c r="V3003"/>
  <c r="V3002"/>
  <c r="W3001"/>
  <c r="V3001"/>
  <c r="V3000"/>
  <c r="W2999"/>
  <c r="V2999"/>
  <c r="W2998"/>
  <c r="V2998"/>
  <c r="V2997"/>
  <c r="V2996"/>
  <c r="V2995"/>
  <c r="W2994"/>
  <c r="V2994"/>
  <c r="V2993"/>
  <c r="V2992"/>
  <c r="V2991"/>
  <c r="V2990"/>
  <c r="V2989"/>
  <c r="V2988"/>
  <c r="V2987"/>
  <c r="W2986"/>
  <c r="V2986"/>
  <c r="W2985"/>
  <c r="V2985"/>
  <c r="W2984"/>
  <c r="V2984"/>
  <c r="W2983"/>
  <c r="V2983"/>
  <c r="W2982"/>
  <c r="V2982"/>
  <c r="W2981"/>
  <c r="V2981"/>
  <c r="W2980"/>
  <c r="V2980"/>
  <c r="W2979"/>
  <c r="V2979"/>
  <c r="W2978"/>
  <c r="V2978"/>
  <c r="W2977"/>
  <c r="V2977"/>
  <c r="W2976"/>
  <c r="V2976"/>
  <c r="W2975"/>
  <c r="V2975"/>
  <c r="W2974"/>
  <c r="V2974"/>
  <c r="W2973"/>
  <c r="V2973"/>
  <c r="W2972"/>
  <c r="V2972"/>
  <c r="W2971"/>
  <c r="V2971"/>
  <c r="W2970"/>
  <c r="V2970"/>
  <c r="W2969"/>
  <c r="V2969"/>
  <c r="W2968"/>
  <c r="V2968"/>
  <c r="W2967"/>
  <c r="V2967"/>
  <c r="V2966"/>
  <c r="V2965"/>
  <c r="W2964"/>
  <c r="V2964"/>
  <c r="V2963"/>
  <c r="V2962"/>
  <c r="V2961"/>
  <c r="V2960"/>
  <c r="W2959"/>
  <c r="V2959"/>
  <c r="V2958"/>
  <c r="V2957"/>
  <c r="W2956"/>
  <c r="V2956"/>
  <c r="V2955"/>
  <c r="V2954"/>
  <c r="W2953"/>
  <c r="V2953"/>
  <c r="W2952"/>
  <c r="V2952"/>
  <c r="W2951"/>
  <c r="V2951"/>
  <c r="W2950"/>
  <c r="V2950"/>
  <c r="W2949"/>
  <c r="V2949"/>
  <c r="W2948"/>
  <c r="V2948"/>
  <c r="W2947"/>
  <c r="V2947"/>
  <c r="W2946"/>
  <c r="V2946"/>
  <c r="W2945"/>
  <c r="V2945"/>
  <c r="W2944"/>
  <c r="V2944"/>
  <c r="W2943"/>
  <c r="V2943"/>
  <c r="W2942"/>
  <c r="V2942"/>
  <c r="W2941"/>
  <c r="V2941"/>
  <c r="W2940"/>
  <c r="V2940"/>
  <c r="W2939"/>
  <c r="V2939"/>
  <c r="W2938"/>
  <c r="V2938"/>
  <c r="W2937"/>
  <c r="V2937"/>
  <c r="W2936"/>
  <c r="V2936"/>
  <c r="W2935"/>
  <c r="V2935"/>
  <c r="W2934"/>
  <c r="V2934"/>
  <c r="V2933"/>
  <c r="V2932"/>
  <c r="V2931"/>
  <c r="V2930"/>
  <c r="V2929"/>
  <c r="V2928"/>
  <c r="V2927"/>
  <c r="V2926"/>
  <c r="V2925"/>
  <c r="W2924"/>
  <c r="V2924"/>
  <c r="W2923"/>
  <c r="V2923"/>
  <c r="V2922"/>
  <c r="V2921"/>
  <c r="V2920"/>
  <c r="V2919"/>
  <c r="V2918"/>
  <c r="W2917"/>
  <c r="V2917"/>
  <c r="V2916"/>
  <c r="V2915"/>
  <c r="V2914"/>
  <c r="W2913"/>
  <c r="V2913"/>
  <c r="V2912"/>
  <c r="V2911"/>
  <c r="V2910"/>
  <c r="V2909"/>
  <c r="V2908"/>
  <c r="V2907"/>
  <c r="V2906"/>
  <c r="V2905"/>
  <c r="V2904"/>
  <c r="V2903"/>
  <c r="V2902"/>
  <c r="V2901"/>
  <c r="V2900"/>
  <c r="V2899"/>
  <c r="V2898"/>
  <c r="V2897"/>
  <c r="V2896"/>
  <c r="W2895"/>
  <c r="V2895"/>
  <c r="V2894"/>
  <c r="V2893"/>
  <c r="W2892"/>
  <c r="V2892"/>
  <c r="W2891"/>
  <c r="V2891"/>
  <c r="W2890"/>
  <c r="V2890"/>
  <c r="W2889"/>
  <c r="V2889"/>
  <c r="W2888"/>
  <c r="V2888"/>
  <c r="W2887"/>
  <c r="V2887"/>
  <c r="W2886"/>
  <c r="V2886"/>
  <c r="W2885"/>
  <c r="V2885"/>
  <c r="W2884"/>
  <c r="V2884"/>
  <c r="W2883"/>
  <c r="V2883"/>
  <c r="W2882"/>
  <c r="V2882"/>
  <c r="W2881"/>
  <c r="V2881"/>
  <c r="W2880"/>
  <c r="V2880"/>
  <c r="W2879"/>
  <c r="V2879"/>
  <c r="W2878"/>
  <c r="V2878"/>
  <c r="W2877"/>
  <c r="V2877"/>
  <c r="W2876"/>
  <c r="V2876"/>
  <c r="W2875"/>
  <c r="V2875"/>
  <c r="W2874"/>
  <c r="V2874"/>
  <c r="W2873"/>
  <c r="V2873"/>
  <c r="W2872"/>
  <c r="V2872"/>
  <c r="W2871"/>
  <c r="V2871"/>
  <c r="W2870"/>
  <c r="V2870"/>
  <c r="W2869"/>
  <c r="V2869"/>
  <c r="W2868"/>
  <c r="V2868"/>
  <c r="V2867"/>
  <c r="V2866"/>
  <c r="V2865"/>
  <c r="V2864"/>
  <c r="V2863"/>
  <c r="V2862"/>
  <c r="V2861"/>
  <c r="V2860"/>
  <c r="V2859"/>
  <c r="V2858"/>
  <c r="V2857"/>
  <c r="W2856"/>
  <c r="V2856"/>
  <c r="W2855"/>
  <c r="V2855"/>
  <c r="V2854"/>
  <c r="V2853"/>
  <c r="W2852"/>
  <c r="V2852"/>
  <c r="W2851"/>
  <c r="V2851"/>
  <c r="V2850"/>
  <c r="W2849"/>
  <c r="V2849"/>
  <c r="W2848"/>
  <c r="V2848"/>
  <c r="V2847"/>
  <c r="V2846"/>
  <c r="V2845"/>
  <c r="V2844"/>
  <c r="V2843"/>
  <c r="V2842"/>
  <c r="V2841"/>
  <c r="V2840"/>
  <c r="V2839"/>
  <c r="V2838"/>
  <c r="W2837"/>
  <c r="V2837"/>
  <c r="W2836"/>
  <c r="V2836"/>
  <c r="W2835"/>
  <c r="V2835"/>
  <c r="W2834"/>
  <c r="V2834"/>
  <c r="W2833"/>
  <c r="V2833"/>
  <c r="W2832"/>
  <c r="V2832"/>
  <c r="W2831"/>
  <c r="V2831"/>
  <c r="W2830"/>
  <c r="V2830"/>
  <c r="W2829"/>
  <c r="V2829"/>
  <c r="W2828"/>
  <c r="V2828"/>
  <c r="W2827"/>
  <c r="V2827"/>
  <c r="W2826"/>
  <c r="V2826"/>
  <c r="W2825"/>
  <c r="V2825"/>
  <c r="W2824"/>
  <c r="V2824"/>
  <c r="W2823"/>
  <c r="V2823"/>
  <c r="W2822"/>
  <c r="V2822"/>
  <c r="W2821"/>
  <c r="V2821"/>
  <c r="W2820"/>
  <c r="V2820"/>
  <c r="V2819"/>
  <c r="W2818"/>
  <c r="V2818"/>
  <c r="V2817"/>
  <c r="V2816"/>
  <c r="W2815"/>
  <c r="V2815"/>
  <c r="W2814"/>
  <c r="V2814"/>
  <c r="W2813"/>
  <c r="V2813"/>
  <c r="V2812"/>
  <c r="V2811"/>
  <c r="V2810"/>
  <c r="V2809"/>
  <c r="V2808"/>
  <c r="V2807"/>
  <c r="V2806"/>
  <c r="V2805"/>
  <c r="W2804"/>
  <c r="V2804"/>
  <c r="W2803"/>
  <c r="V2803"/>
  <c r="W2802"/>
  <c r="V2802"/>
  <c r="W2801"/>
  <c r="V2801"/>
  <c r="W2800"/>
  <c r="V2800"/>
  <c r="W2799"/>
  <c r="V2799"/>
  <c r="W2798"/>
  <c r="V2798"/>
  <c r="W2797"/>
  <c r="V2797"/>
  <c r="W2796"/>
  <c r="V2796"/>
  <c r="W2795"/>
  <c r="V2795"/>
  <c r="W2794"/>
  <c r="V2794"/>
  <c r="W2793"/>
  <c r="V2793"/>
  <c r="W2792"/>
  <c r="V2792"/>
  <c r="W2791"/>
  <c r="V2791"/>
  <c r="W2790"/>
  <c r="V2790"/>
  <c r="W2789"/>
  <c r="V2789"/>
  <c r="W2788"/>
  <c r="V2788"/>
  <c r="W2787"/>
  <c r="V2787"/>
  <c r="W2786"/>
  <c r="V2786"/>
  <c r="W2785"/>
  <c r="V2785"/>
  <c r="W2784"/>
  <c r="V2784"/>
  <c r="W2783"/>
  <c r="V2783"/>
  <c r="W2782"/>
  <c r="V2782"/>
  <c r="W2781"/>
  <c r="V2781"/>
  <c r="W2780"/>
  <c r="V2780"/>
  <c r="W2779"/>
  <c r="V2779"/>
  <c r="W2778"/>
  <c r="V2778"/>
  <c r="W2777"/>
  <c r="V2777"/>
  <c r="W2776"/>
  <c r="V2776"/>
  <c r="W2775"/>
  <c r="V2775"/>
  <c r="V2774"/>
  <c r="V2773"/>
  <c r="V2772"/>
  <c r="W2771"/>
  <c r="V2771"/>
  <c r="V2770"/>
  <c r="V2769"/>
  <c r="V2768"/>
  <c r="V2767"/>
  <c r="V2766"/>
  <c r="V2765"/>
  <c r="W2764"/>
  <c r="V2764"/>
  <c r="W2763"/>
  <c r="V2763"/>
  <c r="V2762"/>
  <c r="V2761"/>
  <c r="W2760"/>
  <c r="V2760"/>
  <c r="W2759"/>
  <c r="V2759"/>
  <c r="W2758"/>
  <c r="V2758"/>
  <c r="W2757"/>
  <c r="V2757"/>
  <c r="V2756"/>
  <c r="V2755"/>
  <c r="V2754"/>
  <c r="W2753"/>
  <c r="V2753"/>
  <c r="V2752"/>
  <c r="V2751"/>
  <c r="V2750"/>
  <c r="V2749"/>
  <c r="V2748"/>
  <c r="V2747"/>
  <c r="V2746"/>
  <c r="V2745"/>
  <c r="V2744"/>
  <c r="V2743"/>
  <c r="W2742"/>
  <c r="V2742"/>
  <c r="W2741"/>
  <c r="V2741"/>
  <c r="W2740"/>
  <c r="V2740"/>
  <c r="W2739"/>
  <c r="V2739"/>
  <c r="W2738"/>
  <c r="V2738"/>
  <c r="V2737"/>
  <c r="V2736"/>
  <c r="V2735"/>
  <c r="V2734"/>
  <c r="V2733"/>
  <c r="V2732"/>
  <c r="V2731"/>
  <c r="V2730"/>
  <c r="V2729"/>
  <c r="V2728"/>
  <c r="V2727"/>
  <c r="V2726"/>
  <c r="V2725"/>
  <c r="V2724"/>
  <c r="V2723"/>
  <c r="V2722"/>
  <c r="V2721"/>
  <c r="V2720"/>
  <c r="V2719"/>
  <c r="V2718"/>
  <c r="W2717"/>
  <c r="V2717"/>
  <c r="W2716"/>
  <c r="V2716"/>
  <c r="W2715"/>
  <c r="V2715"/>
  <c r="W2714"/>
  <c r="V2714"/>
  <c r="W2713"/>
  <c r="V2713"/>
  <c r="W2712"/>
  <c r="V2712"/>
  <c r="W2711"/>
  <c r="V2711"/>
  <c r="W2710"/>
  <c r="V2710"/>
  <c r="W2709"/>
  <c r="V2709"/>
  <c r="W2708"/>
  <c r="V2708"/>
  <c r="W2707"/>
  <c r="V2707"/>
  <c r="W2706"/>
  <c r="V2706"/>
  <c r="W2705"/>
  <c r="V2705"/>
  <c r="W2704"/>
  <c r="V2704"/>
  <c r="W2703"/>
  <c r="V2703"/>
  <c r="W2702"/>
  <c r="V2702"/>
  <c r="W2701"/>
  <c r="V2701"/>
  <c r="W2700"/>
  <c r="V2700"/>
  <c r="W2699"/>
  <c r="V2699"/>
  <c r="W2698"/>
  <c r="V2698"/>
  <c r="W2697"/>
  <c r="V2697"/>
  <c r="W2696"/>
  <c r="V2696"/>
  <c r="W2695"/>
  <c r="V2695"/>
  <c r="W2694"/>
  <c r="V2694"/>
  <c r="W2693"/>
  <c r="V2693"/>
  <c r="W2692"/>
  <c r="V2692"/>
  <c r="W2691"/>
  <c r="V2691"/>
  <c r="W2690"/>
  <c r="V2690"/>
  <c r="W2689"/>
  <c r="V2689"/>
  <c r="W2688"/>
  <c r="V2688"/>
  <c r="W2687"/>
  <c r="V2687"/>
  <c r="W2686"/>
  <c r="V2686"/>
  <c r="W2685"/>
  <c r="V2685"/>
  <c r="W2684"/>
  <c r="V2684"/>
  <c r="W2683"/>
  <c r="V2683"/>
  <c r="V2682"/>
  <c r="V2681"/>
  <c r="V2680"/>
  <c r="V2679"/>
  <c r="V2678"/>
  <c r="V2677"/>
  <c r="W2676"/>
  <c r="V2676"/>
  <c r="W2675"/>
  <c r="V2675"/>
  <c r="W2674"/>
  <c r="V2674"/>
  <c r="W2673"/>
  <c r="V2673"/>
  <c r="W2672"/>
  <c r="V2672"/>
  <c r="W2671"/>
  <c r="V2671"/>
  <c r="W2670"/>
  <c r="V2670"/>
  <c r="W2669"/>
  <c r="V2669"/>
  <c r="W2668"/>
  <c r="V2668"/>
  <c r="W2667"/>
  <c r="V2667"/>
  <c r="W2666"/>
  <c r="V2666"/>
  <c r="W2665"/>
  <c r="V2665"/>
  <c r="W2664"/>
  <c r="V2664"/>
  <c r="W2663"/>
  <c r="V2663"/>
  <c r="W2662"/>
  <c r="V2662"/>
  <c r="W2661"/>
  <c r="V2661"/>
  <c r="W2660"/>
  <c r="V2660"/>
  <c r="W2659"/>
  <c r="V2659"/>
  <c r="W2658"/>
  <c r="V2658"/>
  <c r="W2657"/>
  <c r="V2657"/>
  <c r="W2656"/>
  <c r="V2656"/>
  <c r="W2655"/>
  <c r="V2655"/>
  <c r="W2654"/>
  <c r="V2654"/>
  <c r="W2653"/>
  <c r="V2653"/>
  <c r="W2652"/>
  <c r="V2652"/>
  <c r="W2651"/>
  <c r="V2651"/>
  <c r="W2650"/>
  <c r="V2650"/>
  <c r="W2649"/>
  <c r="V2649"/>
  <c r="W2648"/>
  <c r="V2648"/>
  <c r="W2647"/>
  <c r="V2647"/>
  <c r="W2646"/>
  <c r="V2646"/>
  <c r="W2645"/>
  <c r="V2645"/>
  <c r="W2644"/>
  <c r="V2644"/>
  <c r="W2643"/>
  <c r="V2643"/>
  <c r="W2642"/>
  <c r="V2642"/>
  <c r="W2641"/>
  <c r="V2641"/>
  <c r="W2640"/>
  <c r="V2640"/>
  <c r="W2639"/>
  <c r="V2639"/>
  <c r="W2638"/>
  <c r="V2638"/>
  <c r="W2637"/>
  <c r="V2637"/>
  <c r="W2636"/>
  <c r="V2636"/>
  <c r="W2635"/>
  <c r="V2635"/>
  <c r="W2634"/>
  <c r="V2634"/>
  <c r="W2633"/>
  <c r="V2633"/>
  <c r="W2632"/>
  <c r="V2632"/>
  <c r="W2631"/>
  <c r="V2631"/>
  <c r="W2630"/>
  <c r="V2630"/>
  <c r="W2629"/>
  <c r="V2629"/>
  <c r="W2628"/>
  <c r="V2628"/>
  <c r="W2627"/>
  <c r="V2627"/>
  <c r="W2626"/>
  <c r="V2626"/>
  <c r="W2625"/>
  <c r="V2625"/>
  <c r="W2624"/>
  <c r="V2624"/>
  <c r="W2623"/>
  <c r="V2623"/>
  <c r="W2622"/>
  <c r="V2622"/>
  <c r="W2621"/>
  <c r="V2621"/>
  <c r="W2620"/>
  <c r="V2620"/>
  <c r="W2619"/>
  <c r="V2619"/>
  <c r="W2618"/>
  <c r="V2618"/>
  <c r="W2617"/>
  <c r="V2617"/>
  <c r="W2616"/>
  <c r="V2616"/>
  <c r="W2615"/>
  <c r="V2615"/>
  <c r="W2614"/>
  <c r="V2614"/>
  <c r="W2613"/>
  <c r="V2613"/>
  <c r="W2612"/>
  <c r="V2612"/>
  <c r="W2611"/>
  <c r="V2611"/>
  <c r="W2610"/>
  <c r="V2610"/>
  <c r="W2609"/>
  <c r="V2609"/>
  <c r="W2608"/>
  <c r="V2608"/>
  <c r="W2607"/>
  <c r="V2607"/>
  <c r="W2606"/>
  <c r="V2606"/>
  <c r="W2605"/>
  <c r="V2605"/>
  <c r="W2604"/>
  <c r="V2604"/>
  <c r="W2603"/>
  <c r="V2603"/>
  <c r="W2602"/>
  <c r="V2602"/>
  <c r="W2601"/>
  <c r="V2601"/>
  <c r="W2600"/>
  <c r="V2600"/>
  <c r="W2599"/>
  <c r="V2599"/>
  <c r="W2598"/>
  <c r="V2598"/>
  <c r="W2597"/>
  <c r="V2597"/>
  <c r="W2596"/>
  <c r="V2596"/>
  <c r="W2595"/>
  <c r="V2595"/>
  <c r="W2594"/>
  <c r="V2594"/>
  <c r="W2593"/>
  <c r="V2593"/>
  <c r="W2592"/>
  <c r="V2592"/>
  <c r="W2591"/>
  <c r="V2591"/>
  <c r="W2590"/>
  <c r="V2590"/>
  <c r="W2589"/>
  <c r="V2589"/>
  <c r="W2588"/>
  <c r="V2588"/>
  <c r="W2587"/>
  <c r="V2587"/>
  <c r="W2586"/>
  <c r="V2586"/>
  <c r="W2585"/>
  <c r="V2585"/>
  <c r="W2584"/>
  <c r="V2584"/>
  <c r="W2583"/>
  <c r="V2583"/>
  <c r="W2582"/>
  <c r="V2582"/>
  <c r="W2581"/>
  <c r="V2581"/>
  <c r="W2580"/>
  <c r="V2580"/>
  <c r="W2579"/>
  <c r="V2579"/>
  <c r="W2578"/>
  <c r="V2578"/>
  <c r="W2577"/>
  <c r="V2577"/>
  <c r="W2576"/>
  <c r="V2576"/>
  <c r="W2575"/>
  <c r="V2575"/>
  <c r="W2574"/>
  <c r="V2574"/>
  <c r="W2573"/>
  <c r="V2573"/>
  <c r="W2572"/>
  <c r="V2572"/>
  <c r="W2571"/>
  <c r="V2571"/>
  <c r="W2570"/>
  <c r="V2570"/>
  <c r="W2569"/>
  <c r="V2569"/>
  <c r="W2568"/>
  <c r="V2568"/>
  <c r="W2567"/>
  <c r="V2567"/>
  <c r="W2566"/>
  <c r="V2566"/>
  <c r="W2565"/>
  <c r="V2565"/>
  <c r="W2564"/>
  <c r="V2564"/>
  <c r="W2563"/>
  <c r="V2563"/>
  <c r="W2562"/>
  <c r="V2562"/>
  <c r="W2561"/>
  <c r="V2561"/>
  <c r="W2560"/>
  <c r="V2560"/>
  <c r="W2559"/>
  <c r="V2559"/>
  <c r="W2558"/>
  <c r="V2558"/>
  <c r="W2557"/>
  <c r="V2557"/>
  <c r="W2556"/>
  <c r="V2556"/>
  <c r="W2555"/>
  <c r="V2555"/>
  <c r="W2554"/>
  <c r="V2554"/>
  <c r="W2553"/>
  <c r="V2553"/>
  <c r="W2552"/>
  <c r="V2552"/>
  <c r="W2551"/>
  <c r="V2551"/>
  <c r="W2550"/>
  <c r="V2550"/>
  <c r="W2549"/>
  <c r="V2549"/>
  <c r="W2548"/>
  <c r="V2548"/>
  <c r="W2547"/>
  <c r="V2547"/>
  <c r="W2546"/>
  <c r="V2546"/>
  <c r="W2545"/>
  <c r="V2545"/>
  <c r="W2544"/>
  <c r="V2544"/>
  <c r="W2543"/>
  <c r="V2543"/>
  <c r="W2542"/>
  <c r="V2542"/>
  <c r="W2541"/>
  <c r="V2541"/>
  <c r="W2540"/>
  <c r="V2540"/>
  <c r="W2539"/>
  <c r="V2539"/>
  <c r="W2538"/>
  <c r="V2538"/>
  <c r="W2537"/>
  <c r="V2537"/>
  <c r="W2536"/>
  <c r="V2536"/>
  <c r="W2535"/>
  <c r="V2535"/>
  <c r="W2534"/>
  <c r="V2534"/>
  <c r="W2533"/>
  <c r="V2533"/>
  <c r="W2532"/>
  <c r="V2532"/>
  <c r="W2531"/>
  <c r="V2531"/>
  <c r="W2530"/>
  <c r="V2530"/>
  <c r="W2529"/>
  <c r="V2529"/>
  <c r="W2528"/>
  <c r="V2528"/>
  <c r="W2527"/>
  <c r="V2527"/>
  <c r="W2526"/>
  <c r="V2526"/>
  <c r="W2525"/>
  <c r="V2525"/>
  <c r="W2524"/>
  <c r="V2524"/>
  <c r="W2523"/>
  <c r="V2523"/>
  <c r="W2522"/>
  <c r="V2522"/>
  <c r="W2521"/>
  <c r="V2521"/>
  <c r="W2520"/>
  <c r="V2520"/>
  <c r="W2519"/>
  <c r="V2519"/>
  <c r="W2518"/>
  <c r="V2518"/>
  <c r="W2517"/>
  <c r="V2517"/>
  <c r="W2516"/>
  <c r="V2516"/>
  <c r="W2515"/>
  <c r="V2515"/>
  <c r="W2514"/>
  <c r="V2514"/>
  <c r="W2513"/>
  <c r="V2513"/>
  <c r="W2512"/>
  <c r="V2512"/>
  <c r="W2511"/>
  <c r="V2511"/>
  <c r="W2510"/>
  <c r="V2510"/>
  <c r="W2509"/>
  <c r="V2509"/>
  <c r="W2508"/>
  <c r="V2508"/>
  <c r="W2507"/>
  <c r="V2507"/>
  <c r="W2506"/>
  <c r="V2506"/>
  <c r="W2505"/>
  <c r="V2505"/>
  <c r="W2504"/>
  <c r="V2504"/>
  <c r="W2503"/>
  <c r="V2503"/>
  <c r="W2502"/>
  <c r="V2502"/>
  <c r="W2501"/>
  <c r="V2501"/>
  <c r="W2500"/>
  <c r="V2500"/>
  <c r="W2499"/>
  <c r="V2499"/>
  <c r="W2498"/>
  <c r="V2498"/>
  <c r="W2497"/>
  <c r="V2497"/>
  <c r="W2496"/>
  <c r="V2496"/>
  <c r="W2495"/>
  <c r="V2495"/>
  <c r="W2494"/>
  <c r="V2494"/>
  <c r="W2493"/>
  <c r="V2493"/>
  <c r="W2492"/>
  <c r="V2492"/>
  <c r="W2491"/>
  <c r="V2491"/>
  <c r="W2490"/>
  <c r="V2490"/>
  <c r="W2489"/>
  <c r="V2489"/>
  <c r="W2488"/>
  <c r="V2488"/>
  <c r="W2487"/>
  <c r="V2487"/>
  <c r="W2486"/>
  <c r="V2486"/>
  <c r="V2485"/>
  <c r="V2484"/>
  <c r="V2483"/>
  <c r="V2482"/>
  <c r="V2481"/>
  <c r="W2480"/>
  <c r="V2480"/>
  <c r="W2479"/>
  <c r="V2479"/>
  <c r="W2478"/>
  <c r="V2478"/>
  <c r="W2477"/>
  <c r="V2477"/>
  <c r="W2476"/>
  <c r="V2476"/>
  <c r="W2475"/>
  <c r="V2475"/>
  <c r="W2474"/>
  <c r="V2474"/>
  <c r="W2473"/>
  <c r="V2473"/>
  <c r="W2472"/>
  <c r="V2472"/>
  <c r="W2471"/>
  <c r="V2471"/>
  <c r="W2470"/>
  <c r="V2470"/>
  <c r="W2469"/>
  <c r="V2469"/>
  <c r="W2468"/>
  <c r="V2468"/>
  <c r="W2467"/>
  <c r="V2467"/>
  <c r="W2466"/>
  <c r="V2466"/>
  <c r="W2465"/>
  <c r="V2465"/>
  <c r="W2464"/>
  <c r="V2464"/>
  <c r="W2463"/>
  <c r="V2463"/>
  <c r="W2462"/>
  <c r="V2462"/>
  <c r="W2461"/>
  <c r="V2461"/>
  <c r="W2460"/>
  <c r="V2460"/>
  <c r="W2459"/>
  <c r="V2459"/>
  <c r="W2458"/>
  <c r="V2458"/>
  <c r="W2457"/>
  <c r="V2457"/>
  <c r="W2456"/>
  <c r="V2456"/>
  <c r="W2455"/>
  <c r="V2455"/>
  <c r="W2454"/>
  <c r="V2454"/>
  <c r="V2453"/>
  <c r="V2452"/>
  <c r="V2451"/>
  <c r="V2450"/>
  <c r="W2449"/>
  <c r="V2449"/>
  <c r="W2448"/>
  <c r="V2448"/>
  <c r="W2447"/>
  <c r="V2447"/>
  <c r="W2446"/>
  <c r="V2446"/>
  <c r="W2445"/>
  <c r="V2445"/>
  <c r="W2444"/>
  <c r="V2444"/>
  <c r="W2443"/>
  <c r="V2443"/>
  <c r="W2442"/>
  <c r="V2442"/>
  <c r="W2441"/>
  <c r="V2441"/>
  <c r="W2440"/>
  <c r="V2440"/>
  <c r="W2439"/>
  <c r="V2439"/>
  <c r="W2438"/>
  <c r="V2438"/>
  <c r="W2437"/>
  <c r="V2437"/>
  <c r="W2436"/>
  <c r="V2436"/>
  <c r="W2435"/>
  <c r="V2435"/>
  <c r="W2434"/>
  <c r="V2434"/>
  <c r="W2433"/>
  <c r="V2433"/>
  <c r="V2432"/>
  <c r="V2431"/>
  <c r="V2430"/>
  <c r="V2429"/>
  <c r="W2428"/>
  <c r="V2428"/>
  <c r="W2427"/>
  <c r="V2427"/>
  <c r="W2426"/>
  <c r="V2426"/>
  <c r="W2425"/>
  <c r="V2425"/>
  <c r="W2424"/>
  <c r="V2424"/>
  <c r="W2423"/>
  <c r="V2423"/>
  <c r="W2422"/>
  <c r="V2422"/>
  <c r="W2421"/>
  <c r="V2421"/>
  <c r="W2420"/>
  <c r="V2420"/>
  <c r="W2419"/>
  <c r="V2419"/>
  <c r="W2418"/>
  <c r="V2418"/>
  <c r="W2417"/>
  <c r="V2417"/>
  <c r="W2416"/>
  <c r="V2416"/>
  <c r="W2415"/>
  <c r="V2415"/>
  <c r="W2414"/>
  <c r="V2414"/>
  <c r="W2413"/>
  <c r="V2413"/>
  <c r="W2412"/>
  <c r="V2412"/>
  <c r="W2411"/>
  <c r="V2411"/>
  <c r="W2410"/>
  <c r="V2410"/>
  <c r="W2409"/>
  <c r="V2409"/>
  <c r="W2408"/>
  <c r="V2408"/>
  <c r="W2407"/>
  <c r="V2407"/>
  <c r="W2406"/>
  <c r="V2406"/>
  <c r="W2405"/>
  <c r="V2405"/>
  <c r="W2404"/>
  <c r="V2404"/>
  <c r="W2403"/>
  <c r="V2403"/>
  <c r="W2402"/>
  <c r="V2402"/>
  <c r="W2401"/>
  <c r="V2401"/>
  <c r="W2400"/>
  <c r="V2400"/>
  <c r="W2399"/>
  <c r="V2399"/>
  <c r="W2398"/>
  <c r="V2398"/>
  <c r="W2397"/>
  <c r="V2397"/>
  <c r="W2396"/>
  <c r="V2396"/>
  <c r="W2395"/>
  <c r="V2395"/>
  <c r="W2394"/>
  <c r="V2394"/>
  <c r="W2393"/>
  <c r="V2393"/>
  <c r="W2392"/>
  <c r="V2392"/>
  <c r="W2391"/>
  <c r="V2391"/>
  <c r="W2390"/>
  <c r="V2390"/>
  <c r="W2389"/>
  <c r="V2389"/>
  <c r="W2388"/>
  <c r="V2388"/>
  <c r="W2387"/>
  <c r="V2387"/>
  <c r="W2386"/>
  <c r="V2386"/>
  <c r="W2385"/>
  <c r="V2385"/>
  <c r="W2384"/>
  <c r="V2384"/>
  <c r="W2383"/>
  <c r="V2383"/>
  <c r="W2382"/>
  <c r="V2382"/>
  <c r="W2381"/>
  <c r="V2381"/>
  <c r="W2380"/>
  <c r="V2380"/>
  <c r="W2379"/>
  <c r="V2379"/>
  <c r="W2378"/>
  <c r="V2378"/>
  <c r="W2377"/>
  <c r="V2377"/>
  <c r="W2376"/>
  <c r="V2376"/>
  <c r="W2375"/>
  <c r="V2375"/>
  <c r="W2374"/>
  <c r="V2374"/>
  <c r="W2373"/>
  <c r="V2373"/>
  <c r="W2372"/>
  <c r="V2372"/>
  <c r="W2371"/>
  <c r="V2371"/>
  <c r="W2370"/>
  <c r="V2370"/>
  <c r="W2369"/>
  <c r="V2369"/>
  <c r="W2368"/>
  <c r="V2368"/>
  <c r="W2367"/>
  <c r="V2367"/>
  <c r="W2366"/>
  <c r="V2366"/>
  <c r="W2365"/>
  <c r="V2365"/>
  <c r="W2364"/>
  <c r="V2364"/>
  <c r="W2363"/>
  <c r="V2363"/>
  <c r="W2362"/>
  <c r="V2362"/>
  <c r="W2361"/>
  <c r="V2361"/>
  <c r="W2360"/>
  <c r="V2360"/>
  <c r="W2359"/>
  <c r="V2359"/>
  <c r="W2358"/>
  <c r="V2358"/>
  <c r="W2357"/>
  <c r="V2357"/>
  <c r="W2356"/>
  <c r="V2356"/>
  <c r="W2355"/>
  <c r="V2355"/>
  <c r="W2354"/>
  <c r="V2354"/>
  <c r="W2353"/>
  <c r="V2353"/>
  <c r="W2352"/>
  <c r="V2352"/>
  <c r="W2351"/>
  <c r="V2351"/>
  <c r="W2350"/>
  <c r="V2350"/>
  <c r="W2349"/>
  <c r="V2349"/>
  <c r="W2348"/>
  <c r="V2348"/>
  <c r="W2347"/>
  <c r="V2347"/>
  <c r="W2346"/>
  <c r="V2346"/>
  <c r="W2345"/>
  <c r="V2345"/>
  <c r="W2344"/>
  <c r="V2344"/>
  <c r="W2343"/>
  <c r="V2343"/>
  <c r="W2342"/>
  <c r="V2342"/>
  <c r="W2341"/>
  <c r="V2341"/>
  <c r="W2340"/>
  <c r="V2340"/>
  <c r="W2339"/>
  <c r="V2339"/>
  <c r="W2338"/>
  <c r="V2338"/>
  <c r="W2337"/>
  <c r="V2337"/>
  <c r="W2336"/>
  <c r="V2336"/>
  <c r="W2335"/>
  <c r="V2335"/>
  <c r="W2334"/>
  <c r="V2334"/>
  <c r="W2333"/>
  <c r="V2333"/>
  <c r="W2332"/>
  <c r="V2332"/>
  <c r="W2331"/>
  <c r="V2331"/>
  <c r="W2330"/>
  <c r="V2330"/>
  <c r="W2329"/>
  <c r="V2329"/>
  <c r="W2328"/>
  <c r="V2328"/>
  <c r="W2327"/>
  <c r="V2327"/>
  <c r="W2326"/>
  <c r="V2326"/>
  <c r="W2325"/>
  <c r="V2325"/>
  <c r="W2324"/>
  <c r="V2324"/>
  <c r="W2323"/>
  <c r="V2323"/>
  <c r="W2322"/>
  <c r="V2322"/>
  <c r="W2321"/>
  <c r="V2321"/>
  <c r="W2320"/>
  <c r="V2320"/>
  <c r="V2319"/>
  <c r="W2318"/>
  <c r="V2318"/>
  <c r="W2317"/>
  <c r="V2317"/>
  <c r="W2316"/>
  <c r="V2316"/>
  <c r="W2315"/>
  <c r="V2315"/>
  <c r="W2314"/>
  <c r="V2314"/>
  <c r="W2313"/>
  <c r="V2313"/>
  <c r="W2312"/>
  <c r="V2312"/>
  <c r="W2311"/>
  <c r="V2311"/>
  <c r="W2310"/>
  <c r="V2310"/>
  <c r="W2309"/>
  <c r="V2309"/>
  <c r="W2308"/>
  <c r="V2308"/>
  <c r="W2307"/>
  <c r="V2307"/>
  <c r="W2306"/>
  <c r="V2306"/>
  <c r="W2305"/>
  <c r="V2305"/>
  <c r="W2304"/>
  <c r="V2304"/>
  <c r="W2303"/>
  <c r="V2303"/>
  <c r="W2302"/>
  <c r="V2302"/>
  <c r="W2301"/>
  <c r="V2301"/>
  <c r="W2300"/>
  <c r="V2300"/>
  <c r="W2299"/>
  <c r="V2299"/>
  <c r="W2298"/>
  <c r="V2298"/>
  <c r="W2297"/>
  <c r="V2297"/>
  <c r="W2296"/>
  <c r="V2296"/>
  <c r="W2295"/>
  <c r="V2295"/>
  <c r="W2294"/>
  <c r="V2294"/>
  <c r="V2293"/>
  <c r="V2292"/>
  <c r="W2291"/>
  <c r="V2291"/>
  <c r="W2290"/>
  <c r="V2290"/>
  <c r="W2289"/>
  <c r="V2289"/>
  <c r="W2288"/>
  <c r="V2288"/>
  <c r="W2287"/>
  <c r="V2287"/>
  <c r="W2286"/>
  <c r="V2286"/>
  <c r="W2285"/>
  <c r="V2285"/>
  <c r="W2284"/>
  <c r="V2284"/>
  <c r="W2283"/>
  <c r="V2283"/>
  <c r="W2282"/>
  <c r="V2282"/>
  <c r="W2281"/>
  <c r="V2281"/>
  <c r="W2280"/>
  <c r="V2280"/>
  <c r="W2279"/>
  <c r="V2279"/>
  <c r="W2278"/>
  <c r="V2278"/>
  <c r="W2277"/>
  <c r="V2277"/>
  <c r="W2276"/>
  <c r="V2276"/>
  <c r="W2275"/>
  <c r="V2275"/>
  <c r="W2274"/>
  <c r="V2274"/>
  <c r="W2273"/>
  <c r="V2273"/>
  <c r="W2272"/>
  <c r="V2272"/>
  <c r="V2271"/>
  <c r="V2270"/>
  <c r="V2269"/>
  <c r="V2268"/>
  <c r="V2267"/>
  <c r="V2266"/>
  <c r="V2265"/>
  <c r="V2264"/>
  <c r="V2263"/>
  <c r="V2262"/>
  <c r="V2261"/>
  <c r="V2260"/>
  <c r="V2259"/>
  <c r="V2258"/>
  <c r="V2257"/>
  <c r="V2256"/>
  <c r="W2255"/>
  <c r="V2255"/>
  <c r="V2254"/>
  <c r="V2253"/>
  <c r="V2252"/>
  <c r="V2251"/>
  <c r="W2250"/>
  <c r="V2250"/>
  <c r="W2249"/>
  <c r="V2249"/>
  <c r="W2248"/>
  <c r="V2248"/>
  <c r="W2247"/>
  <c r="V2247"/>
  <c r="W2246"/>
  <c r="V2246"/>
  <c r="W2245"/>
  <c r="V2245"/>
  <c r="W2244"/>
  <c r="V2244"/>
  <c r="W2243"/>
  <c r="V2243"/>
  <c r="W2242"/>
  <c r="V2242"/>
  <c r="W2241"/>
  <c r="V2241"/>
  <c r="W2240"/>
  <c r="V2240"/>
  <c r="W2239"/>
  <c r="V2239"/>
  <c r="W2238"/>
  <c r="V2238"/>
  <c r="W2237"/>
  <c r="V2237"/>
  <c r="W2236"/>
  <c r="V2236"/>
  <c r="W2235"/>
  <c r="V2235"/>
  <c r="W2234"/>
  <c r="V2234"/>
  <c r="W2233"/>
  <c r="V2233"/>
  <c r="W2232"/>
  <c r="V2232"/>
  <c r="W2231"/>
  <c r="V2231"/>
  <c r="W2230"/>
  <c r="V2230"/>
  <c r="W2229"/>
  <c r="V2229"/>
  <c r="W2228"/>
  <c r="V2228"/>
  <c r="W2227"/>
  <c r="V2227"/>
  <c r="W2226"/>
  <c r="V2226"/>
  <c r="W2225"/>
  <c r="V2225"/>
  <c r="W2224"/>
  <c r="V2224"/>
  <c r="W2223"/>
  <c r="V2223"/>
  <c r="W2222"/>
  <c r="V2222"/>
  <c r="W2221"/>
  <c r="V2221"/>
  <c r="W2220"/>
  <c r="V2220"/>
  <c r="W2219"/>
  <c r="V2219"/>
  <c r="W2218"/>
  <c r="V2218"/>
  <c r="W2217"/>
  <c r="V2217"/>
  <c r="W2216"/>
  <c r="V2216"/>
  <c r="W2215"/>
  <c r="V2215"/>
  <c r="W2214"/>
  <c r="V2214"/>
  <c r="W2213"/>
  <c r="V2213"/>
  <c r="W2212"/>
  <c r="V2212"/>
  <c r="W2211"/>
  <c r="V2211"/>
  <c r="W2210"/>
  <c r="V2210"/>
  <c r="W2209"/>
  <c r="V2209"/>
  <c r="W2208"/>
  <c r="V2208"/>
  <c r="W2207"/>
  <c r="V2207"/>
  <c r="W2206"/>
  <c r="V2206"/>
  <c r="W2205"/>
  <c r="V2205"/>
  <c r="W2204"/>
  <c r="V2204"/>
  <c r="W2203"/>
  <c r="V2203"/>
  <c r="W2202"/>
  <c r="V2202"/>
  <c r="W2201"/>
  <c r="V2201"/>
  <c r="W2200"/>
  <c r="V2200"/>
  <c r="W2199"/>
  <c r="V2199"/>
  <c r="W2198"/>
  <c r="V2198"/>
  <c r="W2197"/>
  <c r="V2197"/>
  <c r="W2196"/>
  <c r="V2196"/>
  <c r="W2195"/>
  <c r="V2195"/>
  <c r="W2194"/>
  <c r="V2194"/>
  <c r="W2193"/>
  <c r="V2193"/>
  <c r="W2192"/>
  <c r="V2192"/>
  <c r="W2191"/>
  <c r="V2191"/>
  <c r="W2190"/>
  <c r="V2190"/>
  <c r="W2189"/>
  <c r="V2189"/>
  <c r="W2188"/>
  <c r="V2188"/>
  <c r="W2187"/>
  <c r="V2187"/>
  <c r="W2186"/>
  <c r="V2186"/>
  <c r="W2185"/>
  <c r="V2185"/>
  <c r="W2184"/>
  <c r="V2184"/>
  <c r="W2183"/>
  <c r="V2183"/>
  <c r="W2182"/>
  <c r="V2182"/>
  <c r="W2181"/>
  <c r="V2181"/>
  <c r="W2180"/>
  <c r="V2180"/>
  <c r="W2179"/>
  <c r="V2179"/>
  <c r="W2178"/>
  <c r="V2178"/>
  <c r="W2177"/>
  <c r="V2177"/>
  <c r="W2176"/>
  <c r="V2176"/>
  <c r="W2175"/>
  <c r="V2175"/>
  <c r="W2174"/>
  <c r="V2174"/>
  <c r="W2173"/>
  <c r="V2173"/>
  <c r="W2172"/>
  <c r="V2172"/>
  <c r="W2171"/>
  <c r="V2171"/>
  <c r="W2170"/>
  <c r="V2170"/>
  <c r="W2169"/>
  <c r="V2169"/>
  <c r="W2168"/>
  <c r="V2168"/>
  <c r="W2167"/>
  <c r="V2167"/>
  <c r="W2166"/>
  <c r="V2166"/>
  <c r="W2165"/>
  <c r="V2165"/>
  <c r="W2164"/>
  <c r="V2164"/>
  <c r="W2163"/>
  <c r="V2163"/>
  <c r="W2162"/>
  <c r="V2162"/>
  <c r="W2161"/>
  <c r="V2161"/>
  <c r="W2160"/>
  <c r="V2160"/>
  <c r="W2159"/>
  <c r="V2159"/>
  <c r="W2158"/>
  <c r="V2158"/>
  <c r="W2157"/>
  <c r="V2157"/>
  <c r="W2156"/>
  <c r="V2156"/>
  <c r="W2155"/>
  <c r="V2155"/>
  <c r="W2154"/>
  <c r="V2154"/>
  <c r="W2153"/>
  <c r="V2153"/>
  <c r="W2152"/>
  <c r="V2152"/>
  <c r="W2151"/>
  <c r="V2151"/>
  <c r="W2150"/>
  <c r="V2150"/>
  <c r="W2149"/>
  <c r="V2149"/>
  <c r="W2148"/>
  <c r="V2148"/>
  <c r="W2147"/>
  <c r="V2147"/>
  <c r="W2146"/>
  <c r="V2146"/>
  <c r="W2145"/>
  <c r="V2145"/>
  <c r="W2144"/>
  <c r="V2144"/>
  <c r="W2143"/>
  <c r="V2143"/>
  <c r="W2142"/>
  <c r="V2142"/>
  <c r="W2141"/>
  <c r="V2141"/>
  <c r="W2140"/>
  <c r="V2140"/>
  <c r="W2139"/>
  <c r="V2139"/>
  <c r="W2138"/>
  <c r="V2138"/>
  <c r="W2137"/>
  <c r="V2137"/>
  <c r="W2136"/>
  <c r="V2136"/>
  <c r="W2135"/>
  <c r="V2135"/>
  <c r="W2134"/>
  <c r="V2134"/>
  <c r="W2133"/>
  <c r="V2133"/>
  <c r="W2132"/>
  <c r="V2132"/>
  <c r="W2131"/>
  <c r="V2131"/>
  <c r="W2130"/>
  <c r="V2130"/>
  <c r="W2129"/>
  <c r="V2129"/>
  <c r="W2128"/>
  <c r="V2128"/>
  <c r="W2127"/>
  <c r="V2127"/>
  <c r="W2126"/>
  <c r="V2126"/>
  <c r="W2125"/>
  <c r="V2125"/>
  <c r="W2124"/>
  <c r="V2124"/>
  <c r="W2123"/>
  <c r="V2123"/>
  <c r="W2122"/>
  <c r="V2122"/>
  <c r="W2121"/>
  <c r="V2121"/>
  <c r="W2120"/>
  <c r="V2120"/>
  <c r="W2119"/>
  <c r="V2119"/>
  <c r="W2118"/>
  <c r="V2118"/>
  <c r="W2117"/>
  <c r="V2117"/>
  <c r="W2116"/>
  <c r="V2116"/>
  <c r="W2115"/>
  <c r="V2115"/>
  <c r="W2114"/>
  <c r="V2114"/>
  <c r="W2113"/>
  <c r="V2113"/>
  <c r="W2112"/>
  <c r="V2112"/>
  <c r="W2111"/>
  <c r="V2111"/>
  <c r="W2110"/>
  <c r="V2110"/>
  <c r="W2109"/>
  <c r="V2109"/>
  <c r="W2108"/>
  <c r="V2108"/>
  <c r="W2107"/>
  <c r="V2107"/>
  <c r="W2106"/>
  <c r="V2106"/>
  <c r="W2105"/>
  <c r="V2105"/>
  <c r="W2104"/>
  <c r="V2104"/>
  <c r="W2103"/>
  <c r="V2103"/>
  <c r="W2102"/>
  <c r="V2102"/>
  <c r="W2101"/>
  <c r="V2101"/>
  <c r="W2100"/>
  <c r="V2100"/>
  <c r="W2099"/>
  <c r="V2099"/>
  <c r="W2098"/>
  <c r="V2098"/>
  <c r="W2097"/>
  <c r="V2097"/>
  <c r="W2096"/>
  <c r="V2096"/>
  <c r="W2095"/>
  <c r="V2095"/>
  <c r="W2094"/>
  <c r="V2094"/>
  <c r="W2093"/>
  <c r="V2093"/>
  <c r="W2092"/>
  <c r="V2092"/>
  <c r="W2091"/>
  <c r="V2091"/>
  <c r="W2090"/>
  <c r="V2090"/>
  <c r="V2089"/>
  <c r="W2088"/>
  <c r="V2088"/>
  <c r="W2087"/>
  <c r="V2087"/>
  <c r="W2086"/>
  <c r="V2086"/>
  <c r="W2085"/>
  <c r="V2085"/>
  <c r="W2084"/>
  <c r="V2084"/>
  <c r="W2083"/>
  <c r="V2083"/>
  <c r="W2082"/>
  <c r="V2082"/>
  <c r="W2081"/>
  <c r="V2081"/>
  <c r="W2080"/>
  <c r="V2080"/>
  <c r="W2079"/>
  <c r="V2079"/>
  <c r="W2078"/>
  <c r="V2078"/>
  <c r="W2077"/>
  <c r="V2077"/>
  <c r="W2076"/>
  <c r="V2076"/>
  <c r="W2075"/>
  <c r="V2075"/>
  <c r="W2074"/>
  <c r="V2074"/>
  <c r="W2073"/>
  <c r="V2073"/>
  <c r="W2072"/>
  <c r="V2072"/>
  <c r="W2071"/>
  <c r="V2071"/>
  <c r="W2070"/>
  <c r="V2070"/>
  <c r="W2069"/>
  <c r="V2069"/>
  <c r="W2068"/>
  <c r="V2068"/>
  <c r="W2067"/>
  <c r="V2067"/>
  <c r="W2066"/>
  <c r="V2066"/>
  <c r="W2065"/>
  <c r="V2065"/>
  <c r="W2064"/>
  <c r="V2064"/>
  <c r="W2063"/>
  <c r="V2063"/>
  <c r="W2062"/>
  <c r="V2062"/>
  <c r="W2061"/>
  <c r="V2061"/>
  <c r="W2060"/>
  <c r="V2060"/>
  <c r="W2059"/>
  <c r="V2059"/>
  <c r="W2058"/>
  <c r="V2058"/>
  <c r="W2057"/>
  <c r="V2057"/>
  <c r="W2056"/>
  <c r="V2056"/>
  <c r="W2055"/>
  <c r="V2055"/>
  <c r="W2054"/>
  <c r="V2054"/>
  <c r="W2053"/>
  <c r="V2053"/>
  <c r="W2052"/>
  <c r="V2052"/>
  <c r="W2051"/>
  <c r="V2051"/>
  <c r="W2050"/>
  <c r="V2050"/>
  <c r="W2049"/>
  <c r="V2049"/>
  <c r="W2048"/>
  <c r="V2048"/>
  <c r="W2047"/>
  <c r="V2047"/>
  <c r="W2046"/>
  <c r="V2046"/>
  <c r="W2045"/>
  <c r="V2045"/>
  <c r="W2044"/>
  <c r="V2044"/>
  <c r="W2043"/>
  <c r="V2043"/>
  <c r="W2042"/>
  <c r="V2042"/>
  <c r="W2041"/>
  <c r="V2041"/>
  <c r="W2040"/>
  <c r="V2040"/>
  <c r="W2039"/>
  <c r="V2039"/>
  <c r="W2038"/>
  <c r="V2038"/>
  <c r="W2037"/>
  <c r="V2037"/>
  <c r="W2036"/>
  <c r="V2036"/>
  <c r="W2035"/>
  <c r="V2035"/>
  <c r="W2034"/>
  <c r="V2034"/>
  <c r="W2033"/>
  <c r="V2033"/>
  <c r="W2032"/>
  <c r="V2032"/>
  <c r="W2031"/>
  <c r="V2031"/>
  <c r="W2030"/>
  <c r="V2030"/>
  <c r="W2029"/>
  <c r="V2029"/>
  <c r="W2028"/>
  <c r="V2028"/>
  <c r="W2027"/>
  <c r="V2027"/>
  <c r="W2026"/>
  <c r="V2026"/>
  <c r="W2025"/>
  <c r="V2025"/>
  <c r="W2024"/>
  <c r="V2024"/>
  <c r="W2023"/>
  <c r="V2023"/>
  <c r="W2022"/>
  <c r="V2022"/>
  <c r="W2021"/>
  <c r="V2021"/>
  <c r="W2020"/>
  <c r="V2020"/>
  <c r="W2019"/>
  <c r="V2019"/>
  <c r="W2018"/>
  <c r="V2018"/>
  <c r="W2017"/>
  <c r="V2017"/>
  <c r="V2016"/>
  <c r="W2015"/>
  <c r="V2015"/>
  <c r="W2014"/>
  <c r="V2014"/>
  <c r="W2013"/>
  <c r="V2013"/>
  <c r="W2012"/>
  <c r="V2012"/>
  <c r="V2011"/>
  <c r="V2010"/>
  <c r="V2009"/>
  <c r="V2008"/>
  <c r="V2007"/>
  <c r="W2006"/>
  <c r="V2006"/>
  <c r="W2005"/>
  <c r="V2005"/>
  <c r="W2004"/>
  <c r="V2004"/>
  <c r="W2003"/>
  <c r="V2003"/>
  <c r="W2002"/>
  <c r="V2002"/>
  <c r="W2001"/>
  <c r="V2001"/>
  <c r="W2000"/>
  <c r="V2000"/>
  <c r="W1999"/>
  <c r="V1999"/>
  <c r="W1998"/>
  <c r="V1998"/>
  <c r="W1997"/>
  <c r="V1997"/>
  <c r="W1996"/>
  <c r="V1996"/>
  <c r="W1995"/>
  <c r="V1995"/>
  <c r="W1994"/>
  <c r="V1994"/>
  <c r="W1993"/>
  <c r="V1993"/>
  <c r="W1992"/>
  <c r="V1992"/>
  <c r="W1991"/>
  <c r="V1991"/>
  <c r="W1990"/>
  <c r="V1990"/>
  <c r="W1989"/>
  <c r="V1989"/>
  <c r="W1988"/>
  <c r="V1988"/>
  <c r="W1987"/>
  <c r="V1987"/>
  <c r="W1986"/>
  <c r="V1986"/>
  <c r="W1985"/>
  <c r="V1985"/>
  <c r="W1984"/>
  <c r="V1984"/>
  <c r="W1983"/>
  <c r="V1983"/>
  <c r="W1982"/>
  <c r="V1982"/>
  <c r="W1981"/>
  <c r="V1981"/>
  <c r="W1980"/>
  <c r="V1980"/>
  <c r="V1979"/>
  <c r="V1978"/>
  <c r="V1977"/>
  <c r="V1976"/>
  <c r="V1975"/>
  <c r="V1974"/>
  <c r="W1973"/>
  <c r="V1973"/>
  <c r="W1972"/>
  <c r="V1972"/>
  <c r="W1971"/>
  <c r="V1971"/>
  <c r="W1970"/>
  <c r="V1970"/>
  <c r="V1969"/>
  <c r="V1968"/>
  <c r="W1967"/>
  <c r="V1967"/>
  <c r="W1966"/>
  <c r="V1966"/>
  <c r="W1965"/>
  <c r="V1965"/>
  <c r="W1964"/>
  <c r="V1964"/>
  <c r="W1963"/>
  <c r="V1963"/>
  <c r="W1962"/>
  <c r="V1962"/>
  <c r="W1961"/>
  <c r="V1961"/>
  <c r="W1960"/>
  <c r="V1960"/>
  <c r="W1959"/>
  <c r="V1959"/>
  <c r="W1958"/>
  <c r="V1958"/>
  <c r="W1957"/>
  <c r="V1957"/>
  <c r="W1956"/>
  <c r="V1956"/>
  <c r="W1955"/>
  <c r="V1955"/>
  <c r="W1954"/>
  <c r="V1954"/>
  <c r="W1953"/>
  <c r="V1953"/>
  <c r="W1952"/>
  <c r="V1952"/>
  <c r="W1951"/>
  <c r="V1951"/>
  <c r="W1950"/>
  <c r="V1950"/>
  <c r="W1949"/>
  <c r="V1949"/>
  <c r="W1948"/>
  <c r="V1948"/>
  <c r="W1947"/>
  <c r="V1947"/>
  <c r="W1946"/>
  <c r="V1946"/>
  <c r="W1945"/>
  <c r="V1945"/>
  <c r="W1944"/>
  <c r="V1944"/>
  <c r="W1943"/>
  <c r="V1943"/>
  <c r="W1942"/>
  <c r="V1942"/>
  <c r="W1941"/>
  <c r="V1941"/>
  <c r="W1940"/>
  <c r="V1940"/>
  <c r="W1939"/>
  <c r="V1939"/>
  <c r="W1938"/>
  <c r="V1938"/>
  <c r="W1937"/>
  <c r="V1937"/>
  <c r="W1936"/>
  <c r="V1936"/>
  <c r="W1935"/>
  <c r="V1935"/>
  <c r="W1934"/>
  <c r="V1934"/>
  <c r="W1933"/>
  <c r="V1933"/>
  <c r="W1932"/>
  <c r="V1932"/>
  <c r="W1931"/>
  <c r="V1931"/>
  <c r="W1930"/>
  <c r="V1930"/>
  <c r="W1929"/>
  <c r="V1929"/>
  <c r="W1928"/>
  <c r="V1928"/>
  <c r="W1927"/>
  <c r="V1927"/>
  <c r="W1926"/>
  <c r="V1926"/>
  <c r="W1925"/>
  <c r="V1925"/>
  <c r="W1924"/>
  <c r="V1924"/>
  <c r="W1923"/>
  <c r="V1923"/>
  <c r="W1922"/>
  <c r="V1922"/>
  <c r="W1921"/>
  <c r="V1921"/>
  <c r="W1920"/>
  <c r="V1920"/>
  <c r="W1919"/>
  <c r="V1919"/>
  <c r="W1918"/>
  <c r="V1918"/>
  <c r="W1917"/>
  <c r="V1917"/>
  <c r="W1916"/>
  <c r="V1916"/>
  <c r="W1915"/>
  <c r="V1915"/>
  <c r="W1914"/>
  <c r="V1914"/>
  <c r="V1913"/>
  <c r="V1912"/>
  <c r="V1911"/>
  <c r="W1910"/>
  <c r="V1910"/>
  <c r="W1909"/>
  <c r="V1909"/>
  <c r="W1908"/>
  <c r="V1908"/>
  <c r="W1907"/>
  <c r="V1907"/>
  <c r="W1906"/>
  <c r="V1906"/>
  <c r="W1905"/>
  <c r="V1905"/>
  <c r="W1904"/>
  <c r="V1904"/>
  <c r="W1903"/>
  <c r="V1903"/>
  <c r="W1902"/>
  <c r="V1902"/>
  <c r="W1901"/>
  <c r="V1901"/>
  <c r="W1900"/>
  <c r="V1900"/>
  <c r="W1899"/>
  <c r="V1899"/>
  <c r="W1898"/>
  <c r="V1898"/>
  <c r="W1897"/>
  <c r="V1897"/>
  <c r="W1896"/>
  <c r="V1896"/>
  <c r="W1895"/>
  <c r="V1895"/>
  <c r="W1894"/>
  <c r="V1894"/>
  <c r="W1893"/>
  <c r="V1893"/>
  <c r="W1892"/>
  <c r="V1892"/>
  <c r="W1891"/>
  <c r="V1891"/>
  <c r="W1890"/>
  <c r="V1890"/>
  <c r="W1889"/>
  <c r="V1889"/>
  <c r="W1888"/>
  <c r="V1888"/>
  <c r="W1887"/>
  <c r="V1887"/>
  <c r="W1886"/>
  <c r="V1886"/>
  <c r="W1885"/>
  <c r="V1885"/>
  <c r="W1884"/>
  <c r="V1884"/>
  <c r="W1883"/>
  <c r="V1883"/>
  <c r="W1882"/>
  <c r="V1882"/>
  <c r="W1881"/>
  <c r="V1881"/>
  <c r="W1880"/>
  <c r="V1880"/>
  <c r="W1879"/>
  <c r="V1879"/>
  <c r="W1878"/>
  <c r="V1878"/>
  <c r="W1877"/>
  <c r="V1877"/>
  <c r="W1876"/>
  <c r="V1876"/>
  <c r="W1875"/>
  <c r="V1875"/>
  <c r="W1874"/>
  <c r="V1874"/>
  <c r="W1873"/>
  <c r="V1873"/>
  <c r="V1872"/>
  <c r="W1871"/>
  <c r="V1871"/>
  <c r="W1870"/>
  <c r="V1870"/>
  <c r="W1869"/>
  <c r="V1869"/>
  <c r="W1868"/>
  <c r="V1868"/>
  <c r="W1867"/>
  <c r="V1867"/>
  <c r="W1866"/>
  <c r="V1866"/>
  <c r="W1865"/>
  <c r="V1865"/>
  <c r="W1864"/>
  <c r="V1864"/>
  <c r="W1863"/>
  <c r="V1863"/>
  <c r="W1862"/>
  <c r="V1862"/>
  <c r="W1861"/>
  <c r="V1861"/>
  <c r="W1860"/>
  <c r="V1860"/>
  <c r="W1859"/>
  <c r="V1859"/>
  <c r="W1858"/>
  <c r="V1858"/>
  <c r="W1857"/>
  <c r="V1857"/>
  <c r="W1856"/>
  <c r="V1856"/>
  <c r="W1855"/>
  <c r="V1855"/>
  <c r="W1854"/>
  <c r="V1854"/>
  <c r="W1853"/>
  <c r="V1853"/>
  <c r="W1852"/>
  <c r="V1852"/>
  <c r="W1851"/>
  <c r="V1851"/>
  <c r="W1850"/>
  <c r="V1850"/>
  <c r="W1849"/>
  <c r="V1849"/>
  <c r="W1848"/>
  <c r="V1848"/>
  <c r="W1847"/>
  <c r="V1847"/>
  <c r="W1846"/>
  <c r="V1846"/>
  <c r="W1845"/>
  <c r="V1845"/>
  <c r="W1844"/>
  <c r="V1844"/>
  <c r="W1843"/>
  <c r="V1843"/>
  <c r="W1842"/>
  <c r="V1842"/>
  <c r="W1841"/>
  <c r="V1841"/>
  <c r="W1840"/>
  <c r="V1840"/>
  <c r="W1839"/>
  <c r="V1839"/>
  <c r="W1838"/>
  <c r="V1838"/>
  <c r="W1837"/>
  <c r="V1837"/>
  <c r="W1836"/>
  <c r="V1836"/>
  <c r="W1835"/>
  <c r="V1835"/>
  <c r="W1834"/>
  <c r="V1834"/>
  <c r="W1833"/>
  <c r="V1833"/>
  <c r="W1832"/>
  <c r="V1832"/>
  <c r="W1831"/>
  <c r="V1831"/>
  <c r="W1830"/>
  <c r="V1830"/>
  <c r="W1829"/>
  <c r="V1829"/>
  <c r="W1828"/>
  <c r="V1828"/>
  <c r="W1827"/>
  <c r="V1827"/>
  <c r="W1826"/>
  <c r="V1826"/>
  <c r="W1825"/>
  <c r="V1825"/>
  <c r="W1824"/>
  <c r="V1824"/>
  <c r="W1823"/>
  <c r="V1823"/>
  <c r="W1822"/>
  <c r="V1822"/>
  <c r="W1821"/>
  <c r="V1821"/>
  <c r="W1820"/>
  <c r="V1820"/>
  <c r="W1819"/>
  <c r="V1819"/>
  <c r="W1818"/>
  <c r="V1818"/>
  <c r="W1817"/>
  <c r="V1817"/>
  <c r="W1816"/>
  <c r="V1816"/>
  <c r="W1815"/>
  <c r="V1815"/>
  <c r="W1814"/>
  <c r="V1814"/>
  <c r="W1813"/>
  <c r="V1813"/>
  <c r="W1812"/>
  <c r="V1812"/>
  <c r="W1811"/>
  <c r="V1811"/>
  <c r="W1810"/>
  <c r="V1810"/>
  <c r="W1809"/>
  <c r="V1809"/>
  <c r="W1808"/>
  <c r="V1808"/>
  <c r="W1807"/>
  <c r="V1807"/>
  <c r="W1806"/>
  <c r="V1806"/>
  <c r="W1805"/>
  <c r="V1805"/>
  <c r="W1804"/>
  <c r="V1804"/>
  <c r="W1803"/>
  <c r="V1803"/>
  <c r="W1802"/>
  <c r="V1802"/>
  <c r="W1801"/>
  <c r="V1801"/>
  <c r="W1800"/>
  <c r="V1800"/>
  <c r="W1799"/>
  <c r="V1799"/>
  <c r="W1798"/>
  <c r="V1798"/>
  <c r="W1797"/>
  <c r="V1797"/>
  <c r="W1796"/>
  <c r="V1796"/>
  <c r="W1795"/>
  <c r="V1795"/>
  <c r="W1794"/>
  <c r="V1794"/>
  <c r="W1793"/>
  <c r="V1793"/>
  <c r="W1792"/>
  <c r="V1792"/>
  <c r="W1791"/>
  <c r="V1791"/>
  <c r="W1790"/>
  <c r="V1790"/>
  <c r="W1789"/>
  <c r="V1789"/>
  <c r="W1788"/>
  <c r="V1788"/>
  <c r="W1787"/>
  <c r="V1787"/>
  <c r="W1786"/>
  <c r="V1786"/>
  <c r="W1785"/>
  <c r="V1785"/>
  <c r="W1784"/>
  <c r="V1784"/>
  <c r="W1783"/>
  <c r="V1783"/>
  <c r="W1782"/>
  <c r="V1782"/>
  <c r="W1781"/>
  <c r="V1781"/>
  <c r="W1780"/>
  <c r="V1780"/>
  <c r="W1779"/>
  <c r="V1779"/>
  <c r="W1778"/>
  <c r="V1778"/>
  <c r="W1777"/>
  <c r="V1777"/>
  <c r="W1776"/>
  <c r="V1776"/>
  <c r="W1775"/>
  <c r="V1775"/>
  <c r="W1774"/>
  <c r="V1774"/>
  <c r="W1773"/>
  <c r="V1773"/>
  <c r="W1772"/>
  <c r="V1772"/>
  <c r="W1771"/>
  <c r="V1771"/>
  <c r="W1770"/>
  <c r="V1770"/>
  <c r="W1769"/>
  <c r="V1769"/>
  <c r="W1768"/>
  <c r="V1768"/>
  <c r="W1767"/>
  <c r="V1767"/>
  <c r="W1766"/>
  <c r="V1766"/>
  <c r="W1765"/>
  <c r="V1765"/>
  <c r="W1764"/>
  <c r="V1764"/>
  <c r="W1763"/>
  <c r="V1763"/>
  <c r="W1762"/>
  <c r="V1762"/>
  <c r="W1761"/>
  <c r="V1761"/>
  <c r="W1760"/>
  <c r="V1760"/>
  <c r="W1759"/>
  <c r="V1759"/>
  <c r="W1758"/>
  <c r="V1758"/>
  <c r="W1757"/>
  <c r="V1757"/>
  <c r="W1756"/>
  <c r="V1756"/>
  <c r="W1755"/>
  <c r="V1755"/>
  <c r="W1754"/>
  <c r="V1754"/>
  <c r="W1753"/>
  <c r="V1753"/>
  <c r="W1752"/>
  <c r="V1752"/>
  <c r="W1751"/>
  <c r="V1751"/>
  <c r="W1750"/>
  <c r="V1750"/>
  <c r="W1749"/>
  <c r="V1749"/>
  <c r="W1748"/>
  <c r="V1748"/>
  <c r="W1747"/>
  <c r="V1747"/>
  <c r="W1746"/>
  <c r="V1746"/>
  <c r="W1745"/>
  <c r="V1745"/>
  <c r="W1744"/>
  <c r="V1744"/>
  <c r="W1743"/>
  <c r="V1743"/>
  <c r="W1742"/>
  <c r="V1742"/>
  <c r="W1741"/>
  <c r="V1741"/>
  <c r="W1740"/>
  <c r="V1740"/>
  <c r="W1739"/>
  <c r="V1739"/>
  <c r="W1738"/>
  <c r="V1738"/>
  <c r="W1737"/>
  <c r="V1737"/>
  <c r="W1736"/>
  <c r="V1736"/>
  <c r="W1735"/>
  <c r="V1735"/>
  <c r="W1734"/>
  <c r="V1734"/>
  <c r="W1733"/>
  <c r="V1733"/>
  <c r="W1732"/>
  <c r="V1732"/>
  <c r="W1731"/>
  <c r="V1731"/>
  <c r="W1730"/>
  <c r="V1730"/>
  <c r="W1729"/>
  <c r="V1729"/>
  <c r="W1728"/>
  <c r="V1728"/>
  <c r="W1727"/>
  <c r="V1727"/>
  <c r="W1726"/>
  <c r="V1726"/>
  <c r="W1725"/>
  <c r="V1725"/>
  <c r="W1724"/>
  <c r="V1724"/>
  <c r="W1723"/>
  <c r="V1723"/>
  <c r="W1722"/>
  <c r="V1722"/>
  <c r="W1721"/>
  <c r="V1721"/>
  <c r="W1720"/>
  <c r="V1720"/>
  <c r="W1719"/>
  <c r="V1719"/>
  <c r="W1718"/>
  <c r="V1718"/>
  <c r="W1717"/>
  <c r="V1717"/>
  <c r="W1716"/>
  <c r="V1716"/>
  <c r="W1715"/>
  <c r="V1715"/>
  <c r="W1714"/>
  <c r="V1714"/>
  <c r="W1713"/>
  <c r="V1713"/>
  <c r="W1712"/>
  <c r="V1712"/>
  <c r="W1711"/>
  <c r="V1711"/>
  <c r="W1710"/>
  <c r="V1710"/>
  <c r="W1709"/>
  <c r="V1709"/>
  <c r="W1708"/>
  <c r="V1708"/>
  <c r="W1707"/>
  <c r="V1707"/>
  <c r="W1706"/>
  <c r="V1706"/>
  <c r="W1705"/>
  <c r="V1705"/>
  <c r="W1704"/>
  <c r="V1704"/>
  <c r="W1703"/>
  <c r="V1703"/>
  <c r="W1702"/>
  <c r="V1702"/>
  <c r="W1701"/>
  <c r="V1701"/>
  <c r="W1700"/>
  <c r="V1700"/>
  <c r="W1699"/>
  <c r="V1699"/>
  <c r="W1698"/>
  <c r="V1698"/>
  <c r="W1697"/>
  <c r="V1697"/>
  <c r="W1696"/>
  <c r="V1696"/>
  <c r="W1695"/>
  <c r="V1695"/>
  <c r="W1694"/>
  <c r="V1694"/>
  <c r="W1693"/>
  <c r="V1693"/>
  <c r="W1692"/>
  <c r="V1692"/>
  <c r="W1691"/>
  <c r="V1691"/>
  <c r="W1690"/>
  <c r="V1690"/>
  <c r="W1689"/>
  <c r="V1689"/>
  <c r="W1688"/>
  <c r="V1688"/>
  <c r="W1687"/>
  <c r="V1687"/>
  <c r="W1686"/>
  <c r="V1686"/>
  <c r="W1685"/>
  <c r="V1685"/>
  <c r="W1684"/>
  <c r="V1684"/>
  <c r="W1683"/>
  <c r="V1683"/>
  <c r="W1682"/>
  <c r="V1682"/>
  <c r="W1681"/>
  <c r="V1681"/>
  <c r="W1680"/>
  <c r="V1680"/>
  <c r="W1679"/>
  <c r="V1679"/>
  <c r="W1678"/>
  <c r="V1678"/>
  <c r="W1677"/>
  <c r="V1677"/>
  <c r="W1676"/>
  <c r="V1676"/>
  <c r="W1675"/>
  <c r="V1675"/>
  <c r="W1674"/>
  <c r="V1674"/>
  <c r="W1673"/>
  <c r="V1673"/>
  <c r="W1672"/>
  <c r="V1672"/>
  <c r="W1671"/>
  <c r="V1671"/>
  <c r="W1670"/>
  <c r="V1670"/>
  <c r="W1669"/>
  <c r="V1669"/>
  <c r="W1668"/>
  <c r="V1668"/>
  <c r="W1667"/>
  <c r="V1667"/>
  <c r="W1666"/>
  <c r="V1666"/>
  <c r="W1665"/>
  <c r="V1665"/>
  <c r="W1664"/>
  <c r="V1664"/>
  <c r="W1663"/>
  <c r="V1663"/>
  <c r="W1662"/>
  <c r="V1662"/>
  <c r="W1661"/>
  <c r="V1661"/>
  <c r="W1660"/>
  <c r="V1660"/>
  <c r="W1659"/>
  <c r="V1659"/>
  <c r="W1658"/>
  <c r="V1658"/>
  <c r="W1657"/>
  <c r="V1657"/>
  <c r="W1656"/>
  <c r="V1656"/>
  <c r="W1655"/>
  <c r="V1655"/>
  <c r="W1654"/>
  <c r="V1654"/>
  <c r="W1653"/>
  <c r="V1653"/>
  <c r="W1652"/>
  <c r="V1652"/>
  <c r="W1651"/>
  <c r="V1651"/>
  <c r="W1650"/>
  <c r="V1650"/>
  <c r="W1649"/>
  <c r="V1649"/>
  <c r="W1648"/>
  <c r="V1648"/>
  <c r="W1647"/>
  <c r="V1647"/>
  <c r="W1646"/>
  <c r="V1646"/>
  <c r="W1645"/>
  <c r="V1645"/>
  <c r="W1644"/>
  <c r="V1644"/>
  <c r="W1643"/>
  <c r="V1643"/>
  <c r="W1642"/>
  <c r="V1642"/>
  <c r="W1641"/>
  <c r="V1641"/>
  <c r="W1640"/>
  <c r="V1640"/>
  <c r="W1639"/>
  <c r="V1639"/>
  <c r="W1638"/>
  <c r="V1638"/>
  <c r="W1637"/>
  <c r="V1637"/>
  <c r="W1636"/>
  <c r="V1636"/>
  <c r="W1635"/>
  <c r="V1635"/>
  <c r="W1634"/>
  <c r="V1634"/>
  <c r="W1633"/>
  <c r="V1633"/>
  <c r="W1632"/>
  <c r="V1632"/>
  <c r="W1631"/>
  <c r="V1631"/>
  <c r="W1630"/>
  <c r="V1630"/>
  <c r="W1629"/>
  <c r="V1629"/>
  <c r="W1628"/>
  <c r="V1628"/>
  <c r="W1627"/>
  <c r="V1627"/>
  <c r="W1626"/>
  <c r="V1626"/>
  <c r="W1625"/>
  <c r="V1625"/>
  <c r="W1624"/>
  <c r="V1624"/>
  <c r="W1623"/>
  <c r="V1623"/>
  <c r="W1622"/>
  <c r="V1622"/>
  <c r="W1621"/>
  <c r="V1621"/>
  <c r="W1620"/>
  <c r="V1620"/>
  <c r="W1619"/>
  <c r="V1619"/>
  <c r="W1618"/>
  <c r="V1618"/>
  <c r="W1617"/>
  <c r="V1617"/>
  <c r="W1616"/>
  <c r="V1616"/>
  <c r="W1615"/>
  <c r="V1615"/>
  <c r="W1614"/>
  <c r="V1614"/>
  <c r="W1613"/>
  <c r="V1613"/>
  <c r="W1612"/>
  <c r="V1612"/>
  <c r="W1611"/>
  <c r="V1611"/>
  <c r="W1610"/>
  <c r="V1610"/>
  <c r="W1609"/>
  <c r="V1609"/>
  <c r="W1608"/>
  <c r="V1608"/>
  <c r="W1607"/>
  <c r="V1607"/>
  <c r="W1606"/>
  <c r="V1606"/>
  <c r="W1605"/>
  <c r="V1605"/>
  <c r="W1604"/>
  <c r="V1604"/>
  <c r="W1603"/>
  <c r="V1603"/>
  <c r="W1602"/>
  <c r="V1602"/>
  <c r="W1601"/>
  <c r="V1601"/>
  <c r="W1600"/>
  <c r="V1600"/>
  <c r="W1599"/>
  <c r="V1599"/>
  <c r="W1598"/>
  <c r="V1598"/>
  <c r="W1597"/>
  <c r="V1597"/>
  <c r="W1596"/>
  <c r="V1596"/>
  <c r="W1595"/>
  <c r="V1595"/>
  <c r="W1594"/>
  <c r="V1594"/>
  <c r="W1593"/>
  <c r="V1593"/>
  <c r="W1592"/>
  <c r="V1592"/>
  <c r="W1591"/>
  <c r="V1591"/>
  <c r="W1590"/>
  <c r="V1590"/>
  <c r="W1589"/>
  <c r="V1589"/>
  <c r="W1588"/>
  <c r="V1588"/>
  <c r="W1587"/>
  <c r="V1587"/>
  <c r="W1586"/>
  <c r="V1586"/>
  <c r="W1585"/>
  <c r="V1585"/>
  <c r="W1584"/>
  <c r="V1584"/>
  <c r="W1583"/>
  <c r="V1583"/>
  <c r="W1582"/>
  <c r="V1582"/>
  <c r="W1581"/>
  <c r="V1581"/>
  <c r="W1580"/>
  <c r="V1580"/>
  <c r="W1579"/>
  <c r="V1579"/>
  <c r="W1578"/>
  <c r="V1578"/>
  <c r="W1577"/>
  <c r="V1577"/>
  <c r="W1576"/>
  <c r="V1576"/>
  <c r="W1575"/>
  <c r="V1575"/>
  <c r="W1574"/>
  <c r="V1574"/>
  <c r="W1573"/>
  <c r="V1573"/>
  <c r="W1572"/>
  <c r="V1572"/>
  <c r="W1571"/>
  <c r="V1571"/>
  <c r="W1570"/>
  <c r="V1570"/>
  <c r="W1569"/>
  <c r="V1569"/>
  <c r="W1568"/>
  <c r="V1568"/>
  <c r="W1567"/>
  <c r="V1567"/>
  <c r="W1566"/>
  <c r="V1566"/>
  <c r="W1565"/>
  <c r="V1565"/>
  <c r="W1564"/>
  <c r="V1564"/>
  <c r="W1563"/>
  <c r="V1563"/>
  <c r="W1562"/>
  <c r="V1562"/>
  <c r="W1561"/>
  <c r="V1561"/>
  <c r="W1560"/>
  <c r="V1560"/>
  <c r="W1559"/>
  <c r="V1559"/>
  <c r="W1558"/>
  <c r="V1558"/>
  <c r="W1557"/>
  <c r="V1557"/>
  <c r="W1556"/>
  <c r="V1556"/>
  <c r="W1555"/>
  <c r="V1555"/>
  <c r="W1554"/>
  <c r="V1554"/>
  <c r="W1553"/>
  <c r="V1553"/>
  <c r="W1552"/>
  <c r="V1552"/>
  <c r="W1551"/>
  <c r="V1551"/>
  <c r="W1550"/>
  <c r="V1550"/>
  <c r="W1549"/>
  <c r="V1549"/>
  <c r="W1548"/>
  <c r="V1548"/>
  <c r="W1547"/>
  <c r="V1547"/>
  <c r="W1546"/>
  <c r="V1546"/>
  <c r="W1545"/>
  <c r="V1545"/>
  <c r="W1544"/>
  <c r="V1544"/>
  <c r="W1543"/>
  <c r="V1543"/>
  <c r="W1542"/>
  <c r="V1542"/>
  <c r="W1541"/>
  <c r="V1541"/>
  <c r="W1540"/>
  <c r="V1540"/>
  <c r="W1539"/>
  <c r="V1539"/>
  <c r="W1538"/>
  <c r="V1538"/>
  <c r="W1537"/>
  <c r="V1537"/>
  <c r="W1536"/>
  <c r="V1536"/>
  <c r="W1535"/>
  <c r="V1535"/>
  <c r="W1534"/>
  <c r="V1534"/>
  <c r="W1533"/>
  <c r="V1533"/>
  <c r="W1532"/>
  <c r="V1532"/>
  <c r="W1531"/>
  <c r="V1531"/>
  <c r="W1530"/>
  <c r="V1530"/>
  <c r="W1529"/>
  <c r="V1529"/>
  <c r="W1528"/>
  <c r="V1528"/>
  <c r="W1527"/>
  <c r="V1527"/>
  <c r="W1526"/>
  <c r="V1526"/>
  <c r="W1525"/>
  <c r="V1525"/>
  <c r="W1524"/>
  <c r="V1524"/>
  <c r="W1523"/>
  <c r="V1523"/>
  <c r="W1522"/>
  <c r="V1522"/>
  <c r="W1521"/>
  <c r="V1521"/>
  <c r="W1520"/>
  <c r="V1520"/>
  <c r="W1519"/>
  <c r="V1519"/>
  <c r="W1518"/>
  <c r="V1518"/>
  <c r="W1517"/>
  <c r="V1517"/>
  <c r="W1516"/>
  <c r="V1516"/>
  <c r="W1515"/>
  <c r="V1515"/>
  <c r="W1514"/>
  <c r="V1514"/>
  <c r="W1513"/>
  <c r="V1513"/>
  <c r="W1512"/>
  <c r="V1512"/>
  <c r="W1511"/>
  <c r="V1511"/>
  <c r="W1510"/>
  <c r="V1510"/>
  <c r="W1509"/>
  <c r="V1509"/>
  <c r="W1508"/>
  <c r="V1508"/>
  <c r="W1507"/>
  <c r="V1507"/>
  <c r="W1506"/>
  <c r="V1506"/>
  <c r="W1505"/>
  <c r="V1505"/>
  <c r="W1504"/>
  <c r="V1504"/>
  <c r="W1503"/>
  <c r="V1503"/>
  <c r="W1502"/>
  <c r="V1502"/>
  <c r="W1501"/>
  <c r="V1501"/>
  <c r="W1500"/>
  <c r="V1500"/>
  <c r="W1499"/>
  <c r="V1499"/>
  <c r="W1498"/>
  <c r="V1498"/>
  <c r="W1497"/>
  <c r="V1497"/>
  <c r="W1496"/>
  <c r="V1496"/>
  <c r="W1495"/>
  <c r="V1495"/>
  <c r="W1494"/>
  <c r="V1494"/>
  <c r="W1493"/>
  <c r="V1493"/>
  <c r="W1492"/>
  <c r="V1492"/>
  <c r="W1491"/>
  <c r="V1491"/>
  <c r="W1490"/>
  <c r="V1490"/>
  <c r="W1489"/>
  <c r="V1489"/>
  <c r="W1488"/>
  <c r="V1488"/>
  <c r="W1487"/>
  <c r="V1487"/>
  <c r="W1486"/>
  <c r="V1486"/>
  <c r="W1485"/>
  <c r="V1485"/>
  <c r="W1484"/>
  <c r="V1484"/>
  <c r="W1483"/>
  <c r="V1483"/>
  <c r="W1482"/>
  <c r="V1482"/>
  <c r="W1481"/>
  <c r="V1481"/>
  <c r="W1480"/>
  <c r="V1480"/>
  <c r="W1479"/>
  <c r="V1479"/>
  <c r="W1478"/>
  <c r="V1478"/>
  <c r="W1477"/>
  <c r="V1477"/>
  <c r="W1476"/>
  <c r="V1476"/>
  <c r="W1475"/>
  <c r="V1475"/>
  <c r="W1474"/>
  <c r="V1474"/>
  <c r="W1473"/>
  <c r="V1473"/>
  <c r="W1472"/>
  <c r="V1472"/>
  <c r="W1471"/>
  <c r="V1471"/>
  <c r="W1470"/>
  <c r="V1470"/>
  <c r="W1469"/>
  <c r="V1469"/>
  <c r="W1468"/>
  <c r="V1468"/>
  <c r="W1467"/>
  <c r="V1467"/>
  <c r="W1466"/>
  <c r="V1466"/>
  <c r="W1465"/>
  <c r="V1465"/>
  <c r="W1464"/>
  <c r="V1464"/>
  <c r="W1463"/>
  <c r="V1463"/>
  <c r="W1462"/>
  <c r="V1462"/>
  <c r="W1461"/>
  <c r="V1461"/>
  <c r="W1460"/>
  <c r="V1460"/>
  <c r="W1459"/>
  <c r="V1459"/>
  <c r="W1458"/>
  <c r="V1458"/>
  <c r="W1457"/>
  <c r="V1457"/>
  <c r="W1456"/>
  <c r="V1456"/>
  <c r="W1455"/>
  <c r="V1455"/>
  <c r="W1454"/>
  <c r="V1454"/>
  <c r="W1453"/>
  <c r="V1453"/>
  <c r="W1452"/>
  <c r="V1452"/>
  <c r="W1451"/>
  <c r="V1451"/>
  <c r="W1450"/>
  <c r="V1450"/>
  <c r="W1449"/>
  <c r="V1449"/>
  <c r="W1448"/>
  <c r="V1448"/>
  <c r="W1447"/>
  <c r="V1447"/>
  <c r="W1446"/>
  <c r="V1446"/>
  <c r="W1445"/>
  <c r="V1445"/>
  <c r="W1444"/>
  <c r="V1444"/>
  <c r="W1443"/>
  <c r="V1443"/>
  <c r="W1442"/>
  <c r="V1442"/>
  <c r="W1441"/>
  <c r="V1441"/>
  <c r="W1440"/>
  <c r="V1440"/>
  <c r="W1439"/>
  <c r="V1439"/>
  <c r="W1438"/>
  <c r="V1438"/>
  <c r="W1437"/>
  <c r="V1437"/>
  <c r="W1436"/>
  <c r="V1436"/>
  <c r="W1435"/>
  <c r="V1435"/>
  <c r="W1434"/>
  <c r="V1434"/>
  <c r="W1433"/>
  <c r="V1433"/>
  <c r="W1432"/>
  <c r="V1432"/>
  <c r="W1431"/>
  <c r="V1431"/>
  <c r="W1430"/>
  <c r="V1430"/>
  <c r="W1429"/>
  <c r="V1429"/>
  <c r="W1428"/>
  <c r="V1428"/>
  <c r="W1427"/>
  <c r="V1427"/>
  <c r="W1426"/>
  <c r="V1426"/>
  <c r="W1425"/>
  <c r="V1425"/>
  <c r="W1424"/>
  <c r="V1424"/>
  <c r="W1423"/>
  <c r="V1423"/>
  <c r="W1422"/>
  <c r="V1422"/>
  <c r="W1421"/>
  <c r="V1421"/>
  <c r="W1420"/>
  <c r="V1420"/>
  <c r="W1419"/>
  <c r="V1419"/>
  <c r="W1418"/>
  <c r="V1418"/>
  <c r="W1417"/>
  <c r="V1417"/>
  <c r="W1416"/>
  <c r="V1416"/>
  <c r="W1415"/>
  <c r="V1415"/>
  <c r="W1414"/>
  <c r="V1414"/>
  <c r="W1413"/>
  <c r="V1413"/>
  <c r="W1412"/>
  <c r="V1412"/>
  <c r="W1411"/>
  <c r="V1411"/>
  <c r="W1410"/>
  <c r="V1410"/>
  <c r="W1409"/>
  <c r="V1409"/>
  <c r="W1408"/>
  <c r="V1408"/>
  <c r="W1407"/>
  <c r="V1407"/>
  <c r="W1406"/>
  <c r="V1406"/>
  <c r="W1405"/>
  <c r="V1405"/>
  <c r="W1404"/>
  <c r="V1404"/>
  <c r="W1403"/>
  <c r="V1403"/>
  <c r="W1402"/>
  <c r="V1402"/>
  <c r="W1401"/>
  <c r="V1401"/>
  <c r="W1400"/>
  <c r="V1400"/>
  <c r="W1399"/>
  <c r="V1399"/>
  <c r="W1398"/>
  <c r="V1398"/>
  <c r="W1397"/>
  <c r="V1397"/>
  <c r="W1396"/>
  <c r="V1396"/>
  <c r="W1395"/>
  <c r="V1395"/>
  <c r="W1394"/>
  <c r="V1394"/>
  <c r="W1393"/>
  <c r="V1393"/>
  <c r="W1392"/>
  <c r="V1392"/>
  <c r="W1391"/>
  <c r="V1391"/>
  <c r="W1390"/>
  <c r="V1390"/>
  <c r="W1389"/>
  <c r="V1389"/>
  <c r="W1388"/>
  <c r="V1388"/>
  <c r="W1387"/>
  <c r="V1387"/>
  <c r="W1386"/>
  <c r="V1386"/>
  <c r="W1385"/>
  <c r="W1384"/>
  <c r="V1384"/>
  <c r="W1383"/>
  <c r="V1383"/>
  <c r="W1382"/>
  <c r="V1382"/>
  <c r="W1381"/>
  <c r="V1381"/>
  <c r="W1380"/>
  <c r="V1380"/>
  <c r="W1379"/>
  <c r="V1379"/>
  <c r="V1378"/>
  <c r="V1377"/>
  <c r="W1376"/>
  <c r="V1376"/>
  <c r="W1375"/>
  <c r="V1375"/>
  <c r="W1374"/>
  <c r="V1374"/>
  <c r="W1373"/>
  <c r="V1373"/>
  <c r="W1372"/>
  <c r="V1372"/>
  <c r="W1371"/>
  <c r="V1371"/>
  <c r="W1370"/>
  <c r="V1370"/>
  <c r="W1369"/>
  <c r="V1369"/>
  <c r="W1368"/>
  <c r="V1368"/>
  <c r="W1367"/>
  <c r="V1367"/>
  <c r="W1366"/>
  <c r="V1366"/>
  <c r="W1365"/>
  <c r="V1365"/>
  <c r="W1364"/>
  <c r="V1364"/>
  <c r="W1363"/>
  <c r="V1363"/>
  <c r="W1362"/>
  <c r="V1362"/>
  <c r="W1361"/>
  <c r="V1361"/>
  <c r="W1360"/>
  <c r="V1360"/>
  <c r="W1359"/>
  <c r="V1359"/>
  <c r="W1358"/>
  <c r="V1358"/>
  <c r="W1357"/>
  <c r="V1357"/>
  <c r="W1356"/>
  <c r="V1356"/>
  <c r="W1355"/>
  <c r="V1355"/>
  <c r="W1354"/>
  <c r="V1354"/>
  <c r="W1353"/>
  <c r="V1353"/>
  <c r="W1352"/>
  <c r="V1352"/>
  <c r="W1351"/>
  <c r="V1351"/>
  <c r="W1350"/>
  <c r="V1350"/>
  <c r="W1349"/>
  <c r="V1349"/>
  <c r="W1348"/>
  <c r="V1348"/>
  <c r="W1347"/>
  <c r="V1347"/>
  <c r="W1346"/>
  <c r="V1346"/>
  <c r="W1345"/>
  <c r="V1345"/>
  <c r="W1344"/>
  <c r="V1344"/>
  <c r="W1343"/>
  <c r="V1343"/>
  <c r="W1342"/>
  <c r="V1342"/>
  <c r="W1341"/>
  <c r="W1340"/>
  <c r="V1340"/>
  <c r="W1339"/>
  <c r="V1339"/>
  <c r="W1338"/>
  <c r="V1338"/>
  <c r="W1337"/>
  <c r="V1337"/>
  <c r="W1336"/>
  <c r="V1336"/>
  <c r="W1335"/>
  <c r="V1335"/>
  <c r="W1334"/>
  <c r="V1334"/>
  <c r="W1333"/>
  <c r="V1333"/>
  <c r="W1332"/>
  <c r="V1332"/>
  <c r="W1331"/>
  <c r="V1331"/>
  <c r="W1330"/>
  <c r="V1330"/>
  <c r="W1329"/>
  <c r="V1329"/>
  <c r="W1328"/>
  <c r="V1328"/>
  <c r="W1327"/>
  <c r="V1327"/>
  <c r="W1326"/>
  <c r="V1326"/>
  <c r="W1325"/>
  <c r="V1325"/>
  <c r="W1324"/>
  <c r="V1324"/>
  <c r="W1323"/>
  <c r="V1323"/>
  <c r="W1322"/>
  <c r="V1322"/>
  <c r="W1321"/>
  <c r="V1321"/>
  <c r="W1320"/>
  <c r="V1320"/>
  <c r="W1319"/>
  <c r="V1319"/>
  <c r="W1318"/>
  <c r="V1318"/>
  <c r="W1317"/>
  <c r="V1317"/>
  <c r="W1316"/>
  <c r="V1316"/>
  <c r="W1315"/>
  <c r="V1315"/>
  <c r="W1314"/>
  <c r="V1314"/>
  <c r="W1313"/>
  <c r="V1313"/>
  <c r="W1312"/>
  <c r="V1312"/>
  <c r="W1311"/>
  <c r="V1311"/>
  <c r="W1310"/>
  <c r="V1310"/>
  <c r="W1309"/>
  <c r="V1309"/>
  <c r="W1308"/>
  <c r="V1308"/>
  <c r="W1307"/>
  <c r="V1307"/>
  <c r="W1306"/>
  <c r="V1306"/>
  <c r="W1305"/>
  <c r="V1305"/>
  <c r="W1304"/>
  <c r="V1304"/>
  <c r="W1303"/>
  <c r="V1303"/>
  <c r="W1302"/>
  <c r="V1302"/>
  <c r="W1301"/>
  <c r="V1301"/>
  <c r="W1300"/>
  <c r="V1300"/>
  <c r="W1299"/>
  <c r="V1299"/>
  <c r="W1298"/>
  <c r="V1298"/>
  <c r="W1297"/>
  <c r="V1297"/>
  <c r="W1296"/>
  <c r="V1296"/>
  <c r="W1295"/>
  <c r="V1295"/>
  <c r="W1294"/>
  <c r="V1294"/>
  <c r="W1293"/>
  <c r="V1293"/>
  <c r="W1292"/>
  <c r="V1292"/>
  <c r="W1291"/>
  <c r="V1291"/>
  <c r="W1290"/>
  <c r="V1290"/>
  <c r="W1289"/>
  <c r="V1289"/>
  <c r="W1288"/>
  <c r="V1288"/>
  <c r="W1287"/>
  <c r="V1287"/>
  <c r="W1286"/>
  <c r="V1286"/>
  <c r="W1285"/>
  <c r="V1285"/>
  <c r="W1284"/>
  <c r="V1284"/>
  <c r="W1283"/>
  <c r="V1283"/>
  <c r="W1282"/>
  <c r="V1282"/>
  <c r="W1281"/>
  <c r="V1281"/>
  <c r="W1280"/>
  <c r="V1280"/>
  <c r="W1279"/>
  <c r="V1279"/>
  <c r="W1278"/>
  <c r="V1278"/>
  <c r="W1277"/>
  <c r="V1277"/>
  <c r="W1276"/>
  <c r="V1276"/>
  <c r="W1275"/>
  <c r="V1275"/>
  <c r="W1274"/>
  <c r="V1274"/>
  <c r="W1273"/>
  <c r="V1273"/>
  <c r="W1272"/>
  <c r="V1272"/>
  <c r="W1271"/>
  <c r="V1271"/>
  <c r="W1270"/>
  <c r="V1270"/>
  <c r="W1269"/>
  <c r="V1269"/>
  <c r="W1268"/>
  <c r="V1268"/>
  <c r="W1267"/>
  <c r="V1267"/>
  <c r="W1266"/>
  <c r="V1266"/>
  <c r="W1265"/>
  <c r="V1265"/>
  <c r="W1264"/>
  <c r="V1264"/>
  <c r="W1263"/>
  <c r="V1263"/>
  <c r="W1262"/>
  <c r="V1262"/>
  <c r="W1261"/>
  <c r="V1261"/>
  <c r="W1260"/>
  <c r="V1260"/>
  <c r="W1259"/>
  <c r="V1259"/>
  <c r="W1258"/>
  <c r="V1258"/>
  <c r="W1257"/>
  <c r="V1257"/>
  <c r="W1256"/>
  <c r="V1256"/>
  <c r="W1255"/>
  <c r="V1255"/>
  <c r="W1254"/>
  <c r="V1254"/>
  <c r="W1253"/>
  <c r="V1253"/>
  <c r="W1252"/>
  <c r="V1252"/>
  <c r="W1251"/>
  <c r="V1251"/>
  <c r="W1250"/>
  <c r="V1250"/>
  <c r="W1249"/>
  <c r="V1249"/>
  <c r="W1248"/>
  <c r="V1248"/>
  <c r="W1247"/>
  <c r="V1247"/>
  <c r="W1246"/>
  <c r="V1246"/>
  <c r="W1245"/>
  <c r="V1245"/>
  <c r="W1244"/>
  <c r="V1244"/>
  <c r="W1243"/>
  <c r="V1243"/>
  <c r="W1242"/>
  <c r="V1242"/>
  <c r="W1241"/>
  <c r="V1241"/>
  <c r="W1240"/>
  <c r="V1240"/>
  <c r="W1239"/>
  <c r="V1239"/>
  <c r="W1238"/>
  <c r="V1238"/>
  <c r="W1237"/>
  <c r="V1237"/>
  <c r="W1236"/>
  <c r="V1236"/>
  <c r="W1235"/>
  <c r="V1235"/>
  <c r="W1234"/>
  <c r="V1234"/>
  <c r="W1233"/>
  <c r="V1233"/>
  <c r="W1232"/>
  <c r="V1232"/>
  <c r="W1231"/>
  <c r="V1231"/>
  <c r="W1230"/>
  <c r="V1230"/>
  <c r="W1229"/>
  <c r="V1229"/>
  <c r="W1228"/>
  <c r="V1228"/>
  <c r="W1227"/>
  <c r="V1227"/>
  <c r="W1226"/>
  <c r="V1226"/>
  <c r="W1225"/>
  <c r="V1225"/>
  <c r="W1224"/>
  <c r="V1224"/>
  <c r="W1223"/>
  <c r="V1223"/>
  <c r="W1222"/>
  <c r="V1222"/>
  <c r="W1221"/>
  <c r="V1221"/>
  <c r="W1220"/>
  <c r="V1220"/>
  <c r="W1219"/>
  <c r="V1219"/>
  <c r="W1218"/>
  <c r="V1218"/>
  <c r="W1217"/>
  <c r="V1217"/>
  <c r="W1216"/>
  <c r="V1216"/>
  <c r="W1215"/>
  <c r="V1215"/>
  <c r="W1214"/>
  <c r="V1214"/>
  <c r="W1213"/>
  <c r="V1213"/>
  <c r="W1212"/>
  <c r="V1212"/>
  <c r="W1211"/>
  <c r="V1211"/>
  <c r="W1210"/>
  <c r="V1210"/>
  <c r="W1209"/>
  <c r="V1209"/>
  <c r="W1208"/>
  <c r="V1208"/>
  <c r="W1207"/>
  <c r="V1207"/>
  <c r="W1206"/>
  <c r="V1206"/>
  <c r="W1205"/>
  <c r="V1205"/>
  <c r="W1204"/>
  <c r="V1204"/>
  <c r="W1203"/>
  <c r="V1203"/>
  <c r="W1202"/>
  <c r="V1202"/>
  <c r="W1201"/>
  <c r="V1201"/>
  <c r="W1200"/>
  <c r="V1200"/>
  <c r="W1199"/>
  <c r="V1199"/>
  <c r="W1198"/>
  <c r="V1198"/>
  <c r="W1197"/>
  <c r="V1197"/>
  <c r="W1196"/>
  <c r="V1196"/>
  <c r="W1195"/>
  <c r="V1195"/>
  <c r="W1194"/>
  <c r="V1194"/>
  <c r="W1193"/>
  <c r="V1193"/>
  <c r="W1192"/>
  <c r="V1192"/>
  <c r="W1191"/>
  <c r="V1191"/>
  <c r="W1190"/>
  <c r="V1190"/>
  <c r="W1189"/>
  <c r="V1189"/>
  <c r="W1188"/>
  <c r="V1188"/>
  <c r="W1187"/>
  <c r="V1187"/>
  <c r="W1186"/>
  <c r="V1186"/>
  <c r="W1185"/>
  <c r="V1185"/>
  <c r="W1184"/>
  <c r="V1184"/>
  <c r="W1183"/>
  <c r="V1183"/>
  <c r="W1182"/>
  <c r="V1182"/>
  <c r="W1181"/>
  <c r="V1181"/>
  <c r="W1180"/>
  <c r="V1180"/>
  <c r="W1179"/>
  <c r="V1179"/>
  <c r="W1178"/>
  <c r="V1178"/>
  <c r="W1177"/>
  <c r="V1177"/>
  <c r="W1176"/>
  <c r="V1176"/>
  <c r="W1175"/>
  <c r="V1175"/>
  <c r="W1174"/>
  <c r="V1174"/>
  <c r="W1173"/>
  <c r="V1173"/>
  <c r="W1172"/>
  <c r="V1172"/>
  <c r="W1171"/>
  <c r="V1171"/>
  <c r="W1170"/>
  <c r="V1170"/>
  <c r="W1169"/>
  <c r="V1169"/>
  <c r="W1168"/>
  <c r="V1168"/>
  <c r="W1167"/>
  <c r="V1167"/>
  <c r="W1166"/>
  <c r="V1166"/>
  <c r="W1165"/>
  <c r="V1165"/>
  <c r="W1164"/>
  <c r="V1164"/>
  <c r="W1163"/>
  <c r="V1163"/>
  <c r="W1162"/>
  <c r="V1162"/>
  <c r="W1161"/>
  <c r="V1161"/>
  <c r="W1160"/>
  <c r="V1160"/>
  <c r="W1159"/>
  <c r="V1159"/>
  <c r="W1158"/>
  <c r="V1158"/>
  <c r="W1157"/>
  <c r="V1157"/>
  <c r="W1156"/>
  <c r="V1156"/>
  <c r="W1155"/>
  <c r="V1155"/>
  <c r="W1154"/>
  <c r="V1154"/>
  <c r="W1153"/>
  <c r="V1153"/>
  <c r="W1152"/>
  <c r="V1152"/>
  <c r="W1151"/>
  <c r="V1151"/>
  <c r="W1150"/>
  <c r="V1150"/>
  <c r="W1149"/>
  <c r="V1149"/>
  <c r="W1148"/>
  <c r="V1148"/>
  <c r="W1147"/>
  <c r="V1147"/>
  <c r="W1146"/>
  <c r="V1146"/>
  <c r="W1145"/>
  <c r="V1145"/>
  <c r="W1144"/>
  <c r="V1144"/>
  <c r="W1143"/>
  <c r="V1143"/>
  <c r="W1142"/>
  <c r="V1142"/>
  <c r="W1141"/>
  <c r="V1141"/>
  <c r="W1140"/>
  <c r="V1140"/>
  <c r="W1139"/>
  <c r="V1139"/>
  <c r="W1138"/>
  <c r="V1138"/>
  <c r="W1137"/>
  <c r="V1137"/>
  <c r="W1136"/>
  <c r="V1136"/>
  <c r="W1135"/>
  <c r="V1135"/>
  <c r="W1134"/>
  <c r="V1134"/>
  <c r="W1133"/>
  <c r="V1133"/>
  <c r="W1132"/>
  <c r="V1132"/>
  <c r="W1131"/>
  <c r="V1131"/>
  <c r="W1130"/>
  <c r="V1130"/>
  <c r="W1129"/>
  <c r="V1129"/>
  <c r="W1128"/>
  <c r="V1128"/>
  <c r="W1127"/>
  <c r="V1127"/>
  <c r="W1126"/>
  <c r="V1126"/>
  <c r="W1125"/>
  <c r="V1125"/>
  <c r="W1124"/>
  <c r="V1124"/>
  <c r="W1123"/>
  <c r="V1123"/>
  <c r="W1122"/>
  <c r="V1122"/>
  <c r="W1121"/>
  <c r="V1121"/>
  <c r="W1120"/>
  <c r="V1120"/>
  <c r="W1119"/>
  <c r="V1119"/>
  <c r="W1118"/>
  <c r="V1118"/>
  <c r="W1117"/>
  <c r="V1117"/>
  <c r="W1116"/>
  <c r="V1116"/>
  <c r="W1115"/>
  <c r="V1115"/>
  <c r="W1114"/>
  <c r="V1114"/>
  <c r="W1113"/>
  <c r="V1113"/>
  <c r="W1112"/>
  <c r="V1112"/>
  <c r="W1111"/>
  <c r="V1111"/>
  <c r="W1110"/>
  <c r="V1110"/>
  <c r="W1109"/>
  <c r="V1109"/>
  <c r="W1108"/>
  <c r="V1108"/>
  <c r="W1107"/>
  <c r="V1107"/>
  <c r="W1106"/>
  <c r="V1106"/>
  <c r="W1105"/>
  <c r="V1105"/>
  <c r="W1104"/>
  <c r="V1104"/>
  <c r="W1103"/>
  <c r="V1103"/>
  <c r="W1102"/>
  <c r="V1102"/>
  <c r="W1101"/>
  <c r="V1101"/>
  <c r="W1100"/>
  <c r="V1100"/>
  <c r="W1099"/>
  <c r="V1099"/>
  <c r="W1098"/>
  <c r="V1098"/>
  <c r="W1097"/>
  <c r="V1097"/>
  <c r="W1096"/>
  <c r="V1096"/>
  <c r="W1095"/>
  <c r="V1095"/>
  <c r="W1094"/>
  <c r="V1094"/>
  <c r="W1093"/>
  <c r="V1093"/>
  <c r="W1092"/>
  <c r="V1092"/>
  <c r="W1091"/>
  <c r="V1091"/>
  <c r="W1090"/>
  <c r="V1090"/>
  <c r="W1089"/>
  <c r="V1089"/>
  <c r="W1088"/>
  <c r="V1088"/>
  <c r="W1087"/>
  <c r="V1087"/>
  <c r="W1086"/>
  <c r="V1086"/>
  <c r="W1085"/>
  <c r="V1085"/>
  <c r="W1084"/>
  <c r="V1084"/>
  <c r="W1083"/>
  <c r="V1083"/>
  <c r="W1082"/>
  <c r="V1082"/>
  <c r="W1081"/>
  <c r="V1081"/>
  <c r="W1080"/>
  <c r="V1080"/>
  <c r="W1079"/>
  <c r="V1079"/>
  <c r="W1078"/>
  <c r="V1078"/>
  <c r="W1077"/>
  <c r="V1077"/>
  <c r="W1076"/>
  <c r="V1076"/>
  <c r="W1075"/>
  <c r="V1075"/>
  <c r="W1074"/>
  <c r="V1074"/>
  <c r="W1073"/>
  <c r="V1073"/>
  <c r="W1072"/>
  <c r="V1072"/>
  <c r="W1071"/>
  <c r="V1071"/>
  <c r="W1070"/>
  <c r="V1070"/>
  <c r="W1069"/>
  <c r="V1069"/>
  <c r="W1068"/>
  <c r="V1068"/>
  <c r="W1067"/>
  <c r="V1067"/>
  <c r="W1066"/>
  <c r="V1066"/>
  <c r="W1065"/>
  <c r="V1065"/>
  <c r="W1064"/>
  <c r="V1064"/>
  <c r="W1063"/>
  <c r="V1063"/>
  <c r="W1062"/>
  <c r="V1062"/>
  <c r="W1061"/>
  <c r="V1061"/>
  <c r="W1060"/>
  <c r="V1060"/>
  <c r="W1059"/>
  <c r="V1059"/>
  <c r="W1058"/>
  <c r="V1058"/>
  <c r="W1057"/>
  <c r="V1057"/>
  <c r="W1056"/>
  <c r="V1056"/>
  <c r="W1055"/>
  <c r="V1055"/>
  <c r="W1054"/>
  <c r="V1054"/>
  <c r="W1053"/>
  <c r="V1053"/>
  <c r="W1052"/>
  <c r="V1052"/>
  <c r="W1051"/>
  <c r="V1051"/>
  <c r="W1050"/>
  <c r="V1050"/>
  <c r="W1049"/>
  <c r="V1049"/>
  <c r="W1048"/>
  <c r="V1048"/>
  <c r="W1047"/>
  <c r="V1047"/>
  <c r="W1046"/>
  <c r="V1046"/>
  <c r="W1045"/>
  <c r="V1045"/>
  <c r="W1044"/>
  <c r="V1044"/>
  <c r="W1043"/>
  <c r="V1043"/>
  <c r="W1042"/>
  <c r="V1042"/>
  <c r="W1041"/>
  <c r="V1041"/>
  <c r="W1040"/>
  <c r="V1040"/>
  <c r="W1039"/>
  <c r="V1039"/>
  <c r="W1038"/>
  <c r="V1038"/>
  <c r="W1037"/>
  <c r="V1037"/>
  <c r="W1036"/>
  <c r="V1036"/>
  <c r="W1035"/>
  <c r="V1035"/>
  <c r="W1034"/>
  <c r="V1034"/>
  <c r="W1033"/>
  <c r="V1033"/>
  <c r="W1032"/>
  <c r="V1032"/>
  <c r="W1031"/>
  <c r="V1031"/>
  <c r="W1030"/>
  <c r="V1030"/>
  <c r="W1029"/>
  <c r="V1029"/>
  <c r="W1028"/>
  <c r="V1028"/>
  <c r="W1027"/>
  <c r="V1027"/>
  <c r="W1026"/>
  <c r="V1026"/>
  <c r="W1025"/>
  <c r="V1025"/>
  <c r="W1024"/>
  <c r="V1024"/>
  <c r="W1023"/>
  <c r="V1023"/>
  <c r="W1022"/>
  <c r="V1022"/>
  <c r="W1021"/>
  <c r="V1021"/>
  <c r="W1020"/>
  <c r="V1020"/>
  <c r="W1019"/>
  <c r="V1019"/>
  <c r="W1018"/>
  <c r="V1018"/>
  <c r="W1017"/>
  <c r="V1017"/>
  <c r="W1016"/>
  <c r="V1016"/>
  <c r="W1015"/>
  <c r="V1015"/>
  <c r="W1014"/>
  <c r="V1014"/>
  <c r="W1013"/>
  <c r="V1013"/>
  <c r="W1012"/>
  <c r="V1012"/>
  <c r="W1011"/>
  <c r="V1011"/>
  <c r="W1010"/>
  <c r="V1010"/>
  <c r="W1009"/>
  <c r="V1009"/>
  <c r="W1008"/>
  <c r="V1008"/>
  <c r="W1007"/>
  <c r="V1007"/>
  <c r="W1006"/>
  <c r="V1006"/>
  <c r="W1005"/>
  <c r="V1005"/>
  <c r="W1004"/>
  <c r="V1004"/>
  <c r="W1003"/>
  <c r="V1003"/>
  <c r="W1002"/>
  <c r="V1002"/>
  <c r="W1001"/>
  <c r="V1001"/>
  <c r="W1000"/>
  <c r="V1000"/>
  <c r="W999"/>
  <c r="V999"/>
  <c r="W998"/>
  <c r="V998"/>
  <c r="W997"/>
  <c r="V997"/>
  <c r="W996"/>
  <c r="V996"/>
  <c r="W995"/>
  <c r="V995"/>
  <c r="W994"/>
  <c r="V994"/>
  <c r="W993"/>
  <c r="V993"/>
  <c r="W992"/>
  <c r="V992"/>
  <c r="W991"/>
  <c r="V991"/>
  <c r="W990"/>
  <c r="V990"/>
  <c r="W989"/>
  <c r="V989"/>
  <c r="W988"/>
  <c r="V988"/>
  <c r="W987"/>
  <c r="V987"/>
  <c r="W986"/>
  <c r="V986"/>
  <c r="W985"/>
  <c r="V985"/>
  <c r="W984"/>
  <c r="V984"/>
  <c r="W983"/>
  <c r="V983"/>
  <c r="W982"/>
  <c r="V982"/>
  <c r="W981"/>
  <c r="V981"/>
  <c r="W980"/>
  <c r="V980"/>
  <c r="W979"/>
  <c r="V979"/>
  <c r="W978"/>
  <c r="V978"/>
  <c r="W977"/>
  <c r="V977"/>
  <c r="W976"/>
  <c r="V976"/>
  <c r="W975"/>
  <c r="V975"/>
  <c r="W974"/>
  <c r="V974"/>
  <c r="W973"/>
  <c r="V973"/>
  <c r="W972"/>
  <c r="V972"/>
  <c r="W971"/>
  <c r="V971"/>
  <c r="W970"/>
  <c r="V970"/>
  <c r="W969"/>
  <c r="V969"/>
  <c r="W968"/>
  <c r="V968"/>
  <c r="W967"/>
  <c r="V967"/>
  <c r="W966"/>
  <c r="V966"/>
  <c r="W965"/>
  <c r="V965"/>
  <c r="W964"/>
  <c r="V964"/>
  <c r="W963"/>
  <c r="V963"/>
  <c r="W962"/>
  <c r="V962"/>
  <c r="W961"/>
  <c r="V961"/>
  <c r="W960"/>
  <c r="V960"/>
  <c r="W959"/>
  <c r="V959"/>
  <c r="W958"/>
  <c r="V958"/>
  <c r="W957"/>
  <c r="V957"/>
  <c r="W956"/>
  <c r="V956"/>
  <c r="W955"/>
  <c r="V955"/>
  <c r="W954"/>
  <c r="V954"/>
  <c r="W953"/>
  <c r="V953"/>
  <c r="W952"/>
  <c r="V952"/>
  <c r="W951"/>
  <c r="V951"/>
  <c r="W950"/>
  <c r="V950"/>
  <c r="W949"/>
  <c r="V949"/>
  <c r="W948"/>
  <c r="V948"/>
  <c r="W947"/>
  <c r="V947"/>
  <c r="W946"/>
  <c r="V946"/>
  <c r="W945"/>
  <c r="V945"/>
  <c r="W944"/>
  <c r="V944"/>
  <c r="W943"/>
  <c r="V943"/>
  <c r="W942"/>
  <c r="V942"/>
  <c r="W941"/>
  <c r="V941"/>
  <c r="W940"/>
  <c r="V940"/>
  <c r="W939"/>
  <c r="V939"/>
  <c r="W938"/>
  <c r="V938"/>
  <c r="W937"/>
  <c r="V937"/>
  <c r="W936"/>
  <c r="V936"/>
  <c r="W935"/>
  <c r="V935"/>
  <c r="W934"/>
  <c r="V934"/>
  <c r="W933"/>
  <c r="V933"/>
  <c r="W932"/>
  <c r="V932"/>
  <c r="W931"/>
  <c r="V931"/>
  <c r="W930"/>
  <c r="V930"/>
  <c r="W929"/>
  <c r="V929"/>
  <c r="W928"/>
  <c r="V928"/>
  <c r="W927"/>
  <c r="V927"/>
  <c r="W926"/>
  <c r="V926"/>
  <c r="W925"/>
  <c r="V925"/>
  <c r="W924"/>
  <c r="V924"/>
  <c r="W923"/>
  <c r="V923"/>
  <c r="W922"/>
  <c r="V922"/>
  <c r="W921"/>
  <c r="V921"/>
  <c r="W920"/>
  <c r="V920"/>
  <c r="W919"/>
  <c r="V919"/>
  <c r="W918"/>
  <c r="V918"/>
  <c r="W917"/>
  <c r="V917"/>
  <c r="W916"/>
  <c r="V916"/>
  <c r="W915"/>
  <c r="V915"/>
  <c r="W914"/>
  <c r="V914"/>
  <c r="W913"/>
  <c r="V913"/>
  <c r="W912"/>
  <c r="V912"/>
  <c r="W911"/>
  <c r="V911"/>
  <c r="W910"/>
  <c r="V910"/>
  <c r="W909"/>
  <c r="V909"/>
  <c r="W908"/>
  <c r="V908"/>
  <c r="W907"/>
  <c r="V907"/>
  <c r="W906"/>
  <c r="V906"/>
  <c r="W905"/>
  <c r="V905"/>
  <c r="W904"/>
  <c r="V904"/>
  <c r="W903"/>
  <c r="V903"/>
  <c r="W902"/>
  <c r="V902"/>
  <c r="V901"/>
  <c r="V900"/>
  <c r="W899"/>
  <c r="V899"/>
  <c r="W898"/>
  <c r="V898"/>
  <c r="W897"/>
  <c r="V897"/>
  <c r="W896"/>
  <c r="V896"/>
  <c r="W895"/>
  <c r="V895"/>
  <c r="W894"/>
  <c r="V894"/>
  <c r="W893"/>
  <c r="V893"/>
  <c r="W892"/>
  <c r="V892"/>
  <c r="W891"/>
  <c r="V891"/>
  <c r="W890"/>
  <c r="V890"/>
  <c r="W889"/>
  <c r="V889"/>
  <c r="W888"/>
  <c r="V888"/>
  <c r="W887"/>
  <c r="V887"/>
  <c r="W886"/>
  <c r="V886"/>
  <c r="W885"/>
  <c r="V885"/>
  <c r="W884"/>
  <c r="V884"/>
  <c r="W883"/>
  <c r="V883"/>
  <c r="W882"/>
  <c r="V882"/>
  <c r="W881"/>
  <c r="V881"/>
  <c r="W880"/>
  <c r="V880"/>
  <c r="W879"/>
  <c r="V879"/>
  <c r="W878"/>
  <c r="V878"/>
  <c r="W877"/>
  <c r="V877"/>
  <c r="W876"/>
  <c r="V876"/>
  <c r="W875"/>
  <c r="V875"/>
  <c r="W874"/>
  <c r="V874"/>
  <c r="W873"/>
  <c r="V873"/>
  <c r="W872"/>
  <c r="V872"/>
  <c r="W871"/>
  <c r="V871"/>
  <c r="W870"/>
  <c r="V870"/>
  <c r="W869"/>
  <c r="V869"/>
  <c r="W868"/>
  <c r="V868"/>
  <c r="W867"/>
  <c r="V867"/>
  <c r="W866"/>
  <c r="V866"/>
  <c r="W865"/>
  <c r="V865"/>
  <c r="W864"/>
  <c r="V864"/>
  <c r="W863"/>
  <c r="V863"/>
  <c r="W862"/>
  <c r="V862"/>
  <c r="W861"/>
  <c r="V861"/>
  <c r="W860"/>
  <c r="V860"/>
  <c r="W859"/>
  <c r="V859"/>
  <c r="W858"/>
  <c r="V858"/>
  <c r="W857"/>
  <c r="V857"/>
  <c r="W856"/>
  <c r="V856"/>
  <c r="W855"/>
  <c r="V855"/>
  <c r="W854"/>
  <c r="V854"/>
  <c r="W853"/>
  <c r="V853"/>
  <c r="W852"/>
  <c r="V852"/>
  <c r="W851"/>
  <c r="V851"/>
  <c r="W850"/>
  <c r="V850"/>
  <c r="W849"/>
  <c r="V849"/>
  <c r="W848"/>
  <c r="V848"/>
  <c r="W847"/>
  <c r="V847"/>
  <c r="W846"/>
  <c r="V846"/>
  <c r="W845"/>
  <c r="V845"/>
  <c r="W844"/>
  <c r="V844"/>
  <c r="W843"/>
  <c r="V843"/>
  <c r="W842"/>
  <c r="V842"/>
  <c r="W841"/>
  <c r="V841"/>
  <c r="W840"/>
  <c r="V840"/>
  <c r="W839"/>
  <c r="V839"/>
  <c r="W838"/>
  <c r="V838"/>
  <c r="W837"/>
  <c r="V837"/>
  <c r="W836"/>
  <c r="V836"/>
  <c r="W835"/>
  <c r="V835"/>
  <c r="W834"/>
  <c r="V834"/>
  <c r="W833"/>
  <c r="V833"/>
  <c r="W832"/>
  <c r="V832"/>
  <c r="W831"/>
  <c r="V831"/>
  <c r="W830"/>
  <c r="V830"/>
  <c r="W829"/>
  <c r="V829"/>
  <c r="W828"/>
  <c r="V828"/>
  <c r="W827"/>
  <c r="V827"/>
  <c r="W826"/>
  <c r="V826"/>
  <c r="W825"/>
  <c r="V825"/>
  <c r="W824"/>
  <c r="V824"/>
  <c r="W823"/>
  <c r="V823"/>
  <c r="W822"/>
  <c r="V822"/>
  <c r="W821"/>
  <c r="V821"/>
  <c r="W820"/>
  <c r="V820"/>
  <c r="W819"/>
  <c r="V819"/>
  <c r="W818"/>
  <c r="V818"/>
  <c r="W817"/>
  <c r="V817"/>
  <c r="W816"/>
  <c r="V816"/>
  <c r="W815"/>
  <c r="V815"/>
  <c r="W814"/>
  <c r="V814"/>
  <c r="W813"/>
  <c r="V813"/>
  <c r="W812"/>
  <c r="V812"/>
  <c r="W811"/>
  <c r="V811"/>
  <c r="W810"/>
  <c r="V810"/>
  <c r="W809"/>
  <c r="V809"/>
  <c r="W808"/>
  <c r="V808"/>
  <c r="W807"/>
  <c r="V807"/>
  <c r="W806"/>
  <c r="V806"/>
  <c r="W805"/>
  <c r="V805"/>
  <c r="W804"/>
  <c r="V804"/>
  <c r="W803"/>
  <c r="V803"/>
  <c r="W802"/>
  <c r="V802"/>
  <c r="W801"/>
  <c r="V801"/>
  <c r="W800"/>
  <c r="V800"/>
  <c r="W799"/>
  <c r="V799"/>
  <c r="W798"/>
  <c r="V798"/>
  <c r="W797"/>
  <c r="V797"/>
  <c r="W796"/>
  <c r="V796"/>
  <c r="W795"/>
  <c r="V795"/>
  <c r="W794"/>
  <c r="V794"/>
  <c r="W793"/>
  <c r="V793"/>
  <c r="W792"/>
  <c r="V792"/>
  <c r="W791"/>
  <c r="V791"/>
  <c r="W790"/>
  <c r="V790"/>
  <c r="W789"/>
  <c r="V789"/>
  <c r="W788"/>
  <c r="V788"/>
  <c r="W787"/>
  <c r="V787"/>
  <c r="W786"/>
  <c r="V786"/>
  <c r="W785"/>
  <c r="V785"/>
  <c r="W784"/>
  <c r="V784"/>
  <c r="W783"/>
  <c r="V783"/>
  <c r="W782"/>
  <c r="V782"/>
  <c r="W781"/>
  <c r="V781"/>
  <c r="W780"/>
  <c r="V780"/>
  <c r="W779"/>
  <c r="V779"/>
  <c r="W778"/>
  <c r="V778"/>
  <c r="W777"/>
  <c r="V777"/>
  <c r="W776"/>
  <c r="V776"/>
  <c r="W775"/>
  <c r="V775"/>
  <c r="W774"/>
  <c r="V774"/>
  <c r="W773"/>
  <c r="V773"/>
  <c r="W772"/>
  <c r="V772"/>
  <c r="W771"/>
  <c r="V771"/>
  <c r="W770"/>
  <c r="V770"/>
  <c r="W769"/>
  <c r="V769"/>
  <c r="W768"/>
  <c r="V768"/>
  <c r="W767"/>
  <c r="V767"/>
  <c r="W766"/>
  <c r="V766"/>
  <c r="W765"/>
  <c r="V765"/>
  <c r="W764"/>
  <c r="V764"/>
  <c r="W763"/>
  <c r="V763"/>
  <c r="W762"/>
  <c r="V762"/>
  <c r="W761"/>
  <c r="V761"/>
  <c r="W760"/>
  <c r="V760"/>
  <c r="W759"/>
  <c r="V759"/>
  <c r="W758"/>
  <c r="V758"/>
  <c r="W757"/>
  <c r="V757"/>
  <c r="W756"/>
  <c r="V756"/>
  <c r="W755"/>
  <c r="V755"/>
  <c r="W754"/>
  <c r="V754"/>
  <c r="W753"/>
  <c r="V753"/>
  <c r="W752"/>
  <c r="V752"/>
  <c r="W751"/>
  <c r="V751"/>
  <c r="W750"/>
  <c r="V750"/>
  <c r="W749"/>
  <c r="V749"/>
  <c r="W748"/>
  <c r="V748"/>
  <c r="W747"/>
  <c r="V747"/>
  <c r="W746"/>
  <c r="V746"/>
  <c r="W745"/>
  <c r="V745"/>
  <c r="W744"/>
  <c r="V744"/>
  <c r="W743"/>
  <c r="V743"/>
  <c r="W742"/>
  <c r="V742"/>
  <c r="W741"/>
  <c r="V741"/>
  <c r="W740"/>
  <c r="V740"/>
  <c r="W739"/>
  <c r="W738"/>
  <c r="V738"/>
  <c r="W737"/>
  <c r="V737"/>
  <c r="W736"/>
  <c r="V736"/>
  <c r="W735"/>
  <c r="V735"/>
  <c r="W734"/>
  <c r="V734"/>
  <c r="W733"/>
  <c r="V733"/>
  <c r="W732"/>
  <c r="V732"/>
  <c r="W731"/>
  <c r="V731"/>
  <c r="W730"/>
  <c r="V730"/>
  <c r="W729"/>
  <c r="V729"/>
  <c r="W728"/>
  <c r="V728"/>
  <c r="W727"/>
  <c r="V727"/>
  <c r="W726"/>
  <c r="V726"/>
  <c r="W725"/>
  <c r="V725"/>
  <c r="W724"/>
  <c r="V724"/>
  <c r="W723"/>
  <c r="V723"/>
  <c r="W722"/>
  <c r="V722"/>
  <c r="W721"/>
  <c r="V721"/>
  <c r="W720"/>
  <c r="V720"/>
  <c r="W719"/>
  <c r="V719"/>
  <c r="W718"/>
  <c r="V718"/>
  <c r="W717"/>
  <c r="V717"/>
  <c r="W716"/>
  <c r="V716"/>
  <c r="W715"/>
  <c r="V715"/>
  <c r="W714"/>
  <c r="V714"/>
  <c r="W713"/>
  <c r="V713"/>
  <c r="W712"/>
  <c r="V712"/>
  <c r="W711"/>
  <c r="V711"/>
  <c r="W710"/>
  <c r="V710"/>
  <c r="W709"/>
  <c r="V709"/>
  <c r="W708"/>
  <c r="V708"/>
  <c r="W707"/>
  <c r="V707"/>
  <c r="W706"/>
  <c r="V706"/>
  <c r="W705"/>
  <c r="V705"/>
  <c r="W704"/>
  <c r="V704"/>
  <c r="W703"/>
  <c r="V703"/>
  <c r="W702"/>
  <c r="V702"/>
  <c r="W701"/>
  <c r="V701"/>
  <c r="W700"/>
  <c r="V700"/>
  <c r="W699"/>
  <c r="V699"/>
  <c r="W698"/>
  <c r="V698"/>
  <c r="W697"/>
  <c r="V697"/>
  <c r="W696"/>
  <c r="V696"/>
  <c r="W695"/>
  <c r="V695"/>
  <c r="W694"/>
  <c r="V694"/>
  <c r="W693"/>
  <c r="V693"/>
  <c r="W692"/>
  <c r="V692"/>
  <c r="W691"/>
  <c r="V691"/>
  <c r="W690"/>
  <c r="V690"/>
  <c r="W689"/>
  <c r="V689"/>
  <c r="W688"/>
  <c r="V688"/>
  <c r="W687"/>
  <c r="V687"/>
  <c r="W686"/>
  <c r="V686"/>
  <c r="W685"/>
  <c r="V685"/>
  <c r="W684"/>
  <c r="V684"/>
  <c r="W683"/>
  <c r="V683"/>
  <c r="W682"/>
  <c r="V682"/>
  <c r="W681"/>
  <c r="V681"/>
  <c r="W680"/>
  <c r="V680"/>
  <c r="W679"/>
  <c r="V679"/>
  <c r="W678"/>
  <c r="V678"/>
  <c r="W677"/>
  <c r="V677"/>
  <c r="W676"/>
  <c r="V676"/>
  <c r="W675"/>
  <c r="V675"/>
  <c r="W674"/>
  <c r="V674"/>
  <c r="W673"/>
  <c r="V673"/>
  <c r="W672"/>
  <c r="V672"/>
  <c r="W671"/>
  <c r="V671"/>
  <c r="W670"/>
  <c r="V670"/>
  <c r="W669"/>
  <c r="V669"/>
  <c r="W668"/>
  <c r="V668"/>
  <c r="W667"/>
  <c r="V667"/>
  <c r="W666"/>
  <c r="V666"/>
  <c r="W665"/>
  <c r="V665"/>
  <c r="W664"/>
  <c r="V664"/>
  <c r="W663"/>
  <c r="V663"/>
  <c r="W662"/>
  <c r="V662"/>
  <c r="W661"/>
  <c r="V661"/>
  <c r="W660"/>
  <c r="V660"/>
  <c r="W659"/>
  <c r="V659"/>
  <c r="W658"/>
  <c r="V658"/>
  <c r="W657"/>
  <c r="V657"/>
  <c r="W656"/>
  <c r="V656"/>
  <c r="W655"/>
  <c r="V655"/>
  <c r="W654"/>
  <c r="V654"/>
  <c r="W653"/>
  <c r="V653"/>
  <c r="W652"/>
  <c r="V652"/>
  <c r="W651"/>
  <c r="V651"/>
  <c r="W650"/>
  <c r="V650"/>
  <c r="W649"/>
  <c r="V649"/>
  <c r="W648"/>
  <c r="V648"/>
  <c r="W647"/>
  <c r="V647"/>
  <c r="W646"/>
  <c r="V646"/>
  <c r="W645"/>
  <c r="V645"/>
  <c r="W644"/>
  <c r="V644"/>
  <c r="W643"/>
  <c r="V643"/>
  <c r="W642"/>
  <c r="V642"/>
  <c r="W641"/>
  <c r="V641"/>
  <c r="W640"/>
  <c r="V640"/>
  <c r="W639"/>
  <c r="V639"/>
  <c r="W638"/>
  <c r="V638"/>
  <c r="W637"/>
  <c r="V637"/>
  <c r="W636"/>
  <c r="V636"/>
  <c r="W635"/>
  <c r="V635"/>
  <c r="W634"/>
  <c r="V634"/>
  <c r="W633"/>
  <c r="V633"/>
  <c r="W632"/>
  <c r="V632"/>
  <c r="W631"/>
  <c r="V631"/>
  <c r="W630"/>
  <c r="V630"/>
  <c r="W629"/>
  <c r="V629"/>
  <c r="W628"/>
  <c r="V628"/>
  <c r="W627"/>
  <c r="V627"/>
  <c r="W626"/>
  <c r="V626"/>
  <c r="W625"/>
  <c r="V625"/>
  <c r="W624"/>
  <c r="V624"/>
  <c r="W623"/>
  <c r="V623"/>
  <c r="W622"/>
  <c r="V622"/>
  <c r="W621"/>
  <c r="V621"/>
  <c r="W620"/>
  <c r="V620"/>
  <c r="W619"/>
  <c r="V619"/>
  <c r="W618"/>
  <c r="V618"/>
  <c r="W617"/>
  <c r="V617"/>
  <c r="W616"/>
  <c r="V616"/>
  <c r="W615"/>
  <c r="V615"/>
  <c r="W614"/>
  <c r="V614"/>
  <c r="W613"/>
  <c r="V613"/>
  <c r="W612"/>
  <c r="V612"/>
  <c r="W611"/>
  <c r="V611"/>
  <c r="W610"/>
  <c r="V610"/>
  <c r="W609"/>
  <c r="V609"/>
  <c r="W608"/>
  <c r="V608"/>
  <c r="W607"/>
  <c r="V607"/>
  <c r="W606"/>
  <c r="V606"/>
  <c r="W605"/>
  <c r="V605"/>
  <c r="W604"/>
  <c r="V604"/>
  <c r="W603"/>
  <c r="V603"/>
  <c r="W602"/>
  <c r="V602"/>
  <c r="W601"/>
  <c r="V601"/>
  <c r="W600"/>
  <c r="V600"/>
  <c r="W599"/>
  <c r="V599"/>
  <c r="W598"/>
  <c r="V598"/>
  <c r="W597"/>
  <c r="V597"/>
  <c r="W596"/>
  <c r="V596"/>
  <c r="W595"/>
  <c r="V595"/>
  <c r="W594"/>
  <c r="V594"/>
  <c r="W593"/>
  <c r="V593"/>
  <c r="W592"/>
  <c r="V592"/>
  <c r="W591"/>
  <c r="V591"/>
  <c r="W590"/>
  <c r="V590"/>
  <c r="W589"/>
  <c r="V589"/>
  <c r="W588"/>
  <c r="V588"/>
  <c r="W587"/>
  <c r="V587"/>
  <c r="W586"/>
  <c r="V586"/>
  <c r="W585"/>
  <c r="V585"/>
  <c r="W584"/>
  <c r="V584"/>
  <c r="W583"/>
  <c r="V583"/>
  <c r="W582"/>
  <c r="V582"/>
  <c r="W581"/>
  <c r="V581"/>
  <c r="W580"/>
  <c r="V580"/>
  <c r="W579"/>
  <c r="V579"/>
  <c r="W578"/>
  <c r="V578"/>
  <c r="W577"/>
  <c r="V577"/>
  <c r="W576"/>
  <c r="V576"/>
  <c r="W575"/>
  <c r="V575"/>
  <c r="W574"/>
  <c r="V574"/>
  <c r="W573"/>
  <c r="V573"/>
  <c r="W572"/>
  <c r="V572"/>
  <c r="W571"/>
  <c r="V571"/>
  <c r="W570"/>
  <c r="V570"/>
  <c r="W569"/>
  <c r="V569"/>
  <c r="W568"/>
  <c r="V568"/>
  <c r="W567"/>
  <c r="V567"/>
  <c r="W566"/>
  <c r="V566"/>
  <c r="W565"/>
  <c r="V565"/>
  <c r="W564"/>
  <c r="V564"/>
  <c r="W563"/>
  <c r="V563"/>
  <c r="W562"/>
  <c r="V562"/>
  <c r="W561"/>
  <c r="V561"/>
  <c r="W560"/>
  <c r="V560"/>
  <c r="W559"/>
  <c r="V559"/>
  <c r="W558"/>
  <c r="V558"/>
  <c r="W557"/>
  <c r="V557"/>
  <c r="W556"/>
  <c r="V556"/>
  <c r="W555"/>
  <c r="V555"/>
  <c r="W554"/>
  <c r="V554"/>
  <c r="W553"/>
  <c r="V553"/>
  <c r="W552"/>
  <c r="V552"/>
  <c r="W551"/>
  <c r="V551"/>
  <c r="W550"/>
  <c r="V550"/>
  <c r="W549"/>
  <c r="V549"/>
  <c r="W548"/>
  <c r="V548"/>
  <c r="W547"/>
  <c r="V547"/>
  <c r="W546"/>
  <c r="V546"/>
  <c r="W545"/>
  <c r="V545"/>
  <c r="W544"/>
  <c r="V544"/>
  <c r="W543"/>
  <c r="V543"/>
  <c r="W542"/>
  <c r="V542"/>
  <c r="W541"/>
  <c r="V541"/>
  <c r="W540"/>
  <c r="V540"/>
  <c r="W539"/>
  <c r="V539"/>
  <c r="W538"/>
  <c r="V538"/>
  <c r="W537"/>
  <c r="V537"/>
  <c r="W536"/>
  <c r="V536"/>
  <c r="W535"/>
  <c r="V535"/>
  <c r="W534"/>
  <c r="V534"/>
  <c r="W533"/>
  <c r="V533"/>
  <c r="W532"/>
  <c r="V532"/>
  <c r="W531"/>
  <c r="V531"/>
  <c r="W530"/>
  <c r="V530"/>
  <c r="W529"/>
  <c r="V529"/>
  <c r="W528"/>
  <c r="V528"/>
  <c r="W527"/>
  <c r="V527"/>
  <c r="W526"/>
  <c r="V526"/>
  <c r="W525"/>
  <c r="V525"/>
  <c r="W524"/>
  <c r="V524"/>
  <c r="W523"/>
  <c r="V523"/>
  <c r="W522"/>
  <c r="V522"/>
  <c r="W521"/>
  <c r="V521"/>
  <c r="W520"/>
  <c r="V520"/>
  <c r="W519"/>
  <c r="V519"/>
  <c r="W518"/>
  <c r="V518"/>
  <c r="W517"/>
  <c r="V517"/>
  <c r="W516"/>
  <c r="V516"/>
  <c r="W515"/>
  <c r="V515"/>
  <c r="W514"/>
  <c r="V514"/>
  <c r="W513"/>
  <c r="V513"/>
  <c r="W512"/>
  <c r="V512"/>
  <c r="W511"/>
  <c r="V511"/>
  <c r="W510"/>
  <c r="V510"/>
  <c r="W509"/>
  <c r="V509"/>
  <c r="W508"/>
  <c r="V508"/>
  <c r="W507"/>
  <c r="V507"/>
  <c r="W506"/>
  <c r="V506"/>
  <c r="W505"/>
  <c r="V505"/>
  <c r="W504"/>
  <c r="V504"/>
  <c r="W503"/>
  <c r="V503"/>
  <c r="W502"/>
  <c r="V502"/>
  <c r="W501"/>
  <c r="V501"/>
  <c r="W500"/>
  <c r="V500"/>
  <c r="W499"/>
  <c r="V499"/>
  <c r="W498"/>
  <c r="V498"/>
  <c r="W497"/>
  <c r="V497"/>
  <c r="W496"/>
  <c r="V496"/>
  <c r="W495"/>
  <c r="V495"/>
  <c r="W494"/>
  <c r="V494"/>
  <c r="W493"/>
  <c r="V493"/>
  <c r="W492"/>
  <c r="V492"/>
  <c r="W491"/>
  <c r="V491"/>
  <c r="W490"/>
  <c r="V490"/>
  <c r="W489"/>
  <c r="V489"/>
  <c r="W488"/>
  <c r="V488"/>
  <c r="W487"/>
  <c r="V487"/>
  <c r="W486"/>
  <c r="V486"/>
  <c r="W485"/>
  <c r="V485"/>
  <c r="W484"/>
  <c r="V484"/>
  <c r="W483"/>
  <c r="V483"/>
  <c r="W482"/>
  <c r="V482"/>
  <c r="W481"/>
  <c r="V481"/>
  <c r="W480"/>
  <c r="V480"/>
  <c r="W479"/>
  <c r="V479"/>
  <c r="W478"/>
  <c r="V478"/>
  <c r="W477"/>
  <c r="V477"/>
  <c r="W476"/>
  <c r="V476"/>
  <c r="W475"/>
  <c r="V475"/>
  <c r="W474"/>
  <c r="V474"/>
  <c r="W473"/>
  <c r="V473"/>
  <c r="W472"/>
  <c r="V472"/>
  <c r="W471"/>
  <c r="V471"/>
  <c r="W470"/>
  <c r="V470"/>
  <c r="W469"/>
  <c r="V469"/>
  <c r="W468"/>
  <c r="V468"/>
  <c r="W467"/>
  <c r="V467"/>
  <c r="W466"/>
  <c r="V466"/>
  <c r="W465"/>
  <c r="V465"/>
  <c r="W464"/>
  <c r="V464"/>
  <c r="W463"/>
  <c r="V463"/>
  <c r="W462"/>
  <c r="V462"/>
  <c r="W461"/>
  <c r="V461"/>
  <c r="W460"/>
  <c r="V460"/>
  <c r="W459"/>
  <c r="V459"/>
  <c r="W458"/>
  <c r="V458"/>
  <c r="W457"/>
  <c r="V457"/>
  <c r="W456"/>
  <c r="V456"/>
  <c r="W455"/>
  <c r="V455"/>
  <c r="W454"/>
  <c r="V454"/>
  <c r="W453"/>
  <c r="V453"/>
  <c r="W452"/>
  <c r="V452"/>
  <c r="W451"/>
  <c r="V451"/>
  <c r="W450"/>
  <c r="V450"/>
  <c r="W449"/>
  <c r="V449"/>
  <c r="W448"/>
  <c r="V448"/>
  <c r="W447"/>
  <c r="V447"/>
  <c r="W446"/>
  <c r="V446"/>
  <c r="W445"/>
  <c r="V445"/>
  <c r="W444"/>
  <c r="V444"/>
  <c r="W443"/>
  <c r="V443"/>
  <c r="W442"/>
  <c r="V442"/>
  <c r="W441"/>
  <c r="V441"/>
  <c r="W440"/>
  <c r="V440"/>
  <c r="W439"/>
  <c r="V439"/>
  <c r="W438"/>
  <c r="V438"/>
  <c r="W437"/>
  <c r="V437"/>
  <c r="W436"/>
  <c r="V436"/>
  <c r="W435"/>
  <c r="V435"/>
  <c r="W434"/>
  <c r="V434"/>
  <c r="W433"/>
  <c r="V433"/>
  <c r="W432"/>
  <c r="V432"/>
  <c r="W431"/>
  <c r="V431"/>
  <c r="W430"/>
  <c r="V430"/>
  <c r="W429"/>
  <c r="V429"/>
  <c r="W428"/>
  <c r="V428"/>
  <c r="W427"/>
  <c r="V427"/>
  <c r="W426"/>
  <c r="V426"/>
  <c r="W425"/>
  <c r="V425"/>
  <c r="W424"/>
  <c r="V424"/>
  <c r="W423"/>
  <c r="V423"/>
  <c r="W422"/>
  <c r="V422"/>
  <c r="W421"/>
  <c r="V421"/>
  <c r="W420"/>
  <c r="V420"/>
  <c r="W419"/>
  <c r="V419"/>
  <c r="W418"/>
  <c r="V418"/>
  <c r="W417"/>
  <c r="V417"/>
  <c r="W416"/>
  <c r="V416"/>
  <c r="W415"/>
  <c r="V415"/>
  <c r="W414"/>
  <c r="V414"/>
  <c r="W413"/>
  <c r="V413"/>
  <c r="W412"/>
  <c r="V412"/>
  <c r="W411"/>
  <c r="V411"/>
  <c r="W410"/>
  <c r="V410"/>
  <c r="W409"/>
  <c r="V409"/>
  <c r="W408"/>
  <c r="V408"/>
  <c r="W407"/>
  <c r="V407"/>
  <c r="W406"/>
  <c r="V406"/>
  <c r="W405"/>
  <c r="V405"/>
  <c r="W404"/>
  <c r="V404"/>
  <c r="W403"/>
  <c r="V403"/>
  <c r="W402"/>
  <c r="V402"/>
  <c r="W401"/>
  <c r="V401"/>
  <c r="W400"/>
  <c r="V400"/>
  <c r="W399"/>
  <c r="V399"/>
  <c r="W398"/>
  <c r="V398"/>
  <c r="W397"/>
  <c r="V397"/>
  <c r="W396"/>
  <c r="V396"/>
  <c r="W395"/>
  <c r="V395"/>
  <c r="W394"/>
  <c r="V394"/>
  <c r="W393"/>
  <c r="V393"/>
  <c r="W392"/>
  <c r="V392"/>
  <c r="W391"/>
  <c r="V391"/>
  <c r="W390"/>
  <c r="V390"/>
  <c r="W389"/>
  <c r="V389"/>
  <c r="W388"/>
  <c r="V388"/>
  <c r="W387"/>
  <c r="V387"/>
  <c r="W386"/>
  <c r="V386"/>
  <c r="W385"/>
  <c r="V385"/>
  <c r="W384"/>
  <c r="V384"/>
  <c r="W383"/>
  <c r="V383"/>
  <c r="W382"/>
  <c r="V382"/>
  <c r="W381"/>
  <c r="V381"/>
  <c r="W380"/>
  <c r="V380"/>
  <c r="W379"/>
  <c r="V379"/>
  <c r="W378"/>
  <c r="V378"/>
  <c r="W377"/>
  <c r="V377"/>
  <c r="W376"/>
  <c r="V376"/>
  <c r="W375"/>
  <c r="V375"/>
  <c r="W374"/>
  <c r="V374"/>
  <c r="W373"/>
  <c r="V373"/>
  <c r="W372"/>
  <c r="V372"/>
  <c r="W371"/>
  <c r="V371"/>
  <c r="W370"/>
  <c r="V370"/>
  <c r="W369"/>
  <c r="V369"/>
  <c r="W368"/>
  <c r="V368"/>
  <c r="W367"/>
  <c r="V367"/>
  <c r="W366"/>
  <c r="V366"/>
  <c r="W365"/>
  <c r="V365"/>
  <c r="W364"/>
  <c r="V364"/>
  <c r="W363"/>
  <c r="V363"/>
  <c r="W362"/>
  <c r="V362"/>
  <c r="W361"/>
  <c r="V361"/>
  <c r="W360"/>
  <c r="V360"/>
  <c r="W359"/>
  <c r="V359"/>
  <c r="W358"/>
  <c r="V358"/>
  <c r="W357"/>
  <c r="V357"/>
  <c r="W356"/>
  <c r="V356"/>
  <c r="W355"/>
  <c r="V355"/>
  <c r="W354"/>
  <c r="V354"/>
  <c r="W353"/>
  <c r="V353"/>
  <c r="W352"/>
  <c r="V352"/>
  <c r="W351"/>
  <c r="V351"/>
  <c r="W350"/>
  <c r="V350"/>
  <c r="W349"/>
  <c r="V349"/>
  <c r="W348"/>
  <c r="V348"/>
  <c r="W347"/>
  <c r="V347"/>
  <c r="W346"/>
  <c r="V346"/>
  <c r="W345"/>
  <c r="V345"/>
  <c r="W344"/>
  <c r="V344"/>
  <c r="W343"/>
  <c r="V343"/>
  <c r="W342"/>
  <c r="V342"/>
  <c r="W341"/>
  <c r="V341"/>
  <c r="W340"/>
  <c r="V340"/>
  <c r="W339"/>
  <c r="V339"/>
  <c r="W338"/>
  <c r="V338"/>
  <c r="W337"/>
  <c r="V337"/>
  <c r="W336"/>
  <c r="V336"/>
  <c r="W335"/>
  <c r="V335"/>
  <c r="W334"/>
  <c r="W333"/>
  <c r="V333"/>
  <c r="W332"/>
  <c r="V332"/>
  <c r="W331"/>
  <c r="V331"/>
  <c r="W330"/>
  <c r="V330"/>
  <c r="W329"/>
  <c r="V329"/>
  <c r="W328"/>
  <c r="V328"/>
  <c r="W327"/>
  <c r="V327"/>
  <c r="W326"/>
  <c r="V326"/>
  <c r="W325"/>
  <c r="V325"/>
  <c r="W324"/>
  <c r="V324"/>
  <c r="W323"/>
  <c r="V323"/>
  <c r="W322"/>
  <c r="V322"/>
  <c r="W321"/>
  <c r="V321"/>
  <c r="W320"/>
  <c r="V320"/>
  <c r="W319"/>
  <c r="V319"/>
  <c r="W318"/>
  <c r="V318"/>
  <c r="W317"/>
  <c r="V317"/>
  <c r="W316"/>
  <c r="V316"/>
  <c r="W315"/>
  <c r="V315"/>
  <c r="W314"/>
  <c r="V314"/>
  <c r="W313"/>
  <c r="V313"/>
  <c r="W312"/>
  <c r="V312"/>
  <c r="W311"/>
  <c r="V311"/>
  <c r="W310"/>
  <c r="V310"/>
  <c r="W309"/>
  <c r="V309"/>
  <c r="W308"/>
  <c r="V308"/>
  <c r="W307"/>
  <c r="V307"/>
  <c r="W306"/>
  <c r="V306"/>
  <c r="W305"/>
  <c r="V305"/>
  <c r="W304"/>
  <c r="V304"/>
  <c r="W303"/>
  <c r="W302"/>
  <c r="V302"/>
  <c r="W301"/>
  <c r="V301"/>
  <c r="W300"/>
  <c r="V300"/>
  <c r="W299"/>
  <c r="V299"/>
  <c r="W298"/>
  <c r="V298"/>
  <c r="W297"/>
  <c r="V297"/>
  <c r="W296"/>
  <c r="V296"/>
  <c r="W295"/>
  <c r="V295"/>
  <c r="W294"/>
  <c r="V294"/>
  <c r="W293"/>
  <c r="V293"/>
  <c r="W292"/>
  <c r="V292"/>
  <c r="W291"/>
  <c r="V291"/>
  <c r="W290"/>
  <c r="V290"/>
  <c r="W289"/>
  <c r="V289"/>
  <c r="W288"/>
  <c r="V288"/>
  <c r="W287"/>
  <c r="V287"/>
  <c r="W286"/>
  <c r="V286"/>
  <c r="W285"/>
  <c r="V285"/>
  <c r="W284"/>
  <c r="V284"/>
  <c r="W283"/>
  <c r="V283"/>
  <c r="W282"/>
  <c r="V282"/>
  <c r="W281"/>
  <c r="V281"/>
  <c r="W280"/>
  <c r="V280"/>
  <c r="W279"/>
  <c r="V279"/>
  <c r="W278"/>
  <c r="V278"/>
  <c r="W277"/>
  <c r="V277"/>
  <c r="W276"/>
  <c r="V276"/>
  <c r="W275"/>
  <c r="V275"/>
  <c r="W274"/>
  <c r="V274"/>
  <c r="W273"/>
  <c r="V273"/>
  <c r="W272"/>
  <c r="V272"/>
  <c r="W271"/>
  <c r="V271"/>
  <c r="W270"/>
  <c r="V270"/>
  <c r="W269"/>
  <c r="V269"/>
  <c r="W268"/>
  <c r="V268"/>
  <c r="W267"/>
  <c r="V267"/>
  <c r="W266"/>
  <c r="V266"/>
  <c r="W265"/>
  <c r="V265"/>
  <c r="W264"/>
  <c r="V264"/>
  <c r="W263"/>
  <c r="V263"/>
  <c r="W262"/>
  <c r="V262"/>
  <c r="W261"/>
  <c r="V261"/>
  <c r="W260"/>
  <c r="V260"/>
  <c r="W259"/>
  <c r="V259"/>
  <c r="W258"/>
  <c r="V258"/>
  <c r="W257"/>
  <c r="V257"/>
  <c r="W256"/>
  <c r="V256"/>
  <c r="W255"/>
  <c r="V255"/>
  <c r="W254"/>
  <c r="V254"/>
  <c r="W253"/>
  <c r="V253"/>
  <c r="W252"/>
  <c r="V252"/>
  <c r="W251"/>
  <c r="V251"/>
  <c r="W250"/>
  <c r="V250"/>
  <c r="W249"/>
  <c r="V249"/>
  <c r="W248"/>
  <c r="V248"/>
  <c r="W247"/>
  <c r="V247"/>
  <c r="W246"/>
  <c r="V246"/>
  <c r="W245"/>
  <c r="V245"/>
  <c r="W244"/>
  <c r="V244"/>
  <c r="W243"/>
  <c r="V243"/>
  <c r="W242"/>
  <c r="V242"/>
  <c r="W241"/>
  <c r="V241"/>
  <c r="W240"/>
  <c r="V240"/>
  <c r="W239"/>
  <c r="V239"/>
  <c r="W238"/>
  <c r="V238"/>
  <c r="W237"/>
  <c r="V237"/>
  <c r="W236"/>
  <c r="V236"/>
  <c r="W235"/>
  <c r="V235"/>
  <c r="W234"/>
  <c r="V234"/>
  <c r="W233"/>
  <c r="V233"/>
  <c r="W232"/>
  <c r="V232"/>
  <c r="W231"/>
  <c r="V231"/>
  <c r="W230"/>
  <c r="V230"/>
  <c r="W229"/>
  <c r="V229"/>
  <c r="W228"/>
  <c r="V228"/>
  <c r="W227"/>
  <c r="V227"/>
  <c r="W226"/>
  <c r="V226"/>
  <c r="Z230"/>
  <c r="Z229"/>
  <c r="Z228"/>
  <c r="Z227"/>
  <c r="Z226"/>
  <c r="X226"/>
  <c r="O228"/>
  <c r="T121" i="6"/>
  <c r="Z260" i="1"/>
  <c r="O261"/>
  <c r="Z261"/>
  <c r="O262"/>
  <c r="T120" i="6"/>
  <c r="T119"/>
  <c r="T118"/>
  <c r="T117"/>
  <c r="O244" i="1"/>
  <c r="O254"/>
  <c r="O245"/>
  <c r="O246"/>
  <c r="O247"/>
  <c r="O248"/>
  <c r="O249"/>
  <c r="O250"/>
  <c r="O251"/>
  <c r="O252"/>
  <c r="O255"/>
  <c r="O226"/>
  <c r="O230"/>
  <c r="Z225"/>
  <c r="X225"/>
  <c r="W225"/>
  <c r="V225"/>
  <c r="O225"/>
  <c r="Z219"/>
  <c r="X219"/>
  <c r="W219"/>
  <c r="V219"/>
  <c r="Z218"/>
  <c r="X218"/>
  <c r="W218"/>
  <c r="V218"/>
  <c r="O218"/>
  <c r="Z223"/>
  <c r="X223"/>
  <c r="W223"/>
  <c r="V223"/>
  <c r="O223"/>
  <c r="Z217"/>
  <c r="X217"/>
  <c r="W217"/>
  <c r="V217"/>
  <c r="Z222"/>
  <c r="X222"/>
  <c r="W222"/>
  <c r="V222"/>
  <c r="O222"/>
  <c r="Z221"/>
  <c r="X221"/>
  <c r="W221"/>
  <c r="V221"/>
  <c r="O221"/>
  <c r="Z216"/>
  <c r="X216"/>
  <c r="W216"/>
  <c r="V216"/>
  <c r="Z215"/>
  <c r="X215"/>
  <c r="W215"/>
  <c r="V215"/>
  <c r="Z214"/>
  <c r="X214"/>
  <c r="W214"/>
  <c r="V214"/>
  <c r="Z242"/>
  <c r="O243"/>
  <c r="Z236"/>
  <c r="Z235"/>
  <c r="Z234"/>
  <c r="Z233"/>
  <c r="Z232"/>
  <c r="O233"/>
  <c r="Z231"/>
  <c r="O227"/>
  <c r="O229"/>
  <c r="Z220"/>
  <c r="X220"/>
  <c r="W220"/>
  <c r="V220"/>
  <c r="O220"/>
  <c r="Z213"/>
  <c r="X213"/>
  <c r="W213"/>
  <c r="V213"/>
  <c r="O267"/>
  <c r="O266"/>
  <c r="O265"/>
  <c r="O269"/>
  <c r="O270"/>
  <c r="O272"/>
  <c r="I24" i="4" l="1"/>
  <c r="P24" s="1"/>
  <c r="Q24" s="1"/>
  <c r="R24" s="1"/>
  <c r="S24" s="1"/>
  <c r="Q26"/>
  <c r="R26" s="1"/>
  <c r="S26" s="1"/>
  <c r="O26"/>
  <c r="O27" s="1"/>
  <c r="O28" s="1"/>
  <c r="J26"/>
  <c r="K26" s="1"/>
  <c r="M26" s="1"/>
  <c r="I23"/>
  <c r="T23"/>
  <c r="U23" s="1"/>
  <c r="W23"/>
  <c r="X24"/>
  <c r="I25"/>
  <c r="P25" s="1"/>
  <c r="Q25" s="1"/>
  <c r="R25" s="1"/>
  <c r="S25" s="1"/>
  <c r="X25"/>
  <c r="X31"/>
  <c r="W31"/>
  <c r="I31"/>
  <c r="P31" s="1"/>
  <c r="Q31" s="1"/>
  <c r="R31" s="1"/>
  <c r="S31" s="1"/>
  <c r="X30"/>
  <c r="W30"/>
  <c r="V30"/>
  <c r="U30"/>
  <c r="I30"/>
  <c r="P30" s="1"/>
  <c r="Q30" s="1"/>
  <c r="R30" s="1"/>
  <c r="S30" s="1"/>
  <c r="X29"/>
  <c r="W29"/>
  <c r="T29"/>
  <c r="U29" s="1"/>
  <c r="N29"/>
  <c r="I29"/>
  <c r="Z279" i="1"/>
  <c r="O280"/>
  <c r="Z278"/>
  <c r="O279"/>
  <c r="O281"/>
  <c r="O283"/>
  <c r="O277"/>
  <c r="O276"/>
  <c r="O275"/>
  <c r="O274"/>
  <c r="Z258"/>
  <c r="O259"/>
  <c r="Z257"/>
  <c r="O258"/>
  <c r="Z256"/>
  <c r="O257"/>
  <c r="Z253"/>
  <c r="Z252"/>
  <c r="O253"/>
  <c r="Z251"/>
  <c r="Z250"/>
  <c r="Z249"/>
  <c r="Z255"/>
  <c r="O256"/>
  <c r="Z248"/>
  <c r="Z247"/>
  <c r="Z246"/>
  <c r="Z254"/>
  <c r="Z245"/>
  <c r="Z244"/>
  <c r="Z243"/>
  <c r="Z241"/>
  <c r="Z240"/>
  <c r="Z239"/>
  <c r="Z238"/>
  <c r="Z237"/>
  <c r="T113" i="6"/>
  <c r="T112"/>
  <c r="O293" i="1"/>
  <c r="O292"/>
  <c r="Z281"/>
  <c r="O282"/>
  <c r="Z280"/>
  <c r="Z277"/>
  <c r="O278"/>
  <c r="Z276"/>
  <c r="Z275"/>
  <c r="Z274"/>
  <c r="Z273"/>
  <c r="Z272"/>
  <c r="O273"/>
  <c r="Z267"/>
  <c r="O268"/>
  <c r="Z266"/>
  <c r="Z265"/>
  <c r="Z271"/>
  <c r="Z264"/>
  <c r="Z263"/>
  <c r="O264"/>
  <c r="Z270"/>
  <c r="O271"/>
  <c r="Z269"/>
  <c r="Z268"/>
  <c r="Z259"/>
  <c r="O260"/>
  <c r="Z262"/>
  <c r="O263"/>
  <c r="Q303"/>
  <c r="V303" s="1"/>
  <c r="O308"/>
  <c r="O307"/>
  <c r="Z308"/>
  <c r="O311"/>
  <c r="Z307"/>
  <c r="O310"/>
  <c r="Z306"/>
  <c r="O309"/>
  <c r="T116" i="6"/>
  <c r="T115"/>
  <c r="T114"/>
  <c r="F13" i="8"/>
  <c r="G11" s="1"/>
  <c r="I11" s="1"/>
  <c r="Z297" i="1"/>
  <c r="Z296"/>
  <c r="Z301"/>
  <c r="O304"/>
  <c r="Z295"/>
  <c r="Z294"/>
  <c r="Z293"/>
  <c r="Z292"/>
  <c r="O295"/>
  <c r="Z291"/>
  <c r="O294"/>
  <c r="Z290"/>
  <c r="O291"/>
  <c r="Z289"/>
  <c r="O290"/>
  <c r="Z286"/>
  <c r="O287"/>
  <c r="Z287"/>
  <c r="O288"/>
  <c r="Z285"/>
  <c r="Z284"/>
  <c r="Z288"/>
  <c r="Z283"/>
  <c r="Z282"/>
  <c r="Z94"/>
  <c r="X94"/>
  <c r="W94"/>
  <c r="V94"/>
  <c r="Z19"/>
  <c r="X19"/>
  <c r="W19"/>
  <c r="V19"/>
  <c r="O19"/>
  <c r="Z18"/>
  <c r="X18"/>
  <c r="W18"/>
  <c r="V18"/>
  <c r="O18"/>
  <c r="Z17"/>
  <c r="X17"/>
  <c r="W17"/>
  <c r="V17"/>
  <c r="O17"/>
  <c r="Z16"/>
  <c r="X16"/>
  <c r="W16"/>
  <c r="V16"/>
  <c r="O16"/>
  <c r="Z15"/>
  <c r="X15"/>
  <c r="W15"/>
  <c r="V15"/>
  <c r="O15"/>
  <c r="Z14"/>
  <c r="X14"/>
  <c r="W14"/>
  <c r="V14"/>
  <c r="O14"/>
  <c r="Z13"/>
  <c r="X13"/>
  <c r="W13"/>
  <c r="V13"/>
  <c r="O13"/>
  <c r="Z12"/>
  <c r="X12"/>
  <c r="W12"/>
  <c r="V12"/>
  <c r="O12"/>
  <c r="X19" i="4"/>
  <c r="W19"/>
  <c r="N19"/>
  <c r="T17" s="1"/>
  <c r="U17" s="1"/>
  <c r="I19"/>
  <c r="X18"/>
  <c r="W18"/>
  <c r="V18"/>
  <c r="U18"/>
  <c r="I18"/>
  <c r="P18" s="1"/>
  <c r="Q18" s="1"/>
  <c r="R18" s="1"/>
  <c r="S18" s="1"/>
  <c r="X17"/>
  <c r="W17"/>
  <c r="N17"/>
  <c r="I17"/>
  <c r="X22"/>
  <c r="W22"/>
  <c r="N22"/>
  <c r="T20" s="1"/>
  <c r="U20" s="1"/>
  <c r="I22"/>
  <c r="X21"/>
  <c r="W21"/>
  <c r="V21"/>
  <c r="U21"/>
  <c r="I21"/>
  <c r="P21" s="1"/>
  <c r="Q21" s="1"/>
  <c r="R21" s="1"/>
  <c r="S21" s="1"/>
  <c r="X20"/>
  <c r="W20"/>
  <c r="N20"/>
  <c r="I20"/>
  <c r="O328" i="1"/>
  <c r="Z325"/>
  <c r="Z324"/>
  <c r="O327"/>
  <c r="T108" i="6"/>
  <c r="T107"/>
  <c r="T106"/>
  <c r="T105"/>
  <c r="T104"/>
  <c r="T103"/>
  <c r="T102"/>
  <c r="T111"/>
  <c r="T110"/>
  <c r="T109"/>
  <c r="Z342" i="1"/>
  <c r="O345"/>
  <c r="Z341"/>
  <c r="O344"/>
  <c r="Z340"/>
  <c r="O343"/>
  <c r="Z339"/>
  <c r="O342"/>
  <c r="Z338"/>
  <c r="O341"/>
  <c r="Q334"/>
  <c r="V334" s="1"/>
  <c r="Z331"/>
  <c r="O334"/>
  <c r="Z330"/>
  <c r="O333"/>
  <c r="Z329"/>
  <c r="Z328"/>
  <c r="Z327"/>
  <c r="O330"/>
  <c r="Z326"/>
  <c r="Z323"/>
  <c r="O326"/>
  <c r="Z322"/>
  <c r="O325"/>
  <c r="Z321"/>
  <c r="O324"/>
  <c r="Z320"/>
  <c r="Z319"/>
  <c r="Z318"/>
  <c r="Z317"/>
  <c r="Z316"/>
  <c r="Z315"/>
  <c r="Z314"/>
  <c r="Z313"/>
  <c r="Z312"/>
  <c r="Z311"/>
  <c r="W14" i="4"/>
  <c r="X16"/>
  <c r="W16"/>
  <c r="N16"/>
  <c r="I16"/>
  <c r="X15"/>
  <c r="W15"/>
  <c r="V15"/>
  <c r="U15"/>
  <c r="I15"/>
  <c r="P15" s="1"/>
  <c r="Q15" s="1"/>
  <c r="R15" s="1"/>
  <c r="S15" s="1"/>
  <c r="X14"/>
  <c r="T14"/>
  <c r="U14" s="1"/>
  <c r="N14"/>
  <c r="I14"/>
  <c r="Z359" i="1"/>
  <c r="O362"/>
  <c r="Z358"/>
  <c r="O361"/>
  <c r="Z379"/>
  <c r="O382"/>
  <c r="T99" i="6"/>
  <c r="T98"/>
  <c r="T97"/>
  <c r="M65" i="4"/>
  <c r="J65"/>
  <c r="I37"/>
  <c r="H37"/>
  <c r="H65"/>
  <c r="H66" s="1"/>
  <c r="Z355" i="1"/>
  <c r="O358"/>
  <c r="Z354"/>
  <c r="O357"/>
  <c r="Z353"/>
  <c r="Z351"/>
  <c r="Z350"/>
  <c r="Z352"/>
  <c r="Z349"/>
  <c r="Z348"/>
  <c r="O351"/>
  <c r="Z347"/>
  <c r="O350"/>
  <c r="Z346"/>
  <c r="O349"/>
  <c r="Z345"/>
  <c r="O348"/>
  <c r="Z344"/>
  <c r="O347"/>
  <c r="Z343"/>
  <c r="O346"/>
  <c r="Z337"/>
  <c r="O340"/>
  <c r="Z335"/>
  <c r="Z334"/>
  <c r="Z333"/>
  <c r="Z336"/>
  <c r="O339"/>
  <c r="Z332"/>
  <c r="O400"/>
  <c r="O399"/>
  <c r="O398"/>
  <c r="O397"/>
  <c r="Z397"/>
  <c r="Z396"/>
  <c r="Z395"/>
  <c r="Z394"/>
  <c r="Z375"/>
  <c r="O378"/>
  <c r="Z374"/>
  <c r="O377"/>
  <c r="Z373"/>
  <c r="O376"/>
  <c r="Z372"/>
  <c r="O375"/>
  <c r="Z371"/>
  <c r="O374"/>
  <c r="Z378"/>
  <c r="O381"/>
  <c r="Z370"/>
  <c r="O373"/>
  <c r="Z369"/>
  <c r="Z368"/>
  <c r="Z367"/>
  <c r="O370"/>
  <c r="Z366"/>
  <c r="O369"/>
  <c r="Z365"/>
  <c r="O368"/>
  <c r="Z364"/>
  <c r="O367"/>
  <c r="Z363"/>
  <c r="O366"/>
  <c r="Z362"/>
  <c r="O365"/>
  <c r="Z361"/>
  <c r="O364"/>
  <c r="Z360"/>
  <c r="O363"/>
  <c r="Z357"/>
  <c r="O360"/>
  <c r="Z356"/>
  <c r="O359"/>
  <c r="Z390"/>
  <c r="O393"/>
  <c r="Z389"/>
  <c r="O392"/>
  <c r="Z391"/>
  <c r="O394"/>
  <c r="Z388"/>
  <c r="O391"/>
  <c r="Z393"/>
  <c r="O396"/>
  <c r="Z392"/>
  <c r="O395"/>
  <c r="Z387"/>
  <c r="O390"/>
  <c r="Z386"/>
  <c r="O389"/>
  <c r="Z383"/>
  <c r="O386"/>
  <c r="Z382"/>
  <c r="O385"/>
  <c r="Z381"/>
  <c r="O384"/>
  <c r="Z380"/>
  <c r="O383"/>
  <c r="Z377"/>
  <c r="O380"/>
  <c r="Z376"/>
  <c r="O379"/>
  <c r="O429"/>
  <c r="T94" i="6"/>
  <c r="Z414" i="1"/>
  <c r="O417"/>
  <c r="Z411"/>
  <c r="O414"/>
  <c r="Z410"/>
  <c r="O413"/>
  <c r="Z409"/>
  <c r="O412"/>
  <c r="Z408"/>
  <c r="O411"/>
  <c r="Z407"/>
  <c r="O410"/>
  <c r="Z406"/>
  <c r="O409"/>
  <c r="Z405"/>
  <c r="O408"/>
  <c r="Z404"/>
  <c r="Z403"/>
  <c r="Z402"/>
  <c r="Z401"/>
  <c r="Z400"/>
  <c r="Z427"/>
  <c r="O430"/>
  <c r="T93" i="6"/>
  <c r="X10" i="4"/>
  <c r="W10"/>
  <c r="N10"/>
  <c r="T8" s="1"/>
  <c r="U8" s="1"/>
  <c r="I10"/>
  <c r="X9"/>
  <c r="W9"/>
  <c r="V9"/>
  <c r="U9"/>
  <c r="I9"/>
  <c r="P9" s="1"/>
  <c r="Q9" s="1"/>
  <c r="R9" s="1"/>
  <c r="S9" s="1"/>
  <c r="X8"/>
  <c r="W8"/>
  <c r="N8"/>
  <c r="I8"/>
  <c r="O448" i="1"/>
  <c r="O447"/>
  <c r="O446"/>
  <c r="O445"/>
  <c r="O444"/>
  <c r="O443"/>
  <c r="Z435"/>
  <c r="O438"/>
  <c r="Z434"/>
  <c r="O437"/>
  <c r="Z433"/>
  <c r="O436"/>
  <c r="Z432"/>
  <c r="O435"/>
  <c r="Z431"/>
  <c r="O434"/>
  <c r="Z430"/>
  <c r="O433"/>
  <c r="Z429"/>
  <c r="O432"/>
  <c r="Z426"/>
  <c r="Z425"/>
  <c r="Z428"/>
  <c r="O431"/>
  <c r="Z424"/>
  <c r="O427"/>
  <c r="Z423"/>
  <c r="O426"/>
  <c r="Z422"/>
  <c r="O425"/>
  <c r="Z421"/>
  <c r="O424"/>
  <c r="Z420"/>
  <c r="O423"/>
  <c r="Z419"/>
  <c r="O422"/>
  <c r="Z412"/>
  <c r="O415"/>
  <c r="Z418"/>
  <c r="O421"/>
  <c r="Z417"/>
  <c r="O420"/>
  <c r="Z413"/>
  <c r="O416"/>
  <c r="Z416"/>
  <c r="O419"/>
  <c r="Z415"/>
  <c r="O418"/>
  <c r="Z399"/>
  <c r="Z398"/>
  <c r="O401"/>
  <c r="Z452"/>
  <c r="O455"/>
  <c r="Z451"/>
  <c r="O454"/>
  <c r="Z450"/>
  <c r="O453"/>
  <c r="Z449"/>
  <c r="O452"/>
  <c r="Z448"/>
  <c r="O451"/>
  <c r="Z447"/>
  <c r="O450"/>
  <c r="Z446"/>
  <c r="O449"/>
  <c r="Z445"/>
  <c r="Z444"/>
  <c r="Z443"/>
  <c r="Z442"/>
  <c r="Z441"/>
  <c r="Z440"/>
  <c r="Z439"/>
  <c r="O442"/>
  <c r="Z438"/>
  <c r="O441"/>
  <c r="X13" i="4"/>
  <c r="W13"/>
  <c r="N13"/>
  <c r="T11" s="1"/>
  <c r="U11" s="1"/>
  <c r="I13"/>
  <c r="X12"/>
  <c r="W12"/>
  <c r="V12"/>
  <c r="U12"/>
  <c r="I12"/>
  <c r="P12" s="1"/>
  <c r="Q12" s="1"/>
  <c r="R12" s="1"/>
  <c r="S12" s="1"/>
  <c r="X11"/>
  <c r="W11"/>
  <c r="N11"/>
  <c r="I11"/>
  <c r="Z465" i="1"/>
  <c r="O468"/>
  <c r="X7" i="4"/>
  <c r="W7"/>
  <c r="N7"/>
  <c r="I7"/>
  <c r="X6"/>
  <c r="W6"/>
  <c r="I6"/>
  <c r="P6" s="1"/>
  <c r="Q6" s="1"/>
  <c r="R6" s="1"/>
  <c r="S6" s="1"/>
  <c r="X5"/>
  <c r="W5"/>
  <c r="V5"/>
  <c r="U5"/>
  <c r="I5"/>
  <c r="X4"/>
  <c r="W4"/>
  <c r="T4"/>
  <c r="U4" s="1"/>
  <c r="N4"/>
  <c r="I4"/>
  <c r="P4" s="1"/>
  <c r="Z458" i="1"/>
  <c r="O461"/>
  <c r="Z457"/>
  <c r="O460"/>
  <c r="Z456"/>
  <c r="O459"/>
  <c r="Z455"/>
  <c r="O458"/>
  <c r="Z454"/>
  <c r="O457"/>
  <c r="Z460"/>
  <c r="O463"/>
  <c r="Z453"/>
  <c r="O456"/>
  <c r="Z461"/>
  <c r="O464"/>
  <c r="Z437"/>
  <c r="O440"/>
  <c r="Z436"/>
  <c r="O439"/>
  <c r="O495"/>
  <c r="O494"/>
  <c r="O493"/>
  <c r="O492"/>
  <c r="O491"/>
  <c r="O490"/>
  <c r="O489"/>
  <c r="O488"/>
  <c r="O487"/>
  <c r="T91" i="6"/>
  <c r="T89"/>
  <c r="Z500" i="1"/>
  <c r="O503"/>
  <c r="Z499"/>
  <c r="O502"/>
  <c r="Z472"/>
  <c r="O475"/>
  <c r="Z471"/>
  <c r="O474"/>
  <c r="Z470"/>
  <c r="O473"/>
  <c r="Z469"/>
  <c r="O472"/>
  <c r="Z468"/>
  <c r="O471"/>
  <c r="Z467"/>
  <c r="O470"/>
  <c r="Z466"/>
  <c r="O469"/>
  <c r="Z464"/>
  <c r="O467"/>
  <c r="Z463"/>
  <c r="O466"/>
  <c r="Z462"/>
  <c r="O465"/>
  <c r="Z459"/>
  <c r="O462"/>
  <c r="Z478"/>
  <c r="O481"/>
  <c r="Z477"/>
  <c r="O480"/>
  <c r="Z476"/>
  <c r="O479"/>
  <c r="Z475"/>
  <c r="O478"/>
  <c r="Z474"/>
  <c r="O477"/>
  <c r="Z473"/>
  <c r="O476"/>
  <c r="Z480"/>
  <c r="O483"/>
  <c r="Z482"/>
  <c r="O485"/>
  <c r="Z481"/>
  <c r="O484"/>
  <c r="Z310"/>
  <c r="Z309"/>
  <c r="O312"/>
  <c r="Z305"/>
  <c r="Z304"/>
  <c r="Z303"/>
  <c r="O306"/>
  <c r="O501"/>
  <c r="O500"/>
  <c r="Z491"/>
  <c r="Z490"/>
  <c r="Z489"/>
  <c r="Z488"/>
  <c r="Z495"/>
  <c r="O498"/>
  <c r="Z487"/>
  <c r="Z486"/>
  <c r="Z511"/>
  <c r="O514"/>
  <c r="Z510"/>
  <c r="O513"/>
  <c r="Z509"/>
  <c r="O512"/>
  <c r="Z508"/>
  <c r="O511"/>
  <c r="Z507"/>
  <c r="O510"/>
  <c r="Z506"/>
  <c r="O509"/>
  <c r="Z505"/>
  <c r="O508"/>
  <c r="Z504"/>
  <c r="O507"/>
  <c r="Z503"/>
  <c r="O506"/>
  <c r="Z502"/>
  <c r="O505"/>
  <c r="Z501"/>
  <c r="O504"/>
  <c r="Z498"/>
  <c r="Z497"/>
  <c r="Z496"/>
  <c r="O499"/>
  <c r="Z494"/>
  <c r="O497"/>
  <c r="Z492"/>
  <c r="H62" i="4"/>
  <c r="I62" s="1"/>
  <c r="X64"/>
  <c r="W64"/>
  <c r="I64"/>
  <c r="P64" s="1"/>
  <c r="Q64" s="1"/>
  <c r="R64" s="1"/>
  <c r="S64" s="1"/>
  <c r="V63"/>
  <c r="U63"/>
  <c r="X63"/>
  <c r="N62"/>
  <c r="W62"/>
  <c r="Q61"/>
  <c r="R61" s="1"/>
  <c r="S61" s="1"/>
  <c r="H61"/>
  <c r="X61" s="1"/>
  <c r="D255" i="3"/>
  <c r="D256" s="1"/>
  <c r="D257" s="1"/>
  <c r="D258" s="1"/>
  <c r="D259" s="1"/>
  <c r="D260" s="1"/>
  <c r="D261" s="1"/>
  <c r="D262" s="1"/>
  <c r="D263" s="1"/>
  <c r="D264" s="1"/>
  <c r="D265" s="1"/>
  <c r="Z527" i="1"/>
  <c r="O530"/>
  <c r="Z526"/>
  <c r="O529"/>
  <c r="T88" i="6"/>
  <c r="T87"/>
  <c r="T86"/>
  <c r="T85"/>
  <c r="T84"/>
  <c r="Z519" i="1"/>
  <c r="O522"/>
  <c r="Z518"/>
  <c r="O521"/>
  <c r="Z517"/>
  <c r="O520"/>
  <c r="Z516"/>
  <c r="O519"/>
  <c r="Z515"/>
  <c r="O518"/>
  <c r="Z514"/>
  <c r="O517"/>
  <c r="Z513"/>
  <c r="O516"/>
  <c r="Z512"/>
  <c r="O515"/>
  <c r="T101" i="6"/>
  <c r="T100"/>
  <c r="T96"/>
  <c r="T95"/>
  <c r="T92"/>
  <c r="T90"/>
  <c r="T83"/>
  <c r="T82"/>
  <c r="T81"/>
  <c r="T80"/>
  <c r="T79"/>
  <c r="T78"/>
  <c r="T77"/>
  <c r="T76"/>
  <c r="D242" i="3"/>
  <c r="D243" s="1"/>
  <c r="D244" s="1"/>
  <c r="D245" s="1"/>
  <c r="D246" s="1"/>
  <c r="D247" s="1"/>
  <c r="D248" s="1"/>
  <c r="D249" s="1"/>
  <c r="D250" s="1"/>
  <c r="D251" s="1"/>
  <c r="D252" s="1"/>
  <c r="D234"/>
  <c r="D235" s="1"/>
  <c r="D236" s="1"/>
  <c r="D237" s="1"/>
  <c r="D238" s="1"/>
  <c r="D239" s="1"/>
  <c r="Z530" i="1"/>
  <c r="Z529"/>
  <c r="O532"/>
  <c r="Z528"/>
  <c r="O531"/>
  <c r="Z525"/>
  <c r="O528"/>
  <c r="Z524"/>
  <c r="O527"/>
  <c r="Z523"/>
  <c r="O526"/>
  <c r="Z522"/>
  <c r="O525"/>
  <c r="Z521"/>
  <c r="O524"/>
  <c r="Z520"/>
  <c r="O523"/>
  <c r="Z485"/>
  <c r="Z493"/>
  <c r="O496"/>
  <c r="Z484"/>
  <c r="T75" i="6"/>
  <c r="Z551" i="1"/>
  <c r="O554"/>
  <c r="O557"/>
  <c r="O558"/>
  <c r="O563"/>
  <c r="O562"/>
  <c r="Z545"/>
  <c r="O548"/>
  <c r="Z544"/>
  <c r="O547"/>
  <c r="Z543"/>
  <c r="O546"/>
  <c r="Z542"/>
  <c r="O545"/>
  <c r="Z541"/>
  <c r="O544"/>
  <c r="Z540"/>
  <c r="O543"/>
  <c r="Z538"/>
  <c r="Z537"/>
  <c r="O540"/>
  <c r="Z536"/>
  <c r="Z535"/>
  <c r="Z534"/>
  <c r="Z533"/>
  <c r="Z572"/>
  <c r="O575"/>
  <c r="D221" i="3"/>
  <c r="D222" s="1"/>
  <c r="D223" s="1"/>
  <c r="D224" s="1"/>
  <c r="D225" s="1"/>
  <c r="D226" s="1"/>
  <c r="D227" s="1"/>
  <c r="D228" s="1"/>
  <c r="D229" s="1"/>
  <c r="D230" s="1"/>
  <c r="D231" s="1"/>
  <c r="T74" i="6"/>
  <c r="Z560" i="1"/>
  <c r="Z559"/>
  <c r="Z558"/>
  <c r="O561"/>
  <c r="Z556"/>
  <c r="O559"/>
  <c r="Z555"/>
  <c r="Z554"/>
  <c r="Z557"/>
  <c r="O560"/>
  <c r="Z553"/>
  <c r="Z552"/>
  <c r="O555"/>
  <c r="Z550"/>
  <c r="O553"/>
  <c r="Z549"/>
  <c r="O552"/>
  <c r="Z548"/>
  <c r="O551"/>
  <c r="Z547"/>
  <c r="O550"/>
  <c r="Z546"/>
  <c r="O549"/>
  <c r="Z532"/>
  <c r="Z539"/>
  <c r="Z531"/>
  <c r="Z483"/>
  <c r="O486"/>
  <c r="Z479"/>
  <c r="O482"/>
  <c r="H49" i="4"/>
  <c r="X49" s="1"/>
  <c r="H48"/>
  <c r="W48" s="1"/>
  <c r="V48"/>
  <c r="U48"/>
  <c r="H47"/>
  <c r="H44"/>
  <c r="X44" s="1"/>
  <c r="H45"/>
  <c r="H46"/>
  <c r="W46" s="1"/>
  <c r="N49"/>
  <c r="V47"/>
  <c r="U47"/>
  <c r="X47"/>
  <c r="N46"/>
  <c r="V45"/>
  <c r="U45"/>
  <c r="Q45"/>
  <c r="R45" s="1"/>
  <c r="S45" s="1"/>
  <c r="W45"/>
  <c r="Q44"/>
  <c r="R44" s="1"/>
  <c r="S44" s="1"/>
  <c r="O592" i="1"/>
  <c r="O594"/>
  <c r="O595"/>
  <c r="O596"/>
  <c r="H56" i="4"/>
  <c r="X56" s="1"/>
  <c r="H55"/>
  <c r="X55" s="1"/>
  <c r="H54"/>
  <c r="X54" s="1"/>
  <c r="H53"/>
  <c r="W53" s="1"/>
  <c r="N55"/>
  <c r="N57"/>
  <c r="W54"/>
  <c r="V54"/>
  <c r="U54"/>
  <c r="X57"/>
  <c r="W57"/>
  <c r="I57"/>
  <c r="W56"/>
  <c r="V56"/>
  <c r="U56"/>
  <c r="N60"/>
  <c r="T58" s="1"/>
  <c r="U58" s="1"/>
  <c r="X60"/>
  <c r="W60"/>
  <c r="I60"/>
  <c r="X59"/>
  <c r="W59"/>
  <c r="V59"/>
  <c r="U59"/>
  <c r="I59"/>
  <c r="P59" s="1"/>
  <c r="Q59" s="1"/>
  <c r="R59" s="1"/>
  <c r="S59" s="1"/>
  <c r="X58"/>
  <c r="W58"/>
  <c r="N58"/>
  <c r="I58"/>
  <c r="D208" i="3"/>
  <c r="D209" s="1"/>
  <c r="D210" s="1"/>
  <c r="D211" s="1"/>
  <c r="D212" s="1"/>
  <c r="D213" s="1"/>
  <c r="D214" s="1"/>
  <c r="D215" s="1"/>
  <c r="D216" s="1"/>
  <c r="D217" s="1"/>
  <c r="D218" s="1"/>
  <c r="Z577" i="1"/>
  <c r="Z576"/>
  <c r="Z575"/>
  <c r="O578"/>
  <c r="Z574"/>
  <c r="O577"/>
  <c r="Z573"/>
  <c r="O576"/>
  <c r="Z571"/>
  <c r="O574"/>
  <c r="Z570"/>
  <c r="O573"/>
  <c r="Z569"/>
  <c r="O572"/>
  <c r="Z568"/>
  <c r="Z566"/>
  <c r="O569"/>
  <c r="Z565"/>
  <c r="O568"/>
  <c r="Z588"/>
  <c r="O591"/>
  <c r="Z587"/>
  <c r="O590"/>
  <c r="Z586"/>
  <c r="O589"/>
  <c r="Z585"/>
  <c r="O588"/>
  <c r="Z584"/>
  <c r="O587"/>
  <c r="Z583"/>
  <c r="O586"/>
  <c r="Z580"/>
  <c r="O583"/>
  <c r="Z582"/>
  <c r="O585"/>
  <c r="Z581"/>
  <c r="O584"/>
  <c r="Z579"/>
  <c r="Z578"/>
  <c r="Z609"/>
  <c r="O612"/>
  <c r="Z608"/>
  <c r="O611"/>
  <c r="Z607"/>
  <c r="O610"/>
  <c r="Z606"/>
  <c r="O609"/>
  <c r="Z605"/>
  <c r="O608"/>
  <c r="T73" i="6"/>
  <c r="T72"/>
  <c r="O617" i="1"/>
  <c r="O618"/>
  <c r="O620"/>
  <c r="O621"/>
  <c r="Z599"/>
  <c r="O602"/>
  <c r="Z604"/>
  <c r="O607"/>
  <c r="Z598"/>
  <c r="O601"/>
  <c r="Z597"/>
  <c r="O600"/>
  <c r="Z596"/>
  <c r="O599"/>
  <c r="Z594"/>
  <c r="O597"/>
  <c r="Z593"/>
  <c r="Z592"/>
  <c r="Z591"/>
  <c r="Z590"/>
  <c r="Z595"/>
  <c r="O598"/>
  <c r="Z589"/>
  <c r="Z564"/>
  <c r="O567"/>
  <c r="Z567"/>
  <c r="Z563"/>
  <c r="O566"/>
  <c r="O623"/>
  <c r="O628"/>
  <c r="O646"/>
  <c r="O647"/>
  <c r="O648"/>
  <c r="O651"/>
  <c r="N52" i="4"/>
  <c r="T50" s="1"/>
  <c r="U50" s="1"/>
  <c r="X52"/>
  <c r="W52"/>
  <c r="I52"/>
  <c r="X51"/>
  <c r="W51"/>
  <c r="V51"/>
  <c r="U51"/>
  <c r="I51"/>
  <c r="P51" s="1"/>
  <c r="Q51" s="1"/>
  <c r="R51" s="1"/>
  <c r="S51" s="1"/>
  <c r="X50"/>
  <c r="W50"/>
  <c r="N50"/>
  <c r="I50"/>
  <c r="P50" s="1"/>
  <c r="D195" i="3"/>
  <c r="D196" s="1"/>
  <c r="D197" s="1"/>
  <c r="D198" s="1"/>
  <c r="D199" s="1"/>
  <c r="D200" s="1"/>
  <c r="D201" s="1"/>
  <c r="D202" s="1"/>
  <c r="D203" s="1"/>
  <c r="D204" s="1"/>
  <c r="D205" s="1"/>
  <c r="X53" i="4" l="1"/>
  <c r="P57"/>
  <c r="W55"/>
  <c r="T53"/>
  <c r="U53" s="1"/>
  <c r="I55"/>
  <c r="P5"/>
  <c r="Q5" s="1"/>
  <c r="R5" s="1"/>
  <c r="S5" s="1"/>
  <c r="J8"/>
  <c r="K8" s="1"/>
  <c r="M8" s="1"/>
  <c r="P10"/>
  <c r="Q10" s="1"/>
  <c r="R10" s="1"/>
  <c r="S10" s="1"/>
  <c r="J23"/>
  <c r="K23" s="1"/>
  <c r="M23" s="1"/>
  <c r="P23"/>
  <c r="J58"/>
  <c r="K58" s="1"/>
  <c r="M58" s="1"/>
  <c r="I56"/>
  <c r="I54"/>
  <c r="Q54" s="1"/>
  <c r="R54" s="1"/>
  <c r="S54" s="1"/>
  <c r="I49"/>
  <c r="W49"/>
  <c r="P13"/>
  <c r="Q13" s="1"/>
  <c r="R13" s="1"/>
  <c r="S13" s="1"/>
  <c r="P16"/>
  <c r="Q16" s="1"/>
  <c r="R16" s="1"/>
  <c r="S16" s="1"/>
  <c r="J20"/>
  <c r="K20" s="1"/>
  <c r="M20" s="1"/>
  <c r="P22"/>
  <c r="Q22" s="1"/>
  <c r="R22" s="1"/>
  <c r="S22" s="1"/>
  <c r="J17"/>
  <c r="K17" s="1"/>
  <c r="M17" s="1"/>
  <c r="P19"/>
  <c r="Q19" s="1"/>
  <c r="R19" s="1"/>
  <c r="S19" s="1"/>
  <c r="J29"/>
  <c r="K29" s="1"/>
  <c r="M29" s="1"/>
  <c r="P29"/>
  <c r="D10" i="8"/>
  <c r="F10" s="1"/>
  <c r="G10"/>
  <c r="I10" s="1"/>
  <c r="G9"/>
  <c r="I9" s="1"/>
  <c r="D9"/>
  <c r="F9" s="1"/>
  <c r="D11"/>
  <c r="F11" s="1"/>
  <c r="J9"/>
  <c r="J11"/>
  <c r="P17" i="4"/>
  <c r="P20"/>
  <c r="J14"/>
  <c r="K14" s="1"/>
  <c r="M14" s="1"/>
  <c r="P14"/>
  <c r="J11"/>
  <c r="K11" s="1"/>
  <c r="M11" s="1"/>
  <c r="P8"/>
  <c r="P11"/>
  <c r="P7"/>
  <c r="Q7" s="1"/>
  <c r="R7" s="1"/>
  <c r="S7" s="1"/>
  <c r="Q4"/>
  <c r="R4" s="1"/>
  <c r="S4" s="1"/>
  <c r="O4"/>
  <c r="O5" s="1"/>
  <c r="O7" s="1"/>
  <c r="J4"/>
  <c r="K4" s="1"/>
  <c r="M4" s="1"/>
  <c r="T61"/>
  <c r="U61" s="1"/>
  <c r="W61"/>
  <c r="X62"/>
  <c r="I63"/>
  <c r="P63" s="1"/>
  <c r="Q63" s="1"/>
  <c r="R63" s="1"/>
  <c r="S63" s="1"/>
  <c r="W63"/>
  <c r="I61"/>
  <c r="J61" s="1"/>
  <c r="K61" s="1"/>
  <c r="M61" s="1"/>
  <c r="P49"/>
  <c r="Q49" s="1"/>
  <c r="R49" s="1"/>
  <c r="S49" s="1"/>
  <c r="D240" i="3"/>
  <c r="X48" i="4"/>
  <c r="I48"/>
  <c r="P48" s="1"/>
  <c r="Q48" s="1"/>
  <c r="R48" s="1"/>
  <c r="S48" s="1"/>
  <c r="T44"/>
  <c r="U44" s="1"/>
  <c r="W44"/>
  <c r="X45"/>
  <c r="I46"/>
  <c r="P46" s="1"/>
  <c r="X46"/>
  <c r="I47"/>
  <c r="P47" s="1"/>
  <c r="Q47" s="1"/>
  <c r="R47" s="1"/>
  <c r="S47" s="1"/>
  <c r="W47"/>
  <c r="I44"/>
  <c r="I45"/>
  <c r="I53"/>
  <c r="P56"/>
  <c r="Q56" s="1"/>
  <c r="R56" s="1"/>
  <c r="S56" s="1"/>
  <c r="P55"/>
  <c r="Q57"/>
  <c r="R57" s="1"/>
  <c r="S57" s="1"/>
  <c r="P60"/>
  <c r="Q60" s="1"/>
  <c r="R60" s="1"/>
  <c r="S60" s="1"/>
  <c r="P58"/>
  <c r="P52"/>
  <c r="Q52" s="1"/>
  <c r="R52" s="1"/>
  <c r="S52" s="1"/>
  <c r="Q50"/>
  <c r="R50" s="1"/>
  <c r="S50" s="1"/>
  <c r="O50"/>
  <c r="O51" s="1"/>
  <c r="O52" s="1"/>
  <c r="J50"/>
  <c r="K50" s="1"/>
  <c r="M50" s="1"/>
  <c r="Z621" i="1"/>
  <c r="O624"/>
  <c r="Z619"/>
  <c r="O622"/>
  <c r="Z620"/>
  <c r="Z618"/>
  <c r="Z617"/>
  <c r="Z616"/>
  <c r="Z615"/>
  <c r="Z614"/>
  <c r="Z612"/>
  <c r="O615"/>
  <c r="Z611"/>
  <c r="O614"/>
  <c r="Z610"/>
  <c r="O613"/>
  <c r="Z613"/>
  <c r="O616"/>
  <c r="Z601"/>
  <c r="O604"/>
  <c r="Z600"/>
  <c r="O603"/>
  <c r="Z602"/>
  <c r="O605"/>
  <c r="Z603"/>
  <c r="O606"/>
  <c r="Z562"/>
  <c r="O565"/>
  <c r="Z561"/>
  <c r="O564"/>
  <c r="O640"/>
  <c r="O641"/>
  <c r="O642"/>
  <c r="O633"/>
  <c r="O634"/>
  <c r="O635"/>
  <c r="O636"/>
  <c r="O637"/>
  <c r="O638"/>
  <c r="O639"/>
  <c r="O656"/>
  <c r="O643"/>
  <c r="O644"/>
  <c r="Q23" i="4" l="1"/>
  <c r="R23" s="1"/>
  <c r="S23" s="1"/>
  <c r="O23"/>
  <c r="O24" s="1"/>
  <c r="O25" s="1"/>
  <c r="O55"/>
  <c r="O56" s="1"/>
  <c r="O57" s="1"/>
  <c r="J53"/>
  <c r="K53" s="1"/>
  <c r="M53" s="1"/>
  <c r="Q29"/>
  <c r="R29" s="1"/>
  <c r="S29" s="1"/>
  <c r="O29"/>
  <c r="O30" s="1"/>
  <c r="O31" s="1"/>
  <c r="J10" i="8"/>
  <c r="J12"/>
  <c r="Q17" i="4"/>
  <c r="R17" s="1"/>
  <c r="S17" s="1"/>
  <c r="O17"/>
  <c r="O18" s="1"/>
  <c r="O19" s="1"/>
  <c r="Q20"/>
  <c r="R20" s="1"/>
  <c r="S20" s="1"/>
  <c r="O20"/>
  <c r="O21" s="1"/>
  <c r="O22" s="1"/>
  <c r="Q14"/>
  <c r="R14" s="1"/>
  <c r="S14" s="1"/>
  <c r="O14"/>
  <c r="O15" s="1"/>
  <c r="O16" s="1"/>
  <c r="Q8"/>
  <c r="R8" s="1"/>
  <c r="S8" s="1"/>
  <c r="O8"/>
  <c r="O9" s="1"/>
  <c r="O10" s="1"/>
  <c r="Q11"/>
  <c r="R11" s="1"/>
  <c r="S11" s="1"/>
  <c r="O11"/>
  <c r="O12" s="1"/>
  <c r="O13" s="1"/>
  <c r="J44"/>
  <c r="K44" s="1"/>
  <c r="M44" s="1"/>
  <c r="Q46"/>
  <c r="R46" s="1"/>
  <c r="S46" s="1"/>
  <c r="O46"/>
  <c r="O47" s="1"/>
  <c r="Q55"/>
  <c r="R55" s="1"/>
  <c r="S55" s="1"/>
  <c r="Q53"/>
  <c r="R53" s="1"/>
  <c r="S53" s="1"/>
  <c r="Q58"/>
  <c r="R58" s="1"/>
  <c r="S58" s="1"/>
  <c r="O58"/>
  <c r="O59" s="1"/>
  <c r="O60" s="1"/>
  <c r="Z642" i="1"/>
  <c r="O645"/>
  <c r="Z638"/>
  <c r="Z637"/>
  <c r="Z641"/>
  <c r="Z636"/>
  <c r="Z640"/>
  <c r="Z635"/>
  <c r="Z634"/>
  <c r="Z633"/>
  <c r="Z632"/>
  <c r="Z631"/>
  <c r="Z630"/>
  <c r="Z629"/>
  <c r="O632"/>
  <c r="Z628"/>
  <c r="O631"/>
  <c r="Z627"/>
  <c r="O630"/>
  <c r="Z626"/>
  <c r="O629"/>
  <c r="Z625"/>
  <c r="Z624"/>
  <c r="O627"/>
  <c r="Z656"/>
  <c r="O659"/>
  <c r="T71" i="6"/>
  <c r="Z646" i="1"/>
  <c r="O649"/>
  <c r="Z647"/>
  <c r="O650"/>
  <c r="Z645"/>
  <c r="Z648"/>
  <c r="Z644"/>
  <c r="Z639"/>
  <c r="Z643"/>
  <c r="Z623"/>
  <c r="O626"/>
  <c r="Z661"/>
  <c r="Z660"/>
  <c r="O663"/>
  <c r="Z659"/>
  <c r="Z658"/>
  <c r="Z657"/>
  <c r="O660"/>
  <c r="Z655"/>
  <c r="O658"/>
  <c r="Z654"/>
  <c r="O657"/>
  <c r="Z653"/>
  <c r="Z652"/>
  <c r="O655"/>
  <c r="Z651"/>
  <c r="Z650"/>
  <c r="Z649"/>
  <c r="Z737"/>
  <c r="O740"/>
  <c r="T70" i="6"/>
  <c r="T69"/>
  <c r="T67"/>
  <c r="T68"/>
  <c r="O720" i="1"/>
  <c r="O719"/>
  <c r="Z679"/>
  <c r="Z678"/>
  <c r="O681"/>
  <c r="Z677"/>
  <c r="O680"/>
  <c r="Z676"/>
  <c r="O679"/>
  <c r="Z675"/>
  <c r="O678"/>
  <c r="Z674"/>
  <c r="O677"/>
  <c r="Z673"/>
  <c r="O676"/>
  <c r="Z672"/>
  <c r="Z671"/>
  <c r="Z670"/>
  <c r="Z668"/>
  <c r="Z667"/>
  <c r="Z666"/>
  <c r="O669"/>
  <c r="Z699"/>
  <c r="O702"/>
  <c r="Z698"/>
  <c r="O701"/>
  <c r="Z697"/>
  <c r="Z696"/>
  <c r="O699"/>
  <c r="Z695"/>
  <c r="O698"/>
  <c r="Z694"/>
  <c r="O697"/>
  <c r="Z693"/>
  <c r="O696"/>
  <c r="Z692"/>
  <c r="Z691"/>
  <c r="Z690"/>
  <c r="Z689"/>
  <c r="Z688"/>
  <c r="Z687"/>
  <c r="Z686"/>
  <c r="O689"/>
  <c r="O707"/>
  <c r="O708"/>
  <c r="O706"/>
  <c r="O718"/>
  <c r="O717"/>
  <c r="O715"/>
  <c r="O716"/>
  <c r="Q739"/>
  <c r="V739" s="1"/>
  <c r="Z705"/>
  <c r="Z703"/>
  <c r="Z702"/>
  <c r="O705"/>
  <c r="Z701"/>
  <c r="O704"/>
  <c r="Z700"/>
  <c r="O703"/>
  <c r="Z685"/>
  <c r="O688"/>
  <c r="Z684"/>
  <c r="O687"/>
  <c r="Z683"/>
  <c r="O686"/>
  <c r="Z682"/>
  <c r="Z681"/>
  <c r="Z680"/>
  <c r="Z710"/>
  <c r="Z709"/>
  <c r="Z708"/>
  <c r="Z707"/>
  <c r="Z706"/>
  <c r="O709"/>
  <c r="Z704"/>
  <c r="Z665"/>
  <c r="Z664"/>
  <c r="Z663"/>
  <c r="Z662"/>
  <c r="Z622"/>
  <c r="O625"/>
  <c r="T66" i="6"/>
  <c r="O727" i="1"/>
  <c r="O726"/>
  <c r="O725"/>
  <c r="O724"/>
  <c r="O723"/>
  <c r="O722"/>
  <c r="O735"/>
  <c r="O734"/>
  <c r="O733"/>
  <c r="O732"/>
  <c r="O738"/>
  <c r="O737"/>
  <c r="Z730"/>
  <c r="Z729"/>
  <c r="Z728"/>
  <c r="O731"/>
  <c r="Z727"/>
  <c r="O730"/>
  <c r="Z725"/>
  <c r="O728"/>
  <c r="Z726"/>
  <c r="O729"/>
  <c r="Z724"/>
  <c r="Z723"/>
  <c r="Z722"/>
  <c r="Z721"/>
  <c r="Z720"/>
  <c r="Z719"/>
  <c r="Z718"/>
  <c r="O721"/>
  <c r="Z717"/>
  <c r="Z716"/>
  <c r="Z715"/>
  <c r="Z713"/>
  <c r="Z712"/>
  <c r="Z711"/>
  <c r="O49" i="4" l="1"/>
  <c r="O48"/>
  <c r="O753" i="1"/>
  <c r="O751"/>
  <c r="O750"/>
  <c r="O749"/>
  <c r="O748"/>
  <c r="O747"/>
  <c r="O746"/>
  <c r="O745"/>
  <c r="O754"/>
  <c r="O758"/>
  <c r="O757"/>
  <c r="O756"/>
  <c r="Z752"/>
  <c r="O755"/>
  <c r="Z751"/>
  <c r="Z750"/>
  <c r="Z749"/>
  <c r="O752"/>
  <c r="Z748"/>
  <c r="Z747"/>
  <c r="Z746"/>
  <c r="Z745"/>
  <c r="Z744"/>
  <c r="Z743"/>
  <c r="Z742"/>
  <c r="Z741"/>
  <c r="O744"/>
  <c r="Z740"/>
  <c r="O743"/>
  <c r="Z739"/>
  <c r="O742"/>
  <c r="Z738"/>
  <c r="O741"/>
  <c r="Z736"/>
  <c r="O739"/>
  <c r="Z735"/>
  <c r="D168" i="3"/>
  <c r="D169" s="1"/>
  <c r="D170" s="1"/>
  <c r="D171" s="1"/>
  <c r="D172" s="1"/>
  <c r="D173" s="1"/>
  <c r="D174" s="1"/>
  <c r="D175" s="1"/>
  <c r="D176" s="1"/>
  <c r="D177" s="1"/>
  <c r="D178" s="1"/>
  <c r="O5"/>
  <c r="D130" i="4"/>
  <c r="E130"/>
  <c r="T65" i="6"/>
  <c r="T64"/>
  <c r="T63"/>
  <c r="T62"/>
  <c r="T61"/>
  <c r="Z772" i="1"/>
  <c r="O775"/>
  <c r="Z771"/>
  <c r="O774"/>
  <c r="Z770"/>
  <c r="O773"/>
  <c r="Z769"/>
  <c r="O772"/>
  <c r="T60" i="6"/>
  <c r="Z761" i="1"/>
  <c r="O764"/>
  <c r="Z760"/>
  <c r="O763"/>
  <c r="Z759"/>
  <c r="O762"/>
  <c r="Z758"/>
  <c r="O761"/>
  <c r="Z767"/>
  <c r="O770"/>
  <c r="Z766"/>
  <c r="O769"/>
  <c r="Z765"/>
  <c r="O768"/>
  <c r="Z764"/>
  <c r="O767"/>
  <c r="Z757"/>
  <c r="O760"/>
  <c r="Z756"/>
  <c r="O759"/>
  <c r="Z755"/>
  <c r="Z754"/>
  <c r="Z753"/>
  <c r="Z734"/>
  <c r="Z733"/>
  <c r="O736"/>
  <c r="Z732"/>
  <c r="Z731"/>
  <c r="Z714"/>
  <c r="Z302"/>
  <c r="O305"/>
  <c r="Z784"/>
  <c r="O787"/>
  <c r="Z783"/>
  <c r="O786"/>
  <c r="Z782"/>
  <c r="O785"/>
  <c r="Z781"/>
  <c r="O784"/>
  <c r="T59" i="6"/>
  <c r="T58"/>
  <c r="T57"/>
  <c r="T56"/>
  <c r="T55" l="1"/>
  <c r="T50"/>
  <c r="T49"/>
  <c r="T48"/>
  <c r="T47"/>
  <c r="T46"/>
  <c r="T45"/>
  <c r="T44"/>
  <c r="T54"/>
  <c r="T53"/>
  <c r="T52"/>
  <c r="T51"/>
  <c r="Z809" i="1"/>
  <c r="O812"/>
  <c r="Z808"/>
  <c r="O811"/>
  <c r="Z807"/>
  <c r="O810"/>
  <c r="Z806"/>
  <c r="O809"/>
  <c r="Z780"/>
  <c r="O783"/>
  <c r="Z786"/>
  <c r="O789"/>
  <c r="Z779"/>
  <c r="O782"/>
  <c r="Z785"/>
  <c r="O788"/>
  <c r="Z778"/>
  <c r="O781"/>
  <c r="Z777"/>
  <c r="O780"/>
  <c r="Z776"/>
  <c r="O779"/>
  <c r="Z775"/>
  <c r="O778"/>
  <c r="Z774"/>
  <c r="O777"/>
  <c r="Z773"/>
  <c r="O776"/>
  <c r="Z768"/>
  <c r="O771"/>
  <c r="Z763"/>
  <c r="O766"/>
  <c r="E3" i="6"/>
  <c r="AB28" i="7"/>
  <c r="O28"/>
  <c r="N28" s="1"/>
  <c r="AB26"/>
  <c r="X26"/>
  <c r="W26"/>
  <c r="O26"/>
  <c r="N26" s="1"/>
  <c r="K26"/>
  <c r="J26"/>
  <c r="AB21"/>
  <c r="X21"/>
  <c r="O21"/>
  <c r="N21" s="1"/>
  <c r="K21"/>
  <c r="J21" s="1"/>
  <c r="AB19"/>
  <c r="X19"/>
  <c r="O19"/>
  <c r="N19" s="1"/>
  <c r="K19"/>
  <c r="J19" s="1"/>
  <c r="AF14"/>
  <c r="AB14"/>
  <c r="P14"/>
  <c r="L14"/>
  <c r="AF12"/>
  <c r="AB12"/>
  <c r="X12"/>
  <c r="W12"/>
  <c r="P12"/>
  <c r="L12"/>
  <c r="AF7"/>
  <c r="AB7"/>
  <c r="X7"/>
  <c r="P7"/>
  <c r="L7"/>
  <c r="G7"/>
  <c r="F7"/>
  <c r="AF5"/>
  <c r="AB5"/>
  <c r="X5"/>
  <c r="P5"/>
  <c r="L5"/>
  <c r="B769" i="3"/>
  <c r="B385"/>
  <c r="B367"/>
  <c r="B158"/>
  <c r="B147"/>
  <c r="I411" i="4"/>
  <c r="I410"/>
  <c r="I409"/>
  <c r="I408"/>
  <c r="I407"/>
  <c r="J407" s="1"/>
  <c r="I400"/>
  <c r="I399"/>
  <c r="I398"/>
  <c r="I397"/>
  <c r="I396"/>
  <c r="I387"/>
  <c r="I386"/>
  <c r="H384"/>
  <c r="H385" s="1"/>
  <c r="I379"/>
  <c r="I378"/>
  <c r="H376"/>
  <c r="H359"/>
  <c r="H358"/>
  <c r="H357"/>
  <c r="M357" s="1"/>
  <c r="I357" s="1"/>
  <c r="D355"/>
  <c r="E354"/>
  <c r="I354" s="1"/>
  <c r="E353"/>
  <c r="I349"/>
  <c r="I347"/>
  <c r="W346"/>
  <c r="I346"/>
  <c r="J346" s="1"/>
  <c r="X345"/>
  <c r="U345"/>
  <c r="S345"/>
  <c r="H345"/>
  <c r="X344"/>
  <c r="S344"/>
  <c r="H344"/>
  <c r="X343"/>
  <c r="S343"/>
  <c r="H343"/>
  <c r="G338"/>
  <c r="G337"/>
  <c r="P334"/>
  <c r="N334"/>
  <c r="I334"/>
  <c r="P333"/>
  <c r="I333"/>
  <c r="P332"/>
  <c r="I332"/>
  <c r="P331" s="1"/>
  <c r="N331"/>
  <c r="Q330"/>
  <c r="P330" s="1"/>
  <c r="Q329"/>
  <c r="P329" s="1"/>
  <c r="Q328"/>
  <c r="P328" s="1"/>
  <c r="O328" s="1"/>
  <c r="Q327"/>
  <c r="P327" s="1"/>
  <c r="N327"/>
  <c r="P326"/>
  <c r="P325"/>
  <c r="O325" s="1"/>
  <c r="N324"/>
  <c r="H324"/>
  <c r="H323"/>
  <c r="H321"/>
  <c r="Q320"/>
  <c r="N320"/>
  <c r="G320"/>
  <c r="P320" s="1"/>
  <c r="Q319"/>
  <c r="G319"/>
  <c r="Q318"/>
  <c r="P318" s="1"/>
  <c r="N317"/>
  <c r="H317"/>
  <c r="H316"/>
  <c r="H315"/>
  <c r="H314"/>
  <c r="Q313"/>
  <c r="P313" s="1"/>
  <c r="N313"/>
  <c r="Q312"/>
  <c r="P312" s="1"/>
  <c r="Q311"/>
  <c r="P311" s="1"/>
  <c r="P310"/>
  <c r="Q309"/>
  <c r="P309" s="1"/>
  <c r="I309"/>
  <c r="I308"/>
  <c r="J307"/>
  <c r="I307"/>
  <c r="I306"/>
  <c r="I305"/>
  <c r="S294"/>
  <c r="N294"/>
  <c r="R293"/>
  <c r="H293"/>
  <c r="R292"/>
  <c r="E355" l="1"/>
  <c r="S292"/>
  <c r="S293"/>
  <c r="O311"/>
  <c r="I324"/>
  <c r="I344"/>
  <c r="S319"/>
  <c r="V345"/>
  <c r="I353"/>
  <c r="K14" i="7"/>
  <c r="K12" s="1"/>
  <c r="K7" s="1"/>
  <c r="K5" s="1"/>
  <c r="O14" s="1"/>
  <c r="O12" s="1"/>
  <c r="O7" s="1"/>
  <c r="O5" s="1"/>
  <c r="W7"/>
  <c r="W5" s="1"/>
  <c r="AA14" s="1"/>
  <c r="AA12" s="1"/>
  <c r="AA7" s="1"/>
  <c r="AA5" s="1"/>
  <c r="AE14" s="1"/>
  <c r="AE12" s="1"/>
  <c r="AE7" s="1"/>
  <c r="AE5" s="1"/>
  <c r="W21"/>
  <c r="W19" s="1"/>
  <c r="AA28" s="1"/>
  <c r="AA26" s="1"/>
  <c r="AA21" s="1"/>
  <c r="AA19" s="1"/>
  <c r="O312" i="4"/>
  <c r="S313"/>
  <c r="S318"/>
  <c r="S320"/>
  <c r="H322"/>
  <c r="O326"/>
  <c r="S327"/>
  <c r="S329"/>
  <c r="S330"/>
  <c r="X346"/>
  <c r="I350"/>
  <c r="O357"/>
  <c r="H377"/>
  <c r="P294"/>
  <c r="J305"/>
  <c r="S312"/>
  <c r="O313"/>
  <c r="I317"/>
  <c r="P317" s="1"/>
  <c r="P319"/>
  <c r="S326"/>
  <c r="O327"/>
  <c r="S328"/>
  <c r="T328" s="1"/>
  <c r="O329"/>
  <c r="J332"/>
  <c r="O332" s="1"/>
  <c r="U343"/>
  <c r="U344"/>
  <c r="T345"/>
  <c r="AA345"/>
  <c r="Y345" s="1"/>
  <c r="W347"/>
  <c r="H350"/>
  <c r="M358"/>
  <c r="I358" s="1"/>
  <c r="M359"/>
  <c r="I359" s="1"/>
  <c r="I377"/>
  <c r="J396"/>
  <c r="N291"/>
  <c r="I291"/>
  <c r="I290"/>
  <c r="I289"/>
  <c r="I288"/>
  <c r="P288" s="1"/>
  <c r="Q288" s="1"/>
  <c r="N287"/>
  <c r="I287"/>
  <c r="I286"/>
  <c r="I285"/>
  <c r="I284"/>
  <c r="J284" s="1"/>
  <c r="N283"/>
  <c r="I283"/>
  <c r="I282"/>
  <c r="I281"/>
  <c r="N280"/>
  <c r="I280"/>
  <c r="I279"/>
  <c r="P279" s="1"/>
  <c r="I278"/>
  <c r="P278" s="1"/>
  <c r="I277"/>
  <c r="N276"/>
  <c r="I276"/>
  <c r="I275"/>
  <c r="P275" s="1"/>
  <c r="I274"/>
  <c r="I273"/>
  <c r="N272"/>
  <c r="I272"/>
  <c r="I271"/>
  <c r="I270"/>
  <c r="P270" s="1"/>
  <c r="I269"/>
  <c r="N265"/>
  <c r="I265"/>
  <c r="I264"/>
  <c r="I263"/>
  <c r="I262"/>
  <c r="I261"/>
  <c r="N260"/>
  <c r="I260"/>
  <c r="I259"/>
  <c r="I258"/>
  <c r="I257"/>
  <c r="I256"/>
  <c r="S255"/>
  <c r="N255"/>
  <c r="S254"/>
  <c r="X253"/>
  <c r="Q253"/>
  <c r="R253" s="1"/>
  <c r="U252"/>
  <c r="N252"/>
  <c r="I252"/>
  <c r="I251"/>
  <c r="V250"/>
  <c r="I250"/>
  <c r="N245"/>
  <c r="H245"/>
  <c r="H244"/>
  <c r="V243"/>
  <c r="U243"/>
  <c r="H243"/>
  <c r="N242"/>
  <c r="H242"/>
  <c r="N241"/>
  <c r="H241"/>
  <c r="H240"/>
  <c r="H239"/>
  <c r="V238"/>
  <c r="U238"/>
  <c r="I238"/>
  <c r="P238" s="1"/>
  <c r="T237"/>
  <c r="N237"/>
  <c r="I237"/>
  <c r="Q236"/>
  <c r="N236"/>
  <c r="Q235"/>
  <c r="H235"/>
  <c r="Q234"/>
  <c r="I234"/>
  <c r="N233"/>
  <c r="I233"/>
  <c r="P233" s="1"/>
  <c r="V232"/>
  <c r="U232"/>
  <c r="I232"/>
  <c r="N231"/>
  <c r="I231"/>
  <c r="Q230"/>
  <c r="H230" s="1"/>
  <c r="N230"/>
  <c r="Q229"/>
  <c r="Q228"/>
  <c r="R236" l="1"/>
  <c r="I241"/>
  <c r="P241" s="1"/>
  <c r="J256"/>
  <c r="I245"/>
  <c r="P245" s="1"/>
  <c r="J261"/>
  <c r="P274"/>
  <c r="J277"/>
  <c r="P285"/>
  <c r="J231"/>
  <c r="P256"/>
  <c r="Q256" s="1"/>
  <c r="P261"/>
  <c r="Q261" s="1"/>
  <c r="P277"/>
  <c r="J288"/>
  <c r="I360"/>
  <c r="O359" s="1"/>
  <c r="T343"/>
  <c r="U352"/>
  <c r="AA343"/>
  <c r="Y343" s="1"/>
  <c r="V343"/>
  <c r="T318"/>
  <c r="H318"/>
  <c r="P231"/>
  <c r="P237"/>
  <c r="T242"/>
  <c r="P260"/>
  <c r="P273"/>
  <c r="P283"/>
  <c r="P287"/>
  <c r="P291"/>
  <c r="T344"/>
  <c r="U353"/>
  <c r="AA344"/>
  <c r="Y344" s="1"/>
  <c r="V344"/>
  <c r="H229"/>
  <c r="R229"/>
  <c r="I230"/>
  <c r="P230" s="1"/>
  <c r="R230"/>
  <c r="P232"/>
  <c r="P234"/>
  <c r="H236"/>
  <c r="R235" s="1"/>
  <c r="U237"/>
  <c r="U242"/>
  <c r="J250"/>
  <c r="P250"/>
  <c r="P251"/>
  <c r="H253"/>
  <c r="V252" s="1"/>
  <c r="P257"/>
  <c r="P258"/>
  <c r="P259"/>
  <c r="P262"/>
  <c r="P263"/>
  <c r="P264"/>
  <c r="J269"/>
  <c r="P269"/>
  <c r="P272"/>
  <c r="J273"/>
  <c r="P276"/>
  <c r="P280"/>
  <c r="O277" s="1"/>
  <c r="J281"/>
  <c r="P281"/>
  <c r="P284"/>
  <c r="P286"/>
  <c r="P289"/>
  <c r="P290"/>
  <c r="O333"/>
  <c r="O334" s="1"/>
  <c r="O330"/>
  <c r="O318"/>
  <c r="O358"/>
  <c r="O360" s="1"/>
  <c r="N227"/>
  <c r="P227" s="1"/>
  <c r="V226"/>
  <c r="U226"/>
  <c r="I226"/>
  <c r="P226" s="1"/>
  <c r="T225"/>
  <c r="N225"/>
  <c r="I225"/>
  <c r="P225" s="1"/>
  <c r="Q224"/>
  <c r="R224" s="1"/>
  <c r="N224"/>
  <c r="H224"/>
  <c r="Q223"/>
  <c r="R223" s="1"/>
  <c r="Q222"/>
  <c r="N221"/>
  <c r="I221"/>
  <c r="P221" s="1"/>
  <c r="V220"/>
  <c r="U220"/>
  <c r="I220"/>
  <c r="P220" s="1"/>
  <c r="I219"/>
  <c r="J219" s="1"/>
  <c r="K219" s="1"/>
  <c r="M216"/>
  <c r="W212"/>
  <c r="N212"/>
  <c r="I212"/>
  <c r="P212" s="1"/>
  <c r="W211"/>
  <c r="I211"/>
  <c r="P211" s="1"/>
  <c r="W210"/>
  <c r="I210"/>
  <c r="P210" s="1"/>
  <c r="W209"/>
  <c r="V209"/>
  <c r="U209"/>
  <c r="I209"/>
  <c r="P209" s="1"/>
  <c r="W208"/>
  <c r="T208"/>
  <c r="N208"/>
  <c r="I208"/>
  <c r="J208" s="1"/>
  <c r="W207"/>
  <c r="I207"/>
  <c r="W206"/>
  <c r="V206"/>
  <c r="U206"/>
  <c r="I206"/>
  <c r="W205"/>
  <c r="T205"/>
  <c r="N205"/>
  <c r="I205"/>
  <c r="P205" s="1"/>
  <c r="W204"/>
  <c r="N204"/>
  <c r="T201" s="1"/>
  <c r="I204"/>
  <c r="W203"/>
  <c r="I203"/>
  <c r="W202"/>
  <c r="V202"/>
  <c r="U202"/>
  <c r="I202"/>
  <c r="W201"/>
  <c r="N201"/>
  <c r="I201"/>
  <c r="P201" s="1"/>
  <c r="W200"/>
  <c r="I200"/>
  <c r="V199"/>
  <c r="U199"/>
  <c r="H199"/>
  <c r="W199" s="1"/>
  <c r="N198"/>
  <c r="H198"/>
  <c r="T198" s="1"/>
  <c r="W197"/>
  <c r="N197"/>
  <c r="I197"/>
  <c r="W196"/>
  <c r="I196"/>
  <c r="W195"/>
  <c r="V195"/>
  <c r="U195"/>
  <c r="I195"/>
  <c r="P195" s="1"/>
  <c r="W194"/>
  <c r="T194"/>
  <c r="N194"/>
  <c r="I194"/>
  <c r="J194" s="1"/>
  <c r="W193"/>
  <c r="I193"/>
  <c r="W192"/>
  <c r="V192"/>
  <c r="U192"/>
  <c r="I192"/>
  <c r="W191"/>
  <c r="T191"/>
  <c r="N191"/>
  <c r="I191"/>
  <c r="P191" s="1"/>
  <c r="W190"/>
  <c r="N190"/>
  <c r="I190"/>
  <c r="W189"/>
  <c r="I189"/>
  <c r="W188"/>
  <c r="V188"/>
  <c r="U188"/>
  <c r="I188"/>
  <c r="W187"/>
  <c r="N187"/>
  <c r="I187"/>
  <c r="N186"/>
  <c r="I186"/>
  <c r="V185"/>
  <c r="U185"/>
  <c r="I185"/>
  <c r="T184"/>
  <c r="N184"/>
  <c r="I184"/>
  <c r="J184" s="1"/>
  <c r="N183"/>
  <c r="I183"/>
  <c r="X182"/>
  <c r="V182"/>
  <c r="U182"/>
  <c r="I182"/>
  <c r="P182" s="1"/>
  <c r="X181"/>
  <c r="N181"/>
  <c r="I181"/>
  <c r="P178"/>
  <c r="O178"/>
  <c r="L178"/>
  <c r="J178"/>
  <c r="L177"/>
  <c r="J177"/>
  <c r="J176"/>
  <c r="H173"/>
  <c r="I173" s="1"/>
  <c r="H172"/>
  <c r="W172" s="1"/>
  <c r="V171"/>
  <c r="U171"/>
  <c r="H171"/>
  <c r="W171" s="1"/>
  <c r="N170"/>
  <c r="H170"/>
  <c r="T170" s="1"/>
  <c r="X169"/>
  <c r="W169"/>
  <c r="I169"/>
  <c r="P169" s="1"/>
  <c r="X168"/>
  <c r="W168"/>
  <c r="I168"/>
  <c r="V167"/>
  <c r="U167"/>
  <c r="H167"/>
  <c r="W167" s="1"/>
  <c r="N166"/>
  <c r="H166"/>
  <c r="X166" s="1"/>
  <c r="X165"/>
  <c r="W165"/>
  <c r="I165"/>
  <c r="I164"/>
  <c r="I163"/>
  <c r="X162"/>
  <c r="W162"/>
  <c r="I162"/>
  <c r="X161"/>
  <c r="W161"/>
  <c r="V161"/>
  <c r="U161"/>
  <c r="I161"/>
  <c r="X160"/>
  <c r="W160"/>
  <c r="T160"/>
  <c r="N160"/>
  <c r="I160"/>
  <c r="J160" s="1"/>
  <c r="X159"/>
  <c r="W159"/>
  <c r="I159"/>
  <c r="H158"/>
  <c r="W158" s="1"/>
  <c r="V157"/>
  <c r="U157"/>
  <c r="H157"/>
  <c r="X157" s="1"/>
  <c r="X156"/>
  <c r="W156"/>
  <c r="T156"/>
  <c r="N156"/>
  <c r="I156"/>
  <c r="X155"/>
  <c r="W155"/>
  <c r="I155"/>
  <c r="X154"/>
  <c r="W154"/>
  <c r="I154"/>
  <c r="P154" s="1"/>
  <c r="X153"/>
  <c r="W153"/>
  <c r="V153"/>
  <c r="U153"/>
  <c r="I153"/>
  <c r="X152"/>
  <c r="W152"/>
  <c r="T152"/>
  <c r="N152"/>
  <c r="I152"/>
  <c r="J152" s="1"/>
  <c r="X151"/>
  <c r="W151"/>
  <c r="I151"/>
  <c r="X150"/>
  <c r="W150"/>
  <c r="I150"/>
  <c r="X149"/>
  <c r="W149"/>
  <c r="V149"/>
  <c r="U149"/>
  <c r="I149"/>
  <c r="X148"/>
  <c r="W148"/>
  <c r="T148"/>
  <c r="N148"/>
  <c r="I148"/>
  <c r="J148" s="1"/>
  <c r="X147"/>
  <c r="W147"/>
  <c r="I147"/>
  <c r="X146"/>
  <c r="W146"/>
  <c r="I146"/>
  <c r="X145"/>
  <c r="W145"/>
  <c r="I145"/>
  <c r="X144"/>
  <c r="W144"/>
  <c r="V144"/>
  <c r="U144"/>
  <c r="I144"/>
  <c r="X143"/>
  <c r="W143"/>
  <c r="T143"/>
  <c r="N143"/>
  <c r="I143"/>
  <c r="P143" s="1"/>
  <c r="X142"/>
  <c r="W142"/>
  <c r="I142"/>
  <c r="H141"/>
  <c r="X141" s="1"/>
  <c r="X140"/>
  <c r="W140"/>
  <c r="V140"/>
  <c r="U140"/>
  <c r="I140"/>
  <c r="X139"/>
  <c r="W139"/>
  <c r="V139"/>
  <c r="U139"/>
  <c r="I139"/>
  <c r="N138"/>
  <c r="H138"/>
  <c r="W138" s="1"/>
  <c r="X137"/>
  <c r="W137"/>
  <c r="I137"/>
  <c r="X136"/>
  <c r="W136"/>
  <c r="I136"/>
  <c r="X135"/>
  <c r="W135"/>
  <c r="V135"/>
  <c r="U135"/>
  <c r="I135"/>
  <c r="P135" s="1"/>
  <c r="X134"/>
  <c r="W134"/>
  <c r="T134"/>
  <c r="N134"/>
  <c r="I134"/>
  <c r="P134" s="1"/>
  <c r="P130"/>
  <c r="O130"/>
  <c r="J130"/>
  <c r="J129"/>
  <c r="P188" l="1"/>
  <c r="P196"/>
  <c r="P197"/>
  <c r="P202"/>
  <c r="P203"/>
  <c r="U208"/>
  <c r="J134"/>
  <c r="J181"/>
  <c r="P219"/>
  <c r="Q219" s="1"/>
  <c r="P189"/>
  <c r="P190"/>
  <c r="U194"/>
  <c r="P204"/>
  <c r="O256"/>
  <c r="Q143"/>
  <c r="Q191"/>
  <c r="Q201"/>
  <c r="O201"/>
  <c r="O202" s="1"/>
  <c r="O204" s="1"/>
  <c r="Q205"/>
  <c r="O278"/>
  <c r="O279" s="1"/>
  <c r="Q225"/>
  <c r="O225"/>
  <c r="U228"/>
  <c r="Q250"/>
  <c r="Q237"/>
  <c r="I318"/>
  <c r="T138"/>
  <c r="X138"/>
  <c r="W141"/>
  <c r="J143"/>
  <c r="U143"/>
  <c r="P148"/>
  <c r="P152"/>
  <c r="U152"/>
  <c r="P156"/>
  <c r="W157"/>
  <c r="X158"/>
  <c r="P160"/>
  <c r="U160"/>
  <c r="P164"/>
  <c r="W166"/>
  <c r="X167"/>
  <c r="X170"/>
  <c r="W170" s="1"/>
  <c r="U170" s="1"/>
  <c r="I171"/>
  <c r="X171"/>
  <c r="I172"/>
  <c r="X172"/>
  <c r="X173"/>
  <c r="W173" s="1"/>
  <c r="U184"/>
  <c r="P187"/>
  <c r="J191"/>
  <c r="U191"/>
  <c r="W198"/>
  <c r="U198" s="1"/>
  <c r="J201"/>
  <c r="U201"/>
  <c r="J205"/>
  <c r="U205"/>
  <c r="O219"/>
  <c r="H223"/>
  <c r="I224"/>
  <c r="J225"/>
  <c r="U225"/>
  <c r="O284"/>
  <c r="O273"/>
  <c r="I236"/>
  <c r="P236" s="1"/>
  <c r="V346"/>
  <c r="V347" s="1"/>
  <c r="Q281"/>
  <c r="K269"/>
  <c r="Q231"/>
  <c r="O231"/>
  <c r="O232" s="1"/>
  <c r="O233" s="1"/>
  <c r="U134"/>
  <c r="Q135"/>
  <c r="U148"/>
  <c r="U156"/>
  <c r="P163"/>
  <c r="T166"/>
  <c r="I170"/>
  <c r="L179"/>
  <c r="M178" s="1"/>
  <c r="P181"/>
  <c r="P184"/>
  <c r="P185"/>
  <c r="J187"/>
  <c r="P224"/>
  <c r="O226"/>
  <c r="O227" s="1"/>
  <c r="O257"/>
  <c r="O258" s="1"/>
  <c r="O319"/>
  <c r="Y346"/>
  <c r="T346"/>
  <c r="J128"/>
  <c r="X126"/>
  <c r="W126"/>
  <c r="N126"/>
  <c r="I126"/>
  <c r="I125"/>
  <c r="H124"/>
  <c r="V123"/>
  <c r="U123"/>
  <c r="H123"/>
  <c r="I123" s="1"/>
  <c r="N122"/>
  <c r="H122"/>
  <c r="K128" s="1"/>
  <c r="X121"/>
  <c r="W121"/>
  <c r="N121"/>
  <c r="I121"/>
  <c r="X120"/>
  <c r="W120"/>
  <c r="V120"/>
  <c r="U120"/>
  <c r="I120"/>
  <c r="X119"/>
  <c r="W119"/>
  <c r="T119"/>
  <c r="N119"/>
  <c r="I119"/>
  <c r="P119" s="1"/>
  <c r="Q119" s="1"/>
  <c r="X118"/>
  <c r="W118"/>
  <c r="N118"/>
  <c r="I118"/>
  <c r="V117"/>
  <c r="U117"/>
  <c r="H117"/>
  <c r="I117" s="1"/>
  <c r="X116"/>
  <c r="W116"/>
  <c r="T116"/>
  <c r="N116"/>
  <c r="I116"/>
  <c r="P116" s="1"/>
  <c r="X115"/>
  <c r="W115"/>
  <c r="N115"/>
  <c r="I115"/>
  <c r="X114"/>
  <c r="W114"/>
  <c r="V114"/>
  <c r="U114"/>
  <c r="I114"/>
  <c r="X113"/>
  <c r="W113"/>
  <c r="T113"/>
  <c r="N113"/>
  <c r="I113"/>
  <c r="N112"/>
  <c r="H112"/>
  <c r="W112" s="1"/>
  <c r="V111"/>
  <c r="U111"/>
  <c r="H111"/>
  <c r="X111" s="1"/>
  <c r="W111" s="1"/>
  <c r="N110"/>
  <c r="H110"/>
  <c r="W110" s="1"/>
  <c r="X109"/>
  <c r="W109"/>
  <c r="N109"/>
  <c r="T107" s="1"/>
  <c r="I109"/>
  <c r="X108"/>
  <c r="W108"/>
  <c r="V108"/>
  <c r="U108"/>
  <c r="I108"/>
  <c r="P108" s="1"/>
  <c r="X107"/>
  <c r="W107"/>
  <c r="N107"/>
  <c r="I107"/>
  <c r="X106"/>
  <c r="W106"/>
  <c r="N106"/>
  <c r="I106"/>
  <c r="X105"/>
  <c r="W105"/>
  <c r="V105"/>
  <c r="U105"/>
  <c r="I105"/>
  <c r="X104"/>
  <c r="W104"/>
  <c r="N104"/>
  <c r="I104"/>
  <c r="P104" s="1"/>
  <c r="X103"/>
  <c r="W103"/>
  <c r="N103"/>
  <c r="T101" s="1"/>
  <c r="I103"/>
  <c r="X102"/>
  <c r="W102"/>
  <c r="V102"/>
  <c r="U102"/>
  <c r="I102"/>
  <c r="X101"/>
  <c r="W101"/>
  <c r="N101"/>
  <c r="I101"/>
  <c r="X100"/>
  <c r="W100"/>
  <c r="N100"/>
  <c r="T98" s="1"/>
  <c r="I100"/>
  <c r="X99"/>
  <c r="W99"/>
  <c r="V99"/>
  <c r="U99"/>
  <c r="I99"/>
  <c r="X98"/>
  <c r="W98"/>
  <c r="N98"/>
  <c r="I98"/>
  <c r="X97"/>
  <c r="W97"/>
  <c r="N97"/>
  <c r="T95" s="1"/>
  <c r="I97"/>
  <c r="X96"/>
  <c r="W96"/>
  <c r="V96"/>
  <c r="U96"/>
  <c r="I96"/>
  <c r="X95"/>
  <c r="W95"/>
  <c r="N95"/>
  <c r="I95"/>
  <c r="X94"/>
  <c r="W94"/>
  <c r="N94"/>
  <c r="I94"/>
  <c r="X93"/>
  <c r="W93"/>
  <c r="I93"/>
  <c r="P93" s="1"/>
  <c r="X92"/>
  <c r="W92"/>
  <c r="V92"/>
  <c r="U92"/>
  <c r="I92"/>
  <c r="X91"/>
  <c r="W91"/>
  <c r="T91"/>
  <c r="N91"/>
  <c r="I91"/>
  <c r="X90"/>
  <c r="W90"/>
  <c r="N90"/>
  <c r="S128" s="1"/>
  <c r="I90"/>
  <c r="X89"/>
  <c r="W89"/>
  <c r="V89"/>
  <c r="U89"/>
  <c r="I89"/>
  <c r="S129" s="1"/>
  <c r="X88"/>
  <c r="W88"/>
  <c r="N88"/>
  <c r="I88"/>
  <c r="P88" s="1"/>
  <c r="X87"/>
  <c r="W87"/>
  <c r="N87"/>
  <c r="I87"/>
  <c r="X86"/>
  <c r="W86"/>
  <c r="I86"/>
  <c r="V85"/>
  <c r="U85"/>
  <c r="H85"/>
  <c r="X85" s="1"/>
  <c r="N84"/>
  <c r="H84"/>
  <c r="X84" s="1"/>
  <c r="X83"/>
  <c r="W83"/>
  <c r="N83"/>
  <c r="T81" s="1"/>
  <c r="I83"/>
  <c r="X82"/>
  <c r="W82"/>
  <c r="V82"/>
  <c r="U82"/>
  <c r="I82"/>
  <c r="X81"/>
  <c r="W81"/>
  <c r="N81"/>
  <c r="I81"/>
  <c r="X80"/>
  <c r="W80"/>
  <c r="N80"/>
  <c r="I80"/>
  <c r="X79"/>
  <c r="W79"/>
  <c r="I79"/>
  <c r="V78"/>
  <c r="U78"/>
  <c r="H78"/>
  <c r="W78" s="1"/>
  <c r="N77"/>
  <c r="H77"/>
  <c r="X76"/>
  <c r="W76"/>
  <c r="I76"/>
  <c r="X75"/>
  <c r="W75"/>
  <c r="V75"/>
  <c r="U75"/>
  <c r="I75"/>
  <c r="X74"/>
  <c r="W74"/>
  <c r="T74"/>
  <c r="N74"/>
  <c r="P62" s="1"/>
  <c r="I74"/>
  <c r="P74" s="1"/>
  <c r="X73"/>
  <c r="W73"/>
  <c r="N73"/>
  <c r="I73"/>
  <c r="X72"/>
  <c r="W72"/>
  <c r="V72"/>
  <c r="U72"/>
  <c r="I72"/>
  <c r="N71"/>
  <c r="H71"/>
  <c r="T71" s="1"/>
  <c r="X70"/>
  <c r="W70"/>
  <c r="N70"/>
  <c r="T68" s="1"/>
  <c r="I70"/>
  <c r="X69"/>
  <c r="W69"/>
  <c r="V69"/>
  <c r="U69"/>
  <c r="I69"/>
  <c r="X68"/>
  <c r="W68"/>
  <c r="N68"/>
  <c r="I68"/>
  <c r="X43"/>
  <c r="W43"/>
  <c r="N43"/>
  <c r="I43"/>
  <c r="X42"/>
  <c r="W42"/>
  <c r="I42"/>
  <c r="V41"/>
  <c r="U41"/>
  <c r="N40"/>
  <c r="I40"/>
  <c r="W40"/>
  <c r="T77" l="1"/>
  <c r="P73"/>
  <c r="I77"/>
  <c r="P77" s="1"/>
  <c r="J81"/>
  <c r="P95"/>
  <c r="P98"/>
  <c r="J101"/>
  <c r="P103"/>
  <c r="J68"/>
  <c r="P90"/>
  <c r="J91"/>
  <c r="P106"/>
  <c r="P107"/>
  <c r="U107"/>
  <c r="I110"/>
  <c r="U116"/>
  <c r="P126"/>
  <c r="O62"/>
  <c r="O63" s="1"/>
  <c r="O64" s="1"/>
  <c r="Q62"/>
  <c r="R62" s="1"/>
  <c r="S62" s="1"/>
  <c r="I71"/>
  <c r="P71" s="1"/>
  <c r="Q71" s="1"/>
  <c r="J88"/>
  <c r="I111"/>
  <c r="J116"/>
  <c r="I124"/>
  <c r="P89"/>
  <c r="P115"/>
  <c r="Q107"/>
  <c r="Q74"/>
  <c r="Q77"/>
  <c r="Q88"/>
  <c r="O88"/>
  <c r="Q95"/>
  <c r="Q98"/>
  <c r="Q104"/>
  <c r="Q108"/>
  <c r="Q116"/>
  <c r="O320"/>
  <c r="P170"/>
  <c r="J170"/>
  <c r="Q187"/>
  <c r="O187"/>
  <c r="O188" s="1"/>
  <c r="O190" s="1"/>
  <c r="Q156"/>
  <c r="P40"/>
  <c r="T40"/>
  <c r="X40"/>
  <c r="X41"/>
  <c r="W41" s="1"/>
  <c r="P68"/>
  <c r="J71"/>
  <c r="W71"/>
  <c r="U71" s="1"/>
  <c r="J74"/>
  <c r="U74"/>
  <c r="X77"/>
  <c r="W77" s="1"/>
  <c r="U77" s="1"/>
  <c r="I78"/>
  <c r="J77" s="1"/>
  <c r="X78"/>
  <c r="P81"/>
  <c r="W84"/>
  <c r="W85"/>
  <c r="O89"/>
  <c r="O90" s="1"/>
  <c r="P91"/>
  <c r="U95"/>
  <c r="J98"/>
  <c r="U98"/>
  <c r="J104"/>
  <c r="J107"/>
  <c r="P110"/>
  <c r="T110"/>
  <c r="X110"/>
  <c r="X112"/>
  <c r="P113"/>
  <c r="W117"/>
  <c r="W122"/>
  <c r="X123"/>
  <c r="W123" s="1"/>
  <c r="L128"/>
  <c r="L129" s="1"/>
  <c r="O220"/>
  <c r="Q184"/>
  <c r="Q181"/>
  <c r="M269"/>
  <c r="O274"/>
  <c r="O275" s="1"/>
  <c r="O285"/>
  <c r="O286" s="1"/>
  <c r="Q148"/>
  <c r="R228"/>
  <c r="I41"/>
  <c r="J40" s="1"/>
  <c r="U68"/>
  <c r="X71"/>
  <c r="U81"/>
  <c r="I84"/>
  <c r="T84"/>
  <c r="I85"/>
  <c r="U91"/>
  <c r="U101"/>
  <c r="I112"/>
  <c r="J110" s="1"/>
  <c r="J113"/>
  <c r="U113"/>
  <c r="X117"/>
  <c r="U119"/>
  <c r="I122"/>
  <c r="T122"/>
  <c r="X122"/>
  <c r="T347"/>
  <c r="U166"/>
  <c r="U138"/>
  <c r="H3299" i="1"/>
  <c r="H3298"/>
  <c r="H3297"/>
  <c r="P84" i="4" l="1"/>
  <c r="J84"/>
  <c r="Q113"/>
  <c r="Q68"/>
  <c r="Q40"/>
  <c r="P122"/>
  <c r="J122"/>
  <c r="K129"/>
  <c r="L130"/>
  <c r="Q110"/>
  <c r="Q91"/>
  <c r="Q81"/>
  <c r="Q170"/>
  <c r="U122"/>
  <c r="U84"/>
  <c r="U110"/>
  <c r="U40"/>
  <c r="N3296" i="1"/>
  <c r="H3296"/>
  <c r="S3295"/>
  <c r="R3295"/>
  <c r="N3295"/>
  <c r="K130" i="4" l="1"/>
  <c r="Q84"/>
  <c r="Q122"/>
  <c r="H3295" i="1"/>
  <c r="S3298" s="1"/>
  <c r="T3294"/>
  <c r="T3295" s="1"/>
  <c r="R3294"/>
  <c r="N3294"/>
  <c r="H3294"/>
  <c r="R3293"/>
  <c r="N3293"/>
  <c r="H3293"/>
  <c r="Z3286"/>
  <c r="O3289"/>
  <c r="Z3285"/>
  <c r="O3288"/>
  <c r="D3288"/>
  <c r="C3288"/>
  <c r="Z3284"/>
  <c r="O3287"/>
  <c r="Z3283"/>
  <c r="O3286"/>
  <c r="Z3282"/>
  <c r="O3285"/>
  <c r="Z3281"/>
  <c r="O3284"/>
  <c r="Z3280"/>
  <c r="O3283"/>
  <c r="Z3279"/>
  <c r="O3282"/>
  <c r="Z3278"/>
  <c r="O3281"/>
  <c r="Z3277"/>
  <c r="O3280"/>
  <c r="Z3276"/>
  <c r="O3279"/>
  <c r="Z3275"/>
  <c r="O3278"/>
  <c r="Z3274"/>
  <c r="O3277"/>
  <c r="Z3273"/>
  <c r="O3276"/>
  <c r="Z3272"/>
  <c r="R3275"/>
  <c r="W3275" s="1"/>
  <c r="O3275"/>
  <c r="Z3271"/>
  <c r="R3274"/>
  <c r="W3274" s="1"/>
  <c r="O3274"/>
  <c r="Z3270"/>
  <c r="R3273"/>
  <c r="W3273" s="1"/>
  <c r="O3273"/>
  <c r="B3272"/>
  <c r="Z3268"/>
  <c r="O3271"/>
  <c r="Z3267"/>
  <c r="O3270"/>
  <c r="D3270"/>
  <c r="Z3266"/>
  <c r="O3269"/>
  <c r="D3269" s="1"/>
  <c r="Z3265"/>
  <c r="O3268"/>
  <c r="D3268" s="1"/>
  <c r="Z3264"/>
  <c r="O3267"/>
  <c r="D3267" s="1"/>
  <c r="Z3263"/>
  <c r="O3266"/>
  <c r="D3266" s="1"/>
  <c r="Z3262"/>
  <c r="O3265"/>
  <c r="D3265" s="1"/>
  <c r="Z3261"/>
  <c r="O3264"/>
  <c r="D3264" s="1"/>
  <c r="Z3260"/>
  <c r="O3263"/>
  <c r="D3263" s="1"/>
  <c r="Z3259"/>
  <c r="O3262"/>
  <c r="D3262" s="1"/>
  <c r="Z3258"/>
  <c r="O3261"/>
  <c r="D3261" s="1"/>
  <c r="Z3257"/>
  <c r="O3260"/>
  <c r="D3260" s="1"/>
  <c r="Z3256"/>
  <c r="O3259"/>
  <c r="D3259" s="1"/>
  <c r="Z3255"/>
  <c r="O3258"/>
  <c r="D3258" s="1"/>
  <c r="Z3254"/>
  <c r="O3257"/>
  <c r="D3257" s="1"/>
  <c r="Z3253"/>
  <c r="O3256"/>
  <c r="D3256" s="1"/>
  <c r="Z3252"/>
  <c r="O3255"/>
  <c r="D3255" s="1"/>
  <c r="Z3251"/>
  <c r="O3254"/>
  <c r="D3254" s="1"/>
  <c r="Z3250"/>
  <c r="O3253"/>
  <c r="D3253" s="1"/>
  <c r="Z3249"/>
  <c r="O3252"/>
  <c r="Z3248"/>
  <c r="O3251"/>
  <c r="Z3247"/>
  <c r="R3250"/>
  <c r="W3250" s="1"/>
  <c r="O3250"/>
  <c r="Z3246"/>
  <c r="R3249"/>
  <c r="W3249" s="1"/>
  <c r="O3249"/>
  <c r="D3249"/>
  <c r="C3249"/>
  <c r="Z3245"/>
  <c r="R3248"/>
  <c r="W3248" s="1"/>
  <c r="O3248"/>
  <c r="Z3244"/>
  <c r="R3247"/>
  <c r="W3247" s="1"/>
  <c r="O3247"/>
  <c r="Z3243"/>
  <c r="R3246"/>
  <c r="W3246" s="1"/>
  <c r="O3246"/>
  <c r="Z3242"/>
  <c r="R3245"/>
  <c r="W3245" s="1"/>
  <c r="O3245"/>
  <c r="Z3241"/>
  <c r="R3244"/>
  <c r="W3244" s="1"/>
  <c r="O3244"/>
  <c r="B3243"/>
  <c r="Z3239"/>
  <c r="O3242"/>
  <c r="Z3238"/>
  <c r="O3241"/>
  <c r="D3241"/>
  <c r="Z3237"/>
  <c r="O3240"/>
  <c r="D3240" s="1"/>
  <c r="Z3236"/>
  <c r="O3239"/>
  <c r="D3239" s="1"/>
  <c r="Z3235"/>
  <c r="O3238"/>
  <c r="D3238" s="1"/>
  <c r="Z3234"/>
  <c r="O3237"/>
  <c r="D3237" s="1"/>
  <c r="Z3233"/>
  <c r="O3236"/>
  <c r="D3236" s="1"/>
  <c r="Z3232"/>
  <c r="O3235"/>
  <c r="D3235" s="1"/>
  <c r="Z3231"/>
  <c r="O3234"/>
  <c r="D3234" s="1"/>
  <c r="Z3230"/>
  <c r="O3233"/>
  <c r="D3233" s="1"/>
  <c r="Z3229"/>
  <c r="O3232"/>
  <c r="D3232" s="1"/>
  <c r="Z3228"/>
  <c r="O3231"/>
  <c r="D3231" s="1"/>
  <c r="Z3227"/>
  <c r="O3230"/>
  <c r="D3230" s="1"/>
  <c r="Z3226"/>
  <c r="O3229"/>
  <c r="D3229" s="1"/>
  <c r="Z3225"/>
  <c r="O3228"/>
  <c r="D3228" s="1"/>
  <c r="Z3224"/>
  <c r="O3227"/>
  <c r="D3227" s="1"/>
  <c r="Z3223"/>
  <c r="O3226"/>
  <c r="D3226" s="1"/>
  <c r="Z3222"/>
  <c r="O3225"/>
  <c r="D3225" s="1"/>
  <c r="Z3221"/>
  <c r="O3224"/>
  <c r="D3224" s="1"/>
  <c r="Z3220"/>
  <c r="O3223"/>
  <c r="D3223" s="1"/>
  <c r="Z3219"/>
  <c r="O3222"/>
  <c r="Z3218"/>
  <c r="O3221"/>
  <c r="Z3217"/>
  <c r="O3220"/>
  <c r="Z3216"/>
  <c r="O3219"/>
  <c r="Z3215"/>
  <c r="R3218"/>
  <c r="W3218" s="1"/>
  <c r="O3218"/>
  <c r="Z3214"/>
  <c r="R3217"/>
  <c r="W3217" s="1"/>
  <c r="O3217"/>
  <c r="D3217"/>
  <c r="Z3213"/>
  <c r="R3216"/>
  <c r="W3216" s="1"/>
  <c r="O3216"/>
  <c r="Z3212"/>
  <c r="R3215"/>
  <c r="W3215" s="1"/>
  <c r="O3215"/>
  <c r="Z3211"/>
  <c r="R3214"/>
  <c r="W3214" s="1"/>
  <c r="O3214"/>
  <c r="Z3210"/>
  <c r="R3213"/>
  <c r="W3213" s="1"/>
  <c r="O3213"/>
  <c r="Z3209"/>
  <c r="O3212"/>
  <c r="Z3208"/>
  <c r="O3211"/>
  <c r="Z3207"/>
  <c r="O3210"/>
  <c r="Z3206"/>
  <c r="O3209"/>
  <c r="Z3205"/>
  <c r="O3208"/>
  <c r="Z3204"/>
  <c r="O3207"/>
  <c r="Z3203"/>
  <c r="O3206"/>
  <c r="Z3202"/>
  <c r="O3205"/>
  <c r="Z3201"/>
  <c r="O3204"/>
  <c r="Z3200"/>
  <c r="O3203"/>
  <c r="C3203"/>
  <c r="Z3199"/>
  <c r="O3202"/>
  <c r="Z3198"/>
  <c r="O3201"/>
  <c r="Z3197"/>
  <c r="O3200"/>
  <c r="Z3196"/>
  <c r="O3199"/>
  <c r="Z3195"/>
  <c r="O3198"/>
  <c r="Z3194"/>
  <c r="O3197"/>
  <c r="Z3193"/>
  <c r="O3196"/>
  <c r="Z3192"/>
  <c r="O3195"/>
  <c r="B3194"/>
  <c r="Z3190"/>
  <c r="O3193"/>
  <c r="Z3189"/>
  <c r="O3192"/>
  <c r="D3192"/>
  <c r="Z3188"/>
  <c r="O3191"/>
  <c r="D3191" s="1"/>
  <c r="Z3187"/>
  <c r="O3190"/>
  <c r="D3190" s="1"/>
  <c r="Z3186"/>
  <c r="O3189"/>
  <c r="D3189" s="1"/>
  <c r="Z3185"/>
  <c r="O3188"/>
  <c r="D3188" s="1"/>
  <c r="Z3184"/>
  <c r="O3187"/>
  <c r="D3187" s="1"/>
  <c r="Z3183"/>
  <c r="O3186"/>
  <c r="D3186" s="1"/>
  <c r="Z3182"/>
  <c r="O3185"/>
  <c r="D3185" s="1"/>
  <c r="Z3181"/>
  <c r="O3184"/>
  <c r="D3184" s="1"/>
  <c r="Z3180"/>
  <c r="O3183"/>
  <c r="D3183" s="1"/>
  <c r="Z3179"/>
  <c r="O3182"/>
  <c r="D3182" s="1"/>
  <c r="Z3178"/>
  <c r="O3181"/>
  <c r="D3181" s="1"/>
  <c r="Z3177"/>
  <c r="O3180"/>
  <c r="D3180" s="1"/>
  <c r="Z3176"/>
  <c r="O3179"/>
  <c r="D3179" s="1"/>
  <c r="Z3175"/>
  <c r="O3178"/>
  <c r="D3178" s="1"/>
  <c r="Z3174"/>
  <c r="O3177"/>
  <c r="D3177" s="1"/>
  <c r="Z3173"/>
  <c r="O3176"/>
  <c r="D3176" s="1"/>
  <c r="Z3172"/>
  <c r="O3175"/>
  <c r="D3175" s="1"/>
  <c r="Z3171"/>
  <c r="O3174"/>
  <c r="D3174" s="1"/>
  <c r="Z3170"/>
  <c r="O3173"/>
  <c r="D3173" s="1"/>
  <c r="Z3169"/>
  <c r="O3172"/>
  <c r="D3172" s="1"/>
  <c r="Z3168"/>
  <c r="O3171"/>
  <c r="D3171" s="1"/>
  <c r="Z3167"/>
  <c r="O3170"/>
  <c r="Z3166"/>
  <c r="O3169"/>
  <c r="Z3165"/>
  <c r="O3168"/>
  <c r="Z3164"/>
  <c r="R3167"/>
  <c r="W3167" s="1"/>
  <c r="O3167"/>
  <c r="D3167" s="1"/>
  <c r="Z3163"/>
  <c r="R3166"/>
  <c r="W3166" s="1"/>
  <c r="O3166"/>
  <c r="Z3162"/>
  <c r="R3165"/>
  <c r="W3165" s="1"/>
  <c r="O3165"/>
  <c r="Z3161"/>
  <c r="O3164"/>
  <c r="Z3160"/>
  <c r="R3163"/>
  <c r="W3163" s="1"/>
  <c r="O3163"/>
  <c r="Z3159"/>
  <c r="O3162"/>
  <c r="Z3158"/>
  <c r="R3161"/>
  <c r="W3161" s="1"/>
  <c r="O3161"/>
  <c r="Z3157"/>
  <c r="R3160"/>
  <c r="W3160" s="1"/>
  <c r="O3160"/>
  <c r="Z3156"/>
  <c r="O3159"/>
  <c r="Z3155"/>
  <c r="O3158"/>
  <c r="Z3154"/>
  <c r="R3157"/>
  <c r="W3157" s="1"/>
  <c r="O3157"/>
  <c r="Z3153"/>
  <c r="R3156"/>
  <c r="W3156" s="1"/>
  <c r="O3156"/>
  <c r="Z3152"/>
  <c r="O3155"/>
  <c r="Z3151"/>
  <c r="O3154"/>
  <c r="Z3150"/>
  <c r="O3153"/>
  <c r="Z3149"/>
  <c r="O3152"/>
  <c r="Z3148"/>
  <c r="O3151"/>
  <c r="Z3147"/>
  <c r="O3150"/>
  <c r="Z3146"/>
  <c r="O3149"/>
  <c r="Z3145"/>
  <c r="O3148"/>
  <c r="Z3144"/>
  <c r="O3147"/>
  <c r="Z3143"/>
  <c r="O3146"/>
  <c r="Z3142"/>
  <c r="O3145"/>
  <c r="Z3141"/>
  <c r="O3144"/>
  <c r="Z3140"/>
  <c r="O3143"/>
  <c r="Z3139"/>
  <c r="O3142"/>
  <c r="Z3138"/>
  <c r="O3141"/>
  <c r="Z3137"/>
  <c r="O3140"/>
  <c r="B3139"/>
  <c r="Z3135"/>
  <c r="R3138"/>
  <c r="W3138" s="1"/>
  <c r="O3138"/>
  <c r="Z3134"/>
  <c r="O3137"/>
  <c r="Z3133"/>
  <c r="R3136"/>
  <c r="W3136" s="1"/>
  <c r="O3136"/>
  <c r="D3136"/>
  <c r="Z3132"/>
  <c r="R3135"/>
  <c r="W3135" s="1"/>
  <c r="O3135"/>
  <c r="D3135" s="1"/>
  <c r="Z3131"/>
  <c r="R3134"/>
  <c r="W3134" s="1"/>
  <c r="O3134"/>
  <c r="Z3130"/>
  <c r="R3133"/>
  <c r="W3133" s="1"/>
  <c r="O3133"/>
  <c r="Z3129"/>
  <c r="R3132"/>
  <c r="W3132" s="1"/>
  <c r="O3132"/>
  <c r="Z3128"/>
  <c r="R3131"/>
  <c r="W3131" s="1"/>
  <c r="O3131"/>
  <c r="Z3127"/>
  <c r="O3130"/>
  <c r="Z3126"/>
  <c r="O3129"/>
  <c r="Z3125"/>
  <c r="O3128"/>
  <c r="Z3124"/>
  <c r="R3127"/>
  <c r="W3127" s="1"/>
  <c r="O3127"/>
  <c r="Z3123"/>
  <c r="O3126"/>
  <c r="Z3122"/>
  <c r="R3125"/>
  <c r="W3125" s="1"/>
  <c r="O3125"/>
  <c r="Z3121"/>
  <c r="R3124"/>
  <c r="W3124" s="1"/>
  <c r="O3124"/>
  <c r="Z3120"/>
  <c r="O3123"/>
  <c r="D3123"/>
  <c r="Z3119"/>
  <c r="O3122"/>
  <c r="D3122" s="1"/>
  <c r="Z3118"/>
  <c r="O3121"/>
  <c r="D3121" s="1"/>
  <c r="Z3117"/>
  <c r="O3120"/>
  <c r="D3120" s="1"/>
  <c r="Z3116"/>
  <c r="O3119"/>
  <c r="D3119" s="1"/>
  <c r="Z3115"/>
  <c r="O3118"/>
  <c r="Z3114"/>
  <c r="O3117"/>
  <c r="Z3113"/>
  <c r="O3116"/>
  <c r="D3116"/>
  <c r="Z3112"/>
  <c r="O3115"/>
  <c r="D3115" s="1"/>
  <c r="Z3111"/>
  <c r="O3114"/>
  <c r="D3114" s="1"/>
  <c r="Z3110"/>
  <c r="O3113"/>
  <c r="D3113" s="1"/>
  <c r="Z3109"/>
  <c r="O3112"/>
  <c r="Z3108"/>
  <c r="O3111"/>
  <c r="Z3107"/>
  <c r="O3110"/>
  <c r="D3110"/>
  <c r="Z3106"/>
  <c r="O3109"/>
  <c r="Z3105"/>
  <c r="O3108"/>
  <c r="Z3104"/>
  <c r="O3107"/>
  <c r="D3107"/>
  <c r="Z3103"/>
  <c r="O3106"/>
  <c r="D3106" s="1"/>
  <c r="D3105"/>
  <c r="B3105"/>
  <c r="Z3101"/>
  <c r="O3104"/>
  <c r="Z3100"/>
  <c r="O3103"/>
  <c r="Z3099"/>
  <c r="R3102"/>
  <c r="W3102" s="1"/>
  <c r="O3102"/>
  <c r="Z3098"/>
  <c r="R3101"/>
  <c r="W3101" s="1"/>
  <c r="O3101"/>
  <c r="D3101"/>
  <c r="Z3097"/>
  <c r="O3100"/>
  <c r="D3100" s="1"/>
  <c r="Z3096"/>
  <c r="O3099"/>
  <c r="D3099" s="1"/>
  <c r="Z3095"/>
  <c r="O3098"/>
  <c r="D3098" s="1"/>
  <c r="Z3094"/>
  <c r="O3097"/>
  <c r="D3097" s="1"/>
  <c r="Z3093"/>
  <c r="O3096"/>
  <c r="D3096" s="1"/>
  <c r="Z3092"/>
  <c r="O3095"/>
  <c r="D3095" s="1"/>
  <c r="Z3091"/>
  <c r="O3094"/>
  <c r="D3094" s="1"/>
  <c r="Z3090"/>
  <c r="O3093"/>
  <c r="D3093" s="1"/>
  <c r="Z3089"/>
  <c r="O3092"/>
  <c r="D3092" s="1"/>
  <c r="Z3088"/>
  <c r="O3091"/>
  <c r="D3091" s="1"/>
  <c r="Z3087"/>
  <c r="O3090"/>
  <c r="D3090" s="1"/>
  <c r="Z3086"/>
  <c r="O3089"/>
  <c r="D3089" s="1"/>
  <c r="Z3085"/>
  <c r="O3088"/>
  <c r="Z3084"/>
  <c r="O3087"/>
  <c r="Z3083"/>
  <c r="R3086"/>
  <c r="W3086" s="1"/>
  <c r="O3086"/>
  <c r="Z3082"/>
  <c r="R3085"/>
  <c r="W3085" s="1"/>
  <c r="O3085"/>
  <c r="D3085"/>
  <c r="Z3081"/>
  <c r="R3084"/>
  <c r="W3084" s="1"/>
  <c r="O3084"/>
  <c r="Z3080"/>
  <c r="R3083"/>
  <c r="W3083" s="1"/>
  <c r="O3083"/>
  <c r="Z3079"/>
  <c r="R3082"/>
  <c r="W3082" s="1"/>
  <c r="O3082"/>
  <c r="Z3078"/>
  <c r="O3081"/>
  <c r="Z3077"/>
  <c r="O3080"/>
  <c r="Z3076"/>
  <c r="R3079"/>
  <c r="W3079" s="1"/>
  <c r="O3079"/>
  <c r="Z3075"/>
  <c r="O3078"/>
  <c r="Z3074"/>
  <c r="R3077"/>
  <c r="W3077" s="1"/>
  <c r="O3077"/>
  <c r="Z3073"/>
  <c r="R3076"/>
  <c r="W3076" s="1"/>
  <c r="O3076"/>
  <c r="D3076"/>
  <c r="Z3072"/>
  <c r="R3075"/>
  <c r="W3075" s="1"/>
  <c r="O3075"/>
  <c r="Z3071"/>
  <c r="O3074"/>
  <c r="Z3070"/>
  <c r="O3073"/>
  <c r="Z3069"/>
  <c r="O3072"/>
  <c r="Z3068"/>
  <c r="O3071"/>
  <c r="Z3067"/>
  <c r="O3070"/>
  <c r="Z3066"/>
  <c r="O3069"/>
  <c r="Z3065"/>
  <c r="O3068"/>
  <c r="Z3064"/>
  <c r="O3067"/>
  <c r="Z3063"/>
  <c r="O3066"/>
  <c r="Z3062"/>
  <c r="O3065"/>
  <c r="D3065"/>
  <c r="Z3061"/>
  <c r="O3064"/>
  <c r="D3064" s="1"/>
  <c r="D3063" s="1"/>
  <c r="B3063"/>
  <c r="Z3059"/>
  <c r="O3062"/>
  <c r="Z3058"/>
  <c r="O3061"/>
  <c r="D3061"/>
  <c r="Z3057"/>
  <c r="O3060"/>
  <c r="D3060" s="1"/>
  <c r="Z3056"/>
  <c r="O3059"/>
  <c r="D3059" s="1"/>
  <c r="Z3055"/>
  <c r="O3058"/>
  <c r="D3058" s="1"/>
  <c r="Z3054"/>
  <c r="O3057"/>
  <c r="D3057" s="1"/>
  <c r="Z3053"/>
  <c r="O3056"/>
  <c r="D3056" s="1"/>
  <c r="Z3052"/>
  <c r="O3055"/>
  <c r="D3055" s="1"/>
  <c r="Z3051"/>
  <c r="O3054"/>
  <c r="D3054" s="1"/>
  <c r="Z3050"/>
  <c r="O3053"/>
  <c r="D3053" s="1"/>
  <c r="Z3049"/>
  <c r="O3052"/>
  <c r="D3052" s="1"/>
  <c r="Z3048"/>
  <c r="R3051"/>
  <c r="W3051" s="1"/>
  <c r="O3051"/>
  <c r="Z3047"/>
  <c r="R3050"/>
  <c r="W3050" s="1"/>
  <c r="O3050"/>
  <c r="Z3046"/>
  <c r="R3049"/>
  <c r="W3049" s="1"/>
  <c r="O3049"/>
  <c r="Z3045"/>
  <c r="R3048"/>
  <c r="W3048" s="1"/>
  <c r="O3048"/>
  <c r="Z3044"/>
  <c r="R3047"/>
  <c r="W3047" s="1"/>
  <c r="O3047"/>
  <c r="Z3043"/>
  <c r="O3046"/>
  <c r="Z3042"/>
  <c r="O3045"/>
  <c r="Z3041"/>
  <c r="R3044"/>
  <c r="W3044" s="1"/>
  <c r="O3044"/>
  <c r="Z3040"/>
  <c r="O3043"/>
  <c r="Z3039"/>
  <c r="R3042"/>
  <c r="W3042" s="1"/>
  <c r="O3042"/>
  <c r="Z3038"/>
  <c r="O3041"/>
  <c r="Z3037"/>
  <c r="O3040"/>
  <c r="Z3036"/>
  <c r="O3039"/>
  <c r="Z3035"/>
  <c r="O3038"/>
  <c r="Z3034"/>
  <c r="O3037"/>
  <c r="Z3033"/>
  <c r="O3036"/>
  <c r="Z3032"/>
  <c r="O3035"/>
  <c r="Z3031"/>
  <c r="O3034"/>
  <c r="Z3030"/>
  <c r="O3033"/>
  <c r="Z3029"/>
  <c r="O3032"/>
  <c r="Z3028"/>
  <c r="O3031"/>
  <c r="Z3027"/>
  <c r="O3030"/>
  <c r="Z3026"/>
  <c r="O3029"/>
  <c r="Z3025"/>
  <c r="O3028"/>
  <c r="Z3024"/>
  <c r="O3027"/>
  <c r="B3026"/>
  <c r="Z3022"/>
  <c r="R3025"/>
  <c r="W3025" s="1"/>
  <c r="O3025"/>
  <c r="Z3021"/>
  <c r="R3024"/>
  <c r="W3024" s="1"/>
  <c r="O3024"/>
  <c r="D3024"/>
  <c r="Z3020"/>
  <c r="R3023"/>
  <c r="W3023" s="1"/>
  <c r="O3023"/>
  <c r="Z3019"/>
  <c r="R3022"/>
  <c r="W3022" s="1"/>
  <c r="O3022"/>
  <c r="Z3018"/>
  <c r="R3021"/>
  <c r="W3021" s="1"/>
  <c r="O3021"/>
  <c r="Z3017"/>
  <c r="R3020"/>
  <c r="W3020" s="1"/>
  <c r="O3020"/>
  <c r="Z3016"/>
  <c r="R3019"/>
  <c r="W3019" s="1"/>
  <c r="O3019"/>
  <c r="Z3015"/>
  <c r="R3018"/>
  <c r="W3018" s="1"/>
  <c r="O3018"/>
  <c r="Z3014"/>
  <c r="O3017"/>
  <c r="Z3013"/>
  <c r="O3016"/>
  <c r="Z3012"/>
  <c r="O3015"/>
  <c r="Z3011"/>
  <c r="O3014"/>
  <c r="Z3010"/>
  <c r="O3013"/>
  <c r="Z3009"/>
  <c r="O3012"/>
  <c r="Z3008"/>
  <c r="O3011"/>
  <c r="Z3007"/>
  <c r="O3010"/>
  <c r="Z3006"/>
  <c r="O3009"/>
  <c r="Z3005"/>
  <c r="O3008"/>
  <c r="Z3004"/>
  <c r="O3007"/>
  <c r="Z3003"/>
  <c r="O3006"/>
  <c r="Z3002"/>
  <c r="O3005"/>
  <c r="Z3001"/>
  <c r="R3004"/>
  <c r="W3004" s="1"/>
  <c r="O3004"/>
  <c r="Z3000"/>
  <c r="R3003"/>
  <c r="W3003" s="1"/>
  <c r="O3003"/>
  <c r="Z2999"/>
  <c r="R3002"/>
  <c r="W3002" s="1"/>
  <c r="O3002"/>
  <c r="Z2998"/>
  <c r="O3001"/>
  <c r="Z2997"/>
  <c r="R3000"/>
  <c r="W3000" s="1"/>
  <c r="O3000"/>
  <c r="Z2996"/>
  <c r="O2999"/>
  <c r="Z2995"/>
  <c r="O2998"/>
  <c r="Z2994"/>
  <c r="R2997"/>
  <c r="W2997" s="1"/>
  <c r="O2997"/>
  <c r="Z2993"/>
  <c r="R2996"/>
  <c r="W2996" s="1"/>
  <c r="O2996"/>
  <c r="Z2992"/>
  <c r="R2995"/>
  <c r="W2995" s="1"/>
  <c r="O2995"/>
  <c r="Z2991"/>
  <c r="O2994"/>
  <c r="Z2990"/>
  <c r="R2993"/>
  <c r="W2993" s="1"/>
  <c r="O2993"/>
  <c r="Z2989"/>
  <c r="R2992"/>
  <c r="W2992" s="1"/>
  <c r="O2992"/>
  <c r="Z2988"/>
  <c r="R2991"/>
  <c r="W2991" s="1"/>
  <c r="O2991"/>
  <c r="Z2987"/>
  <c r="R2990"/>
  <c r="W2990" s="1"/>
  <c r="O2990"/>
  <c r="Z2986"/>
  <c r="R2989"/>
  <c r="W2989" s="1"/>
  <c r="O2989"/>
  <c r="Z2985"/>
  <c r="R2988"/>
  <c r="W2988" s="1"/>
  <c r="O2988"/>
  <c r="Z2984"/>
  <c r="R2987"/>
  <c r="W2987" s="1"/>
  <c r="O2987"/>
  <c r="B2986"/>
  <c r="Z2982"/>
  <c r="O2985"/>
  <c r="Z2981"/>
  <c r="O2984"/>
  <c r="D2984"/>
  <c r="Z2980"/>
  <c r="O2983"/>
  <c r="D2983" s="1"/>
  <c r="Z2979"/>
  <c r="O2982"/>
  <c r="D2982" s="1"/>
  <c r="Z2978"/>
  <c r="O2981"/>
  <c r="D2981" s="1"/>
  <c r="Z2977"/>
  <c r="O2980"/>
  <c r="D2980" s="1"/>
  <c r="Z2976"/>
  <c r="O2979"/>
  <c r="D2979" s="1"/>
  <c r="Z2975"/>
  <c r="O2978"/>
  <c r="D2978" s="1"/>
  <c r="Z2974"/>
  <c r="O2977"/>
  <c r="D2977" s="1"/>
  <c r="Z2973"/>
  <c r="O2976"/>
  <c r="D2976" s="1"/>
  <c r="Z2972"/>
  <c r="O2975"/>
  <c r="D2975" s="1"/>
  <c r="Z2971"/>
  <c r="O2974"/>
  <c r="D2974" s="1"/>
  <c r="Z2970"/>
  <c r="O2973"/>
  <c r="D2973" s="1"/>
  <c r="Z2969"/>
  <c r="O2972"/>
  <c r="D2972" s="1"/>
  <c r="Z2968"/>
  <c r="O2971"/>
  <c r="D2971" s="1"/>
  <c r="Z2967"/>
  <c r="O2970"/>
  <c r="D2970" s="1"/>
  <c r="Z2966"/>
  <c r="O2969"/>
  <c r="D2969" s="1"/>
  <c r="Z2965"/>
  <c r="O2968"/>
  <c r="D2968" s="1"/>
  <c r="Z2964"/>
  <c r="O2967"/>
  <c r="D2967" s="1"/>
  <c r="Z2963"/>
  <c r="R2966"/>
  <c r="W2966" s="1"/>
  <c r="O2966"/>
  <c r="Z2962"/>
  <c r="R2965"/>
  <c r="W2965" s="1"/>
  <c r="O2965"/>
  <c r="Z2961"/>
  <c r="O2964"/>
  <c r="Z2960"/>
  <c r="R2963"/>
  <c r="W2963" s="1"/>
  <c r="O2963"/>
  <c r="Z2959"/>
  <c r="R2962"/>
  <c r="W2962" s="1"/>
  <c r="O2962"/>
  <c r="Z2958"/>
  <c r="R2961"/>
  <c r="W2961" s="1"/>
  <c r="O2961"/>
  <c r="Z2957"/>
  <c r="R2960"/>
  <c r="W2960" s="1"/>
  <c r="O2960"/>
  <c r="Z2956"/>
  <c r="O2959"/>
  <c r="Z2955"/>
  <c r="R2958"/>
  <c r="W2958" s="1"/>
  <c r="O2958"/>
  <c r="Z2954"/>
  <c r="R2957"/>
  <c r="W2957" s="1"/>
  <c r="O2957"/>
  <c r="Z2953"/>
  <c r="O2956"/>
  <c r="Z2952"/>
  <c r="R2955"/>
  <c r="W2955" s="1"/>
  <c r="O2955"/>
  <c r="Z2951"/>
  <c r="R2954"/>
  <c r="W2954" s="1"/>
  <c r="O2954"/>
  <c r="B2953"/>
  <c r="Z2949"/>
  <c r="O2952"/>
  <c r="Z2948"/>
  <c r="O2951"/>
  <c r="D2951"/>
  <c r="Z2947"/>
  <c r="O2950"/>
  <c r="D2950" s="1"/>
  <c r="Z2946"/>
  <c r="O2949"/>
  <c r="D2949" s="1"/>
  <c r="Z2945"/>
  <c r="O2948"/>
  <c r="D2948" s="1"/>
  <c r="Z2944"/>
  <c r="O2947"/>
  <c r="D2947" s="1"/>
  <c r="Z2943"/>
  <c r="O2946"/>
  <c r="D2946" s="1"/>
  <c r="Z2942"/>
  <c r="O2945"/>
  <c r="D2945" s="1"/>
  <c r="Z2941"/>
  <c r="O2944"/>
  <c r="D2944" s="1"/>
  <c r="Z2940"/>
  <c r="O2943"/>
  <c r="Z2939"/>
  <c r="O2942"/>
  <c r="D2942" s="1"/>
  <c r="Z2938"/>
  <c r="O2941"/>
  <c r="D2941" s="1"/>
  <c r="Z2937"/>
  <c r="O2940"/>
  <c r="D2940" s="1"/>
  <c r="Z2936"/>
  <c r="O2939"/>
  <c r="D2939" s="1"/>
  <c r="Z2935"/>
  <c r="O2938"/>
  <c r="D2938" s="1"/>
  <c r="Z2934"/>
  <c r="O2937"/>
  <c r="D2937" s="1"/>
  <c r="Z2933"/>
  <c r="O2936"/>
  <c r="D2936" s="1"/>
  <c r="Z2932"/>
  <c r="O2935"/>
  <c r="D2935" s="1"/>
  <c r="Z2931"/>
  <c r="O2934"/>
  <c r="D2934" s="1"/>
  <c r="Z2930"/>
  <c r="R2933"/>
  <c r="W2933" s="1"/>
  <c r="O2933"/>
  <c r="Z2929"/>
  <c r="R2932"/>
  <c r="W2932" s="1"/>
  <c r="O2932"/>
  <c r="Z2928"/>
  <c r="R2931"/>
  <c r="W2931" s="1"/>
  <c r="O2931"/>
  <c r="Z2927"/>
  <c r="R2930"/>
  <c r="W2930" s="1"/>
  <c r="O2930"/>
  <c r="Z2926"/>
  <c r="R2929"/>
  <c r="W2929" s="1"/>
  <c r="O2929"/>
  <c r="Z2925"/>
  <c r="R2928"/>
  <c r="W2928" s="1"/>
  <c r="O2928"/>
  <c r="Z2924"/>
  <c r="R2927"/>
  <c r="W2927" s="1"/>
  <c r="O2927"/>
  <c r="Z2923"/>
  <c r="R2926"/>
  <c r="W2926" s="1"/>
  <c r="O2926"/>
  <c r="Z2922"/>
  <c r="R2925"/>
  <c r="W2925" s="1"/>
  <c r="O2925"/>
  <c r="Z2921"/>
  <c r="O2924"/>
  <c r="Z2920"/>
  <c r="O2923"/>
  <c r="Z2919"/>
  <c r="R2922"/>
  <c r="W2922" s="1"/>
  <c r="O2922"/>
  <c r="Z2918"/>
  <c r="R2921"/>
  <c r="W2921" s="1"/>
  <c r="O2921"/>
  <c r="Z2917"/>
  <c r="R2920"/>
  <c r="W2920" s="1"/>
  <c r="O2920"/>
  <c r="Z2916"/>
  <c r="R2919"/>
  <c r="W2919" s="1"/>
  <c r="O2919"/>
  <c r="Z2915"/>
  <c r="R2918"/>
  <c r="W2918" s="1"/>
  <c r="O2918"/>
  <c r="Z2914"/>
  <c r="O2917"/>
  <c r="Z2913"/>
  <c r="R2916"/>
  <c r="W2916" s="1"/>
  <c r="O2916"/>
  <c r="Z2912"/>
  <c r="R2915"/>
  <c r="W2915" s="1"/>
  <c r="O2915"/>
  <c r="Z2911"/>
  <c r="R2914"/>
  <c r="W2914" s="1"/>
  <c r="O2914"/>
  <c r="B2913"/>
  <c r="Z2909"/>
  <c r="R2912"/>
  <c r="W2912" s="1"/>
  <c r="O2912"/>
  <c r="Z2908"/>
  <c r="R2911"/>
  <c r="W2911" s="1"/>
  <c r="O2911"/>
  <c r="D2911"/>
  <c r="Z2907"/>
  <c r="R2910"/>
  <c r="W2910" s="1"/>
  <c r="O2910"/>
  <c r="Z2906"/>
  <c r="R2909"/>
  <c r="W2909" s="1"/>
  <c r="O2909"/>
  <c r="Z2905"/>
  <c r="R2908"/>
  <c r="W2908" s="1"/>
  <c r="O2908"/>
  <c r="Z2904"/>
  <c r="R2907"/>
  <c r="W2907" s="1"/>
  <c r="O2907"/>
  <c r="Z2903"/>
  <c r="R2906"/>
  <c r="W2906" s="1"/>
  <c r="O2906"/>
  <c r="Z2902"/>
  <c r="R2905"/>
  <c r="W2905" s="1"/>
  <c r="O2905"/>
  <c r="Z2901"/>
  <c r="R2904"/>
  <c r="W2904" s="1"/>
  <c r="O2904"/>
  <c r="Z2900"/>
  <c r="R2903"/>
  <c r="W2903" s="1"/>
  <c r="O2903"/>
  <c r="Z2899"/>
  <c r="R2902"/>
  <c r="W2902" s="1"/>
  <c r="O2902"/>
  <c r="Z2898"/>
  <c r="R2901"/>
  <c r="W2901" s="1"/>
  <c r="O2901"/>
  <c r="Z2897"/>
  <c r="R2900"/>
  <c r="W2900" s="1"/>
  <c r="O2900"/>
  <c r="Z2896"/>
  <c r="R2899"/>
  <c r="W2899" s="1"/>
  <c r="O2899"/>
  <c r="Z2895"/>
  <c r="R2898"/>
  <c r="W2898" s="1"/>
  <c r="O2898"/>
  <c r="Z2894"/>
  <c r="R2897"/>
  <c r="W2897" s="1"/>
  <c r="O2897"/>
  <c r="Z2893"/>
  <c r="R2896"/>
  <c r="W2896" s="1"/>
  <c r="O2896"/>
  <c r="Z2892"/>
  <c r="O2895"/>
  <c r="Z2891"/>
  <c r="R2894"/>
  <c r="W2894" s="1"/>
  <c r="O2894"/>
  <c r="Z2890"/>
  <c r="R2893"/>
  <c r="W2893" s="1"/>
  <c r="O2893"/>
  <c r="B2892"/>
  <c r="Z2888"/>
  <c r="O2891"/>
  <c r="Z2887"/>
  <c r="O2890"/>
  <c r="D2890"/>
  <c r="Z2886"/>
  <c r="O2889"/>
  <c r="D2889" s="1"/>
  <c r="Z2885"/>
  <c r="O2888"/>
  <c r="D2888" s="1"/>
  <c r="Z2884"/>
  <c r="O2887"/>
  <c r="D2887" s="1"/>
  <c r="Z2883"/>
  <c r="O2886"/>
  <c r="D2886" s="1"/>
  <c r="Z2882"/>
  <c r="O2885"/>
  <c r="D2885" s="1"/>
  <c r="Z2881"/>
  <c r="O2884"/>
  <c r="D2884" s="1"/>
  <c r="Z2880"/>
  <c r="O2883"/>
  <c r="D2883" s="1"/>
  <c r="Z2879"/>
  <c r="O2882"/>
  <c r="Z2878"/>
  <c r="O2881"/>
  <c r="D2881" s="1"/>
  <c r="Z2877"/>
  <c r="O2880"/>
  <c r="Z2876"/>
  <c r="O2879"/>
  <c r="D2879" s="1"/>
  <c r="Z2875"/>
  <c r="O2878"/>
  <c r="D2878" s="1"/>
  <c r="Z2874"/>
  <c r="O2877"/>
  <c r="D2877" s="1"/>
  <c r="Z2873"/>
  <c r="O2876"/>
  <c r="D2876" s="1"/>
  <c r="Z2872"/>
  <c r="O2875"/>
  <c r="D2875" s="1"/>
  <c r="Z2871"/>
  <c r="O2874"/>
  <c r="D2874" s="1"/>
  <c r="Z2870"/>
  <c r="O2873"/>
  <c r="D2873" s="1"/>
  <c r="Z2869"/>
  <c r="O2872"/>
  <c r="D2872" s="1"/>
  <c r="Z2868"/>
  <c r="O2871"/>
  <c r="D2871" s="1"/>
  <c r="Z2867"/>
  <c r="O2870"/>
  <c r="Z2866"/>
  <c r="O2869"/>
  <c r="D2869" s="1"/>
  <c r="Z2865"/>
  <c r="O2868"/>
  <c r="Z2864"/>
  <c r="R2867"/>
  <c r="W2867" s="1"/>
  <c r="O2867"/>
  <c r="Z2863"/>
  <c r="R2866"/>
  <c r="W2866" s="1"/>
  <c r="O2866"/>
  <c r="Z2862"/>
  <c r="R2865"/>
  <c r="W2865" s="1"/>
  <c r="O2865"/>
  <c r="Z2861"/>
  <c r="R2864"/>
  <c r="W2864" s="1"/>
  <c r="O2864"/>
  <c r="Z2860"/>
  <c r="R2863"/>
  <c r="W2863" s="1"/>
  <c r="O2863"/>
  <c r="Z2859"/>
  <c r="R2862"/>
  <c r="W2862" s="1"/>
  <c r="O2862"/>
  <c r="Z2858"/>
  <c r="R2861"/>
  <c r="W2861" s="1"/>
  <c r="O2861"/>
  <c r="Z2857"/>
  <c r="R2860"/>
  <c r="W2860" s="1"/>
  <c r="O2860"/>
  <c r="Z2856"/>
  <c r="R2859"/>
  <c r="W2859" s="1"/>
  <c r="O2859"/>
  <c r="Z2855"/>
  <c r="R2858"/>
  <c r="W2858" s="1"/>
  <c r="O2858"/>
  <c r="Z2854"/>
  <c r="R2857"/>
  <c r="W2857" s="1"/>
  <c r="O2857"/>
  <c r="Z2853"/>
  <c r="O2856"/>
  <c r="Z2852"/>
  <c r="O2855"/>
  <c r="Z2851"/>
  <c r="R2854"/>
  <c r="W2854" s="1"/>
  <c r="O2854"/>
  <c r="Z2850"/>
  <c r="R2853"/>
  <c r="W2853" s="1"/>
  <c r="O2853"/>
  <c r="Z2849"/>
  <c r="O2852"/>
  <c r="Z2848"/>
  <c r="O2851"/>
  <c r="Z2847"/>
  <c r="R2850"/>
  <c r="W2850" s="1"/>
  <c r="O2850"/>
  <c r="B2849"/>
  <c r="Z2845"/>
  <c r="Z2844"/>
  <c r="R2847"/>
  <c r="W2847" s="1"/>
  <c r="O2847"/>
  <c r="Z2843"/>
  <c r="R2846"/>
  <c r="W2846" s="1"/>
  <c r="O2846"/>
  <c r="D2846"/>
  <c r="C2846"/>
  <c r="Z2842"/>
  <c r="R2845"/>
  <c r="W2845" s="1"/>
  <c r="O2845"/>
  <c r="Z2841"/>
  <c r="R2844"/>
  <c r="W2844" s="1"/>
  <c r="O2844"/>
  <c r="Z2840"/>
  <c r="R2843"/>
  <c r="W2843" s="1"/>
  <c r="O2843"/>
  <c r="Z2839"/>
  <c r="R2842"/>
  <c r="W2842" s="1"/>
  <c r="O2842"/>
  <c r="Z2838"/>
  <c r="R2841"/>
  <c r="W2841" s="1"/>
  <c r="O2841"/>
  <c r="Z2837"/>
  <c r="R2840"/>
  <c r="W2840" s="1"/>
  <c r="O2840"/>
  <c r="Z2836"/>
  <c r="R2839"/>
  <c r="W2839" s="1"/>
  <c r="O2839"/>
  <c r="Z2835"/>
  <c r="R2838"/>
  <c r="W2838" s="1"/>
  <c r="O2838"/>
  <c r="Z2834"/>
  <c r="O2837"/>
  <c r="Z2833"/>
  <c r="O2836"/>
  <c r="Z2832"/>
  <c r="O2835"/>
  <c r="Z2831"/>
  <c r="O2834"/>
  <c r="Z2830"/>
  <c r="O2833"/>
  <c r="Z2829"/>
  <c r="O2832"/>
  <c r="Z2828"/>
  <c r="O2831"/>
  <c r="Z2827"/>
  <c r="O2830"/>
  <c r="Z2826"/>
  <c r="O2829"/>
  <c r="Z2825"/>
  <c r="O2828"/>
  <c r="Z2824"/>
  <c r="O2827"/>
  <c r="Z2823"/>
  <c r="O2826"/>
  <c r="Z2822"/>
  <c r="O2825"/>
  <c r="Z2821"/>
  <c r="O2824"/>
  <c r="Z2820"/>
  <c r="O2823"/>
  <c r="Z2819"/>
  <c r="O2822"/>
  <c r="Z2818"/>
  <c r="O2821"/>
  <c r="Z2817"/>
  <c r="O2820"/>
  <c r="Z2816"/>
  <c r="R2819"/>
  <c r="W2819" s="1"/>
  <c r="O2819"/>
  <c r="Z2815"/>
  <c r="O2818"/>
  <c r="Z2814"/>
  <c r="R2817"/>
  <c r="W2817" s="1"/>
  <c r="O2817"/>
  <c r="Z2813"/>
  <c r="R2816"/>
  <c r="W2816" s="1"/>
  <c r="O2816"/>
  <c r="B2815"/>
  <c r="Z2811"/>
  <c r="O2814"/>
  <c r="Z2810"/>
  <c r="O2813"/>
  <c r="Z2809"/>
  <c r="R2812"/>
  <c r="W2812" s="1"/>
  <c r="O2812"/>
  <c r="Z2808"/>
  <c r="R2811"/>
  <c r="W2811" s="1"/>
  <c r="O2811"/>
  <c r="D2811"/>
  <c r="Z2807"/>
  <c r="R2810"/>
  <c r="W2810" s="1"/>
  <c r="O2810"/>
  <c r="Z2806"/>
  <c r="R2809"/>
  <c r="W2809" s="1"/>
  <c r="O2809"/>
  <c r="Z2805"/>
  <c r="R2808"/>
  <c r="W2808" s="1"/>
  <c r="O2808"/>
  <c r="Z2804"/>
  <c r="R2807"/>
  <c r="W2807" s="1"/>
  <c r="O2807"/>
  <c r="Z2803"/>
  <c r="R2806"/>
  <c r="W2806" s="1"/>
  <c r="O2806"/>
  <c r="Z2802"/>
  <c r="R2805"/>
  <c r="W2805" s="1"/>
  <c r="O2805"/>
  <c r="Z2801"/>
  <c r="O2804"/>
  <c r="Z2800"/>
  <c r="O2803"/>
  <c r="Z2799"/>
  <c r="O2802"/>
  <c r="Z2798"/>
  <c r="O2801"/>
  <c r="Z2797"/>
  <c r="O2800"/>
  <c r="Z2796"/>
  <c r="O2799"/>
  <c r="Z2795"/>
  <c r="O2798"/>
  <c r="Z2794"/>
  <c r="O2797"/>
  <c r="Z2793"/>
  <c r="O2796"/>
  <c r="Z2792"/>
  <c r="O2795"/>
  <c r="Z2791"/>
  <c r="O2794"/>
  <c r="Z2790"/>
  <c r="O2793"/>
  <c r="Z2789"/>
  <c r="O2792"/>
  <c r="Z2788"/>
  <c r="O2791"/>
  <c r="Z2787"/>
  <c r="O2790"/>
  <c r="Z2786"/>
  <c r="O2789"/>
  <c r="Z2785"/>
  <c r="O2788"/>
  <c r="Z2784"/>
  <c r="O2787"/>
  <c r="Z2783"/>
  <c r="O2786"/>
  <c r="Z2782"/>
  <c r="O2785"/>
  <c r="Z2781"/>
  <c r="O2784"/>
  <c r="Z2780"/>
  <c r="O2783"/>
  <c r="Z2779"/>
  <c r="O2782"/>
  <c r="Z2778"/>
  <c r="O2781"/>
  <c r="Z2777"/>
  <c r="O2780"/>
  <c r="Z2776"/>
  <c r="O2779"/>
  <c r="Z2775"/>
  <c r="O2778"/>
  <c r="Z2774"/>
  <c r="O2777"/>
  <c r="Z2773"/>
  <c r="O2776"/>
  <c r="Z2772"/>
  <c r="O2775"/>
  <c r="Z2771"/>
  <c r="R2774"/>
  <c r="W2774" s="1"/>
  <c r="O2774"/>
  <c r="Z2770"/>
  <c r="R2773"/>
  <c r="W2773" s="1"/>
  <c r="O2773"/>
  <c r="Z2769"/>
  <c r="R2772"/>
  <c r="W2772" s="1"/>
  <c r="O2772"/>
  <c r="B2771"/>
  <c r="Z2767"/>
  <c r="R2770"/>
  <c r="W2770" s="1"/>
  <c r="O2770"/>
  <c r="Z2766"/>
  <c r="R2769"/>
  <c r="W2769" s="1"/>
  <c r="O2769"/>
  <c r="D2769"/>
  <c r="Z2765"/>
  <c r="R2768"/>
  <c r="W2768" s="1"/>
  <c r="O2768"/>
  <c r="Z2764"/>
  <c r="R2767"/>
  <c r="W2767" s="1"/>
  <c r="O2767"/>
  <c r="Z2763"/>
  <c r="R2766"/>
  <c r="W2766" s="1"/>
  <c r="O2766"/>
  <c r="Z2762"/>
  <c r="R2765"/>
  <c r="W2765" s="1"/>
  <c r="O2765"/>
  <c r="Z2761"/>
  <c r="O2764"/>
  <c r="Z2760"/>
  <c r="O2763"/>
  <c r="Z2759"/>
  <c r="R2762"/>
  <c r="W2762" s="1"/>
  <c r="O2762"/>
  <c r="D2762"/>
  <c r="Z2758"/>
  <c r="R2761"/>
  <c r="W2761" s="1"/>
  <c r="O2761"/>
  <c r="B2760"/>
  <c r="Z2756"/>
  <c r="O2759"/>
  <c r="Z2755"/>
  <c r="O2758"/>
  <c r="Z2754"/>
  <c r="O2757"/>
  <c r="Z2753"/>
  <c r="R2756"/>
  <c r="W2756" s="1"/>
  <c r="O2756"/>
  <c r="Z2752"/>
  <c r="R2755"/>
  <c r="W2755" s="1"/>
  <c r="O2755"/>
  <c r="Z2751"/>
  <c r="R2754"/>
  <c r="W2754" s="1"/>
  <c r="O2754"/>
  <c r="Z2750"/>
  <c r="O2753"/>
  <c r="Z2749"/>
  <c r="R2752"/>
  <c r="W2752" s="1"/>
  <c r="O2752"/>
  <c r="D2752"/>
  <c r="Z2748"/>
  <c r="R2751"/>
  <c r="W2751" s="1"/>
  <c r="O2751"/>
  <c r="Z2747"/>
  <c r="R2750"/>
  <c r="W2750" s="1"/>
  <c r="O2750"/>
  <c r="Z2746"/>
  <c r="R2749"/>
  <c r="W2749" s="1"/>
  <c r="O2749"/>
  <c r="Z2745"/>
  <c r="R2748"/>
  <c r="W2748" s="1"/>
  <c r="O2748"/>
  <c r="Z2744"/>
  <c r="R2747"/>
  <c r="W2747" s="1"/>
  <c r="O2747"/>
  <c r="Z2743"/>
  <c r="R2746"/>
  <c r="W2746" s="1"/>
  <c r="O2746"/>
  <c r="Z2742"/>
  <c r="R2745"/>
  <c r="W2745" s="1"/>
  <c r="O2745"/>
  <c r="Z2741"/>
  <c r="R2744"/>
  <c r="W2744" s="1"/>
  <c r="O2744"/>
  <c r="Z2740"/>
  <c r="R2743"/>
  <c r="W2743" s="1"/>
  <c r="O2743"/>
  <c r="B2742"/>
  <c r="Z2738"/>
  <c r="O2741"/>
  <c r="Z2737"/>
  <c r="O2740"/>
  <c r="Z2736"/>
  <c r="O2739"/>
  <c r="Z2735"/>
  <c r="O2738"/>
  <c r="Z2734"/>
  <c r="R2737"/>
  <c r="W2737" s="1"/>
  <c r="O2737"/>
  <c r="Z2733"/>
  <c r="R2736"/>
  <c r="W2736" s="1"/>
  <c r="O2736"/>
  <c r="Z2732"/>
  <c r="R2735"/>
  <c r="W2735" s="1"/>
  <c r="O2735"/>
  <c r="D2735"/>
  <c r="Z2731"/>
  <c r="R2734"/>
  <c r="W2734" s="1"/>
  <c r="O2734"/>
  <c r="Z2730"/>
  <c r="R2733"/>
  <c r="W2733" s="1"/>
  <c r="O2733"/>
  <c r="Z2729"/>
  <c r="R2732"/>
  <c r="W2732" s="1"/>
  <c r="O2732"/>
  <c r="Z2728"/>
  <c r="R2731"/>
  <c r="W2731" s="1"/>
  <c r="O2731"/>
  <c r="Z2727"/>
  <c r="R2730"/>
  <c r="W2730" s="1"/>
  <c r="O2730"/>
  <c r="Z2726"/>
  <c r="R2729"/>
  <c r="W2729" s="1"/>
  <c r="O2729"/>
  <c r="Z2725"/>
  <c r="R2728"/>
  <c r="W2728" s="1"/>
  <c r="O2728"/>
  <c r="Z2724"/>
  <c r="R2727"/>
  <c r="W2727" s="1"/>
  <c r="O2727"/>
  <c r="Z2723"/>
  <c r="R2726"/>
  <c r="W2726" s="1"/>
  <c r="O2726"/>
  <c r="Z2722"/>
  <c r="R2725"/>
  <c r="W2725" s="1"/>
  <c r="O2725"/>
  <c r="Z2721"/>
  <c r="R2724"/>
  <c r="W2724" s="1"/>
  <c r="O2724"/>
  <c r="Z2720"/>
  <c r="R2723"/>
  <c r="W2723" s="1"/>
  <c r="O2723"/>
  <c r="Z2719"/>
  <c r="R2722"/>
  <c r="W2722" s="1"/>
  <c r="O2722"/>
  <c r="Z2718"/>
  <c r="R2721"/>
  <c r="W2721" s="1"/>
  <c r="O2721"/>
  <c r="Z2717"/>
  <c r="R2720"/>
  <c r="W2720" s="1"/>
  <c r="O2720"/>
  <c r="Z2716"/>
  <c r="R2719"/>
  <c r="W2719" s="1"/>
  <c r="O2719"/>
  <c r="Z2715"/>
  <c r="R2718"/>
  <c r="W2718" s="1"/>
  <c r="O2718"/>
  <c r="Z2714"/>
  <c r="O2717"/>
  <c r="Z2713"/>
  <c r="O2716"/>
  <c r="Z2712"/>
  <c r="O2715"/>
  <c r="Z2711"/>
  <c r="O2714"/>
  <c r="Z2710"/>
  <c r="O2713"/>
  <c r="Z2709"/>
  <c r="O2712"/>
  <c r="Z2708"/>
  <c r="O2711"/>
  <c r="Z2707"/>
  <c r="O2710"/>
  <c r="Z2706"/>
  <c r="O2709"/>
  <c r="Z2705"/>
  <c r="O2708"/>
  <c r="Z2704"/>
  <c r="O2707"/>
  <c r="Z2703"/>
  <c r="O2706"/>
  <c r="Z2702"/>
  <c r="O2705"/>
  <c r="Z2701"/>
  <c r="O2704"/>
  <c r="Z2700"/>
  <c r="O2703"/>
  <c r="Z2699"/>
  <c r="O2702"/>
  <c r="Z2698"/>
  <c r="O2701"/>
  <c r="Z2697"/>
  <c r="O2700"/>
  <c r="Z2696"/>
  <c r="O2699"/>
  <c r="Z2695"/>
  <c r="O2698"/>
  <c r="Z2694"/>
  <c r="O2697"/>
  <c r="Z2693"/>
  <c r="O2696"/>
  <c r="Z2692"/>
  <c r="O2695"/>
  <c r="B2694"/>
  <c r="Z2690"/>
  <c r="O2693"/>
  <c r="Z2689"/>
  <c r="O2692"/>
  <c r="Z2688"/>
  <c r="O2691"/>
  <c r="D2691"/>
  <c r="Z2687"/>
  <c r="O2690"/>
  <c r="Z2686"/>
  <c r="O2689"/>
  <c r="Z2685"/>
  <c r="O2688"/>
  <c r="Z2684"/>
  <c r="O2687"/>
  <c r="Z2683"/>
  <c r="O2686"/>
  <c r="Z2682"/>
  <c r="O2685"/>
  <c r="Z2681"/>
  <c r="O2684"/>
  <c r="Z2680"/>
  <c r="O2683"/>
  <c r="Z2679"/>
  <c r="R2682"/>
  <c r="W2682" s="1"/>
  <c r="O2682"/>
  <c r="Z2678"/>
  <c r="R2681"/>
  <c r="W2681" s="1"/>
  <c r="O2681"/>
  <c r="Z2677"/>
  <c r="R2680"/>
  <c r="W2680" s="1"/>
  <c r="O2680"/>
  <c r="Z2676"/>
  <c r="R2679"/>
  <c r="W2679" s="1"/>
  <c r="O2679"/>
  <c r="Z2675"/>
  <c r="R2678"/>
  <c r="W2678" s="1"/>
  <c r="O2678"/>
  <c r="Z2674"/>
  <c r="R2677"/>
  <c r="W2677" s="1"/>
  <c r="O2677"/>
  <c r="Z2673"/>
  <c r="O2676"/>
  <c r="Z2672"/>
  <c r="T2675"/>
  <c r="X2675" s="1"/>
  <c r="O2675"/>
  <c r="Z2671"/>
  <c r="T2674"/>
  <c r="O2674"/>
  <c r="Z2670"/>
  <c r="O2673"/>
  <c r="Z2669"/>
  <c r="O2672"/>
  <c r="Z2668"/>
  <c r="O2671"/>
  <c r="B2670"/>
  <c r="Z2666"/>
  <c r="O2669"/>
  <c r="Z2665"/>
  <c r="O2668"/>
  <c r="Z2664"/>
  <c r="O2667"/>
  <c r="Z2663"/>
  <c r="O2666"/>
  <c r="Z2662"/>
  <c r="O2665"/>
  <c r="Z2661"/>
  <c r="O2664"/>
  <c r="Z2660"/>
  <c r="O2663"/>
  <c r="D2663"/>
  <c r="Z2659"/>
  <c r="O2662"/>
  <c r="Z2658"/>
  <c r="O2661"/>
  <c r="Z2657"/>
  <c r="O2660"/>
  <c r="Z2656"/>
  <c r="O2659"/>
  <c r="Z2655"/>
  <c r="O2658"/>
  <c r="Z2654"/>
  <c r="O2657"/>
  <c r="Z2653"/>
  <c r="O2656"/>
  <c r="Z2652"/>
  <c r="O2655"/>
  <c r="Z2651"/>
  <c r="O2654"/>
  <c r="B2653"/>
  <c r="Z2649"/>
  <c r="O2652"/>
  <c r="Z2648"/>
  <c r="O2651"/>
  <c r="Z2647"/>
  <c r="O2650"/>
  <c r="D2650"/>
  <c r="Z2646"/>
  <c r="O2649"/>
  <c r="Z2645"/>
  <c r="O2648"/>
  <c r="Z2644"/>
  <c r="O2647"/>
  <c r="Z2643"/>
  <c r="O2646"/>
  <c r="Z2642"/>
  <c r="O2645"/>
  <c r="Z2641"/>
  <c r="O2644"/>
  <c r="Z2640"/>
  <c r="O2643"/>
  <c r="Z2639"/>
  <c r="O2642"/>
  <c r="Z2638"/>
  <c r="O2641"/>
  <c r="Z2637"/>
  <c r="O2640"/>
  <c r="Z2636"/>
  <c r="O2639"/>
  <c r="Z2635"/>
  <c r="O2638"/>
  <c r="Z2634"/>
  <c r="O2637"/>
  <c r="Z2633"/>
  <c r="O2636"/>
  <c r="Z2632"/>
  <c r="O2635"/>
  <c r="Z2631"/>
  <c r="O2634"/>
  <c r="Z2630"/>
  <c r="O2633"/>
  <c r="Z2629"/>
  <c r="O2632"/>
  <c r="Z2628"/>
  <c r="O2631"/>
  <c r="B2630"/>
  <c r="Z2625"/>
  <c r="Z2624"/>
  <c r="O2627"/>
  <c r="Z2623"/>
  <c r="O2626"/>
  <c r="Z2622"/>
  <c r="O2625"/>
  <c r="Z2621"/>
  <c r="O2624"/>
  <c r="Z2620"/>
  <c r="O2623"/>
  <c r="Z2619"/>
  <c r="O2622"/>
  <c r="Z2618"/>
  <c r="O2621"/>
  <c r="Z2617"/>
  <c r="O2620"/>
  <c r="Z2616"/>
  <c r="O2619"/>
  <c r="Z2615"/>
  <c r="O2618"/>
  <c r="Z2614"/>
  <c r="O2617"/>
  <c r="Z2613"/>
  <c r="O2616"/>
  <c r="Z2612"/>
  <c r="O2615"/>
  <c r="Z2611"/>
  <c r="O2614"/>
  <c r="Z2610"/>
  <c r="O2613"/>
  <c r="D2612"/>
  <c r="B2612"/>
  <c r="Z2607"/>
  <c r="O2610"/>
  <c r="D2609"/>
  <c r="Z2605"/>
  <c r="O2608"/>
  <c r="Z2604"/>
  <c r="O2607"/>
  <c r="D2607"/>
  <c r="C2607"/>
  <c r="Z2603"/>
  <c r="O2606"/>
  <c r="Z2602"/>
  <c r="O2605"/>
  <c r="Z2601"/>
  <c r="O2604"/>
  <c r="Z2600"/>
  <c r="O2603"/>
  <c r="Z2599"/>
  <c r="O2602"/>
  <c r="Z2598"/>
  <c r="O2601"/>
  <c r="Z2597"/>
  <c r="O2600"/>
  <c r="Z2596"/>
  <c r="O2599"/>
  <c r="Z2595"/>
  <c r="O2598"/>
  <c r="Z2594"/>
  <c r="O2597"/>
  <c r="Z2593"/>
  <c r="O2596"/>
  <c r="Z2592"/>
  <c r="O2595"/>
  <c r="Z2591"/>
  <c r="O2594"/>
  <c r="Z2590"/>
  <c r="O2593"/>
  <c r="Z2589"/>
  <c r="O2592"/>
  <c r="Z2588"/>
  <c r="O2591"/>
  <c r="Z2587"/>
  <c r="O2590"/>
  <c r="Z2586"/>
  <c r="O2589"/>
  <c r="Z2585"/>
  <c r="O2588"/>
  <c r="Z2584"/>
  <c r="O2587"/>
  <c r="Z2583"/>
  <c r="O2586"/>
  <c r="Z2582"/>
  <c r="O2585"/>
  <c r="Z2581"/>
  <c r="O2584"/>
  <c r="Z2580"/>
  <c r="O2583"/>
  <c r="Z2579"/>
  <c r="O2582"/>
  <c r="Z2578"/>
  <c r="O2581"/>
  <c r="Z2577"/>
  <c r="O2580"/>
  <c r="Z2576"/>
  <c r="O2579"/>
  <c r="Z2575"/>
  <c r="O2578"/>
  <c r="B2577"/>
  <c r="Z2573"/>
  <c r="O2576"/>
  <c r="Z2572"/>
  <c r="O2575"/>
  <c r="Z2571"/>
  <c r="O2574"/>
  <c r="Z2570"/>
  <c r="O2573"/>
  <c r="Z2569"/>
  <c r="O2572"/>
  <c r="Z2568"/>
  <c r="O2571"/>
  <c r="Z2567"/>
  <c r="O2570"/>
  <c r="Z2566"/>
  <c r="O2569"/>
  <c r="D2569"/>
  <c r="Z2565"/>
  <c r="O2568"/>
  <c r="Z2564"/>
  <c r="O2567"/>
  <c r="Z2563"/>
  <c r="O2566"/>
  <c r="Z2562"/>
  <c r="O2565"/>
  <c r="Z2561"/>
  <c r="O2564"/>
  <c r="Z2560"/>
  <c r="O2563"/>
  <c r="Z2559"/>
  <c r="O2562"/>
  <c r="Z2558"/>
  <c r="O2561"/>
  <c r="Z2557"/>
  <c r="O2560"/>
  <c r="Z2556"/>
  <c r="O2559"/>
  <c r="Z2555"/>
  <c r="O2558"/>
  <c r="Z2554"/>
  <c r="O2557"/>
  <c r="Z2553"/>
  <c r="O2556"/>
  <c r="Z2552"/>
  <c r="O2555"/>
  <c r="Z2551"/>
  <c r="O2554"/>
  <c r="Z2550"/>
  <c r="O2553"/>
  <c r="Z2549"/>
  <c r="O2552"/>
  <c r="Z2548"/>
  <c r="O2551"/>
  <c r="Z2547"/>
  <c r="O2550"/>
  <c r="Z2546"/>
  <c r="O2549"/>
  <c r="Z2545"/>
  <c r="O2548"/>
  <c r="B2547"/>
  <c r="Z2543"/>
  <c r="O2546"/>
  <c r="Z2542"/>
  <c r="O2545"/>
  <c r="D2545"/>
  <c r="Z2541"/>
  <c r="O2544"/>
  <c r="Z2540"/>
  <c r="O2543"/>
  <c r="Z2539"/>
  <c r="O2542"/>
  <c r="Z2538"/>
  <c r="O2541"/>
  <c r="Z2537"/>
  <c r="O2540"/>
  <c r="Z2536"/>
  <c r="O2539"/>
  <c r="Z2535"/>
  <c r="O2538"/>
  <c r="Z2534"/>
  <c r="O2537"/>
  <c r="Z2533"/>
  <c r="O2536"/>
  <c r="Z2532"/>
  <c r="O2535"/>
  <c r="Z2531"/>
  <c r="O2534"/>
  <c r="Z2530"/>
  <c r="O2533"/>
  <c r="Z2529"/>
  <c r="O2532"/>
  <c r="Z2528"/>
  <c r="O2531"/>
  <c r="Z2527"/>
  <c r="O2530"/>
  <c r="Z2526"/>
  <c r="O2529"/>
  <c r="Z2525"/>
  <c r="O2528"/>
  <c r="Z2524"/>
  <c r="O2527"/>
  <c r="Z2523"/>
  <c r="O2526"/>
  <c r="Z2522"/>
  <c r="O2525"/>
  <c r="Z2521"/>
  <c r="O2524"/>
  <c r="Z2520"/>
  <c r="O2523"/>
  <c r="Z2519"/>
  <c r="O2522"/>
  <c r="Z2518"/>
  <c r="O2521"/>
  <c r="Z2517"/>
  <c r="O2520"/>
  <c r="Z2516"/>
  <c r="O2519"/>
  <c r="Z2515"/>
  <c r="O2518"/>
  <c r="B2517"/>
  <c r="Z2513"/>
  <c r="O2516"/>
  <c r="Z2512"/>
  <c r="O2515"/>
  <c r="Z2511"/>
  <c r="O2514"/>
  <c r="Z2510"/>
  <c r="O2513"/>
  <c r="Z2509"/>
  <c r="O2512"/>
  <c r="D2512"/>
  <c r="Z2508"/>
  <c r="O2511"/>
  <c r="Z2507"/>
  <c r="O2510"/>
  <c r="Z2506"/>
  <c r="O2509"/>
  <c r="Z2505"/>
  <c r="O2508"/>
  <c r="Z2504"/>
  <c r="O2507"/>
  <c r="Z2503"/>
  <c r="O2506"/>
  <c r="Z2502"/>
  <c r="O2505"/>
  <c r="Z2501"/>
  <c r="O2504"/>
  <c r="Z2500"/>
  <c r="O2503"/>
  <c r="Z2499"/>
  <c r="O2502"/>
  <c r="Z2498"/>
  <c r="O2501"/>
  <c r="Z2497"/>
  <c r="O2500"/>
  <c r="Z2496"/>
  <c r="O2499"/>
  <c r="Z2495"/>
  <c r="O2498"/>
  <c r="Z2494"/>
  <c r="O2497"/>
  <c r="Z2493"/>
  <c r="O2496"/>
  <c r="Z2492"/>
  <c r="O2495"/>
  <c r="Z2491"/>
  <c r="O2494"/>
  <c r="Z2490"/>
  <c r="O2493"/>
  <c r="B2492"/>
  <c r="Z2488"/>
  <c r="O2491"/>
  <c r="Z2487"/>
  <c r="O2490"/>
  <c r="Z2486"/>
  <c r="O2489"/>
  <c r="Z2485"/>
  <c r="O2488"/>
  <c r="Z2484"/>
  <c r="O2487"/>
  <c r="Z2483"/>
  <c r="O2486"/>
  <c r="Z2482"/>
  <c r="R2485"/>
  <c r="W2485" s="1"/>
  <c r="O2485"/>
  <c r="Z2481"/>
  <c r="R2484"/>
  <c r="W2484" s="1"/>
  <c r="O2484"/>
  <c r="D2484"/>
  <c r="Z2480"/>
  <c r="R2483"/>
  <c r="W2483" s="1"/>
  <c r="O2483"/>
  <c r="Z2479"/>
  <c r="R2482"/>
  <c r="W2482" s="1"/>
  <c r="O2482"/>
  <c r="Z2478"/>
  <c r="R2481"/>
  <c r="W2481" s="1"/>
  <c r="O2481"/>
  <c r="Z2477"/>
  <c r="O2480"/>
  <c r="Z2476"/>
  <c r="O2479"/>
  <c r="Z2475"/>
  <c r="O2478"/>
  <c r="Z2474"/>
  <c r="O2477"/>
  <c r="Z2473"/>
  <c r="O2476"/>
  <c r="Z2472"/>
  <c r="O2475"/>
  <c r="Z2471"/>
  <c r="O2474"/>
  <c r="Z2470"/>
  <c r="O2473"/>
  <c r="Z2469"/>
  <c r="O2472"/>
  <c r="Z2468"/>
  <c r="O2471"/>
  <c r="Z2467"/>
  <c r="O2470"/>
  <c r="Z2466"/>
  <c r="O2469"/>
  <c r="Z2465"/>
  <c r="O2468"/>
  <c r="Z2464"/>
  <c r="O2467"/>
  <c r="Z2463"/>
  <c r="O2466"/>
  <c r="Z2462"/>
  <c r="O2465"/>
  <c r="Z2461"/>
  <c r="O2464"/>
  <c r="Z2460"/>
  <c r="O2463"/>
  <c r="Z2459"/>
  <c r="O2462"/>
  <c r="Z2458"/>
  <c r="O2461"/>
  <c r="Z2457"/>
  <c r="O2460"/>
  <c r="Z2456"/>
  <c r="O2459"/>
  <c r="Z2455"/>
  <c r="O2458"/>
  <c r="Z2454"/>
  <c r="O2457"/>
  <c r="B2456"/>
  <c r="Z2452"/>
  <c r="O2455"/>
  <c r="Z2451"/>
  <c r="O2454"/>
  <c r="Z2450"/>
  <c r="R2453"/>
  <c r="W2453" s="1"/>
  <c r="O2453"/>
  <c r="Z2449"/>
  <c r="R2452"/>
  <c r="W2452" s="1"/>
  <c r="O2452"/>
  <c r="D2452"/>
  <c r="Z2448"/>
  <c r="R2451"/>
  <c r="W2451" s="1"/>
  <c r="O2451"/>
  <c r="Z2447"/>
  <c r="R2450"/>
  <c r="W2450" s="1"/>
  <c r="O2450"/>
  <c r="Z2446"/>
  <c r="O2449"/>
  <c r="Z2445"/>
  <c r="O2448"/>
  <c r="Z2444"/>
  <c r="O2447"/>
  <c r="Z2443"/>
  <c r="O2446"/>
  <c r="Z2442"/>
  <c r="O2445"/>
  <c r="Z2441"/>
  <c r="O2444"/>
  <c r="Z2440"/>
  <c r="O2443"/>
  <c r="Z2439"/>
  <c r="O2442"/>
  <c r="Z2438"/>
  <c r="O2441"/>
  <c r="Z2437"/>
  <c r="O2440"/>
  <c r="Z2436"/>
  <c r="O2439"/>
  <c r="Z2435"/>
  <c r="O2438"/>
  <c r="Z2434"/>
  <c r="O2437"/>
  <c r="Z2433"/>
  <c r="O2436"/>
  <c r="Z2432"/>
  <c r="O2435"/>
  <c r="Z2431"/>
  <c r="O2434"/>
  <c r="Z2430"/>
  <c r="O2433"/>
  <c r="Z2429"/>
  <c r="R2432"/>
  <c r="W2432" s="1"/>
  <c r="O2432"/>
  <c r="Z2428"/>
  <c r="T2431"/>
  <c r="X2431" s="1"/>
  <c r="R2431"/>
  <c r="W2431" s="1"/>
  <c r="O2431"/>
  <c r="Z2427"/>
  <c r="R2430"/>
  <c r="W2430" s="1"/>
  <c r="O2430"/>
  <c r="Z2426"/>
  <c r="R2429"/>
  <c r="W2429" s="1"/>
  <c r="O2429"/>
  <c r="B2428"/>
  <c r="Z2424"/>
  <c r="O2427"/>
  <c r="Z2423"/>
  <c r="O2426"/>
  <c r="Z2422"/>
  <c r="O2425"/>
  <c r="D2425"/>
  <c r="Z2421"/>
  <c r="O2424"/>
  <c r="Z2420"/>
  <c r="O2423"/>
  <c r="Z2419"/>
  <c r="O2422"/>
  <c r="Z2418"/>
  <c r="O2421"/>
  <c r="Z2417"/>
  <c r="O2420"/>
  <c r="Z2416"/>
  <c r="O2419"/>
  <c r="Z2415"/>
  <c r="O2418"/>
  <c r="Z2414"/>
  <c r="O2417"/>
  <c r="Z2413"/>
  <c r="O2416"/>
  <c r="Z2412"/>
  <c r="O2415"/>
  <c r="Z2411"/>
  <c r="O2414"/>
  <c r="Z2410"/>
  <c r="O2413"/>
  <c r="Z2409"/>
  <c r="O2412"/>
  <c r="Z2408"/>
  <c r="O2411"/>
  <c r="Z2407"/>
  <c r="O2410"/>
  <c r="Z2406"/>
  <c r="O2409"/>
  <c r="Z2405"/>
  <c r="O2408"/>
  <c r="Z2404"/>
  <c r="O2407"/>
  <c r="Z2403"/>
  <c r="O2406"/>
  <c r="Z2402"/>
  <c r="O2405"/>
  <c r="Z2401"/>
  <c r="O2404"/>
  <c r="Z2400"/>
  <c r="O2403"/>
  <c r="Z2399"/>
  <c r="O2402"/>
  <c r="Z2397"/>
  <c r="O2400"/>
  <c r="D2400"/>
  <c r="Z2396"/>
  <c r="O2399"/>
  <c r="D2399" s="1"/>
  <c r="Z2395"/>
  <c r="O2398"/>
  <c r="Z2394"/>
  <c r="O2397"/>
  <c r="Z2393"/>
  <c r="O2396"/>
  <c r="Z2392"/>
  <c r="O2395"/>
  <c r="Z2391"/>
  <c r="O2394"/>
  <c r="Z2390"/>
  <c r="O2393"/>
  <c r="Z2389"/>
  <c r="O2392"/>
  <c r="Z2388"/>
  <c r="O2391"/>
  <c r="Z2387"/>
  <c r="O2390"/>
  <c r="Z2386"/>
  <c r="O2389"/>
  <c r="Z2385"/>
  <c r="O2388"/>
  <c r="Z2384"/>
  <c r="O2387"/>
  <c r="Z2383"/>
  <c r="O2386"/>
  <c r="Z2382"/>
  <c r="O2385"/>
  <c r="Z2381"/>
  <c r="O2384"/>
  <c r="Z2380"/>
  <c r="O2383"/>
  <c r="Z2379"/>
  <c r="O2382"/>
  <c r="Z2378"/>
  <c r="O2381"/>
  <c r="Z2377"/>
  <c r="O2380"/>
  <c r="Z2376"/>
  <c r="O2379"/>
  <c r="Z2375"/>
  <c r="O2378"/>
  <c r="Z2374"/>
  <c r="O2377"/>
  <c r="Z2372"/>
  <c r="O2375"/>
  <c r="Z2371"/>
  <c r="O2374"/>
  <c r="Z2370"/>
  <c r="O2373"/>
  <c r="D2373"/>
  <c r="Z2369"/>
  <c r="O2372"/>
  <c r="Z2368"/>
  <c r="O2371"/>
  <c r="Z2367"/>
  <c r="O2370"/>
  <c r="Z2366"/>
  <c r="O2369"/>
  <c r="Z2365"/>
  <c r="O2368"/>
  <c r="Z2364"/>
  <c r="O2367"/>
  <c r="Z2363"/>
  <c r="O2366"/>
  <c r="Z2362"/>
  <c r="O2365"/>
  <c r="Z2361"/>
  <c r="O2364"/>
  <c r="Z2360"/>
  <c r="O2363"/>
  <c r="Z2359"/>
  <c r="O2362"/>
  <c r="Z2358"/>
  <c r="O2361"/>
  <c r="Z2357"/>
  <c r="O2360"/>
  <c r="Z2356"/>
  <c r="O2359"/>
  <c r="Z2354"/>
  <c r="O2357"/>
  <c r="Z2353"/>
  <c r="O2356"/>
  <c r="D2356"/>
  <c r="Z2352"/>
  <c r="O2355"/>
  <c r="Z2351"/>
  <c r="O2354"/>
  <c r="Z2350"/>
  <c r="O2353"/>
  <c r="Z2349"/>
  <c r="O2352"/>
  <c r="Z2348"/>
  <c r="O2351"/>
  <c r="Z2347"/>
  <c r="O2350"/>
  <c r="Z2346"/>
  <c r="O2349"/>
  <c r="Z2345"/>
  <c r="O2348"/>
  <c r="Z2344"/>
  <c r="O2347"/>
  <c r="Z2343"/>
  <c r="O2346"/>
  <c r="Z2342"/>
  <c r="O2345"/>
  <c r="Z2341"/>
  <c r="O2344"/>
  <c r="Z2340"/>
  <c r="O2343"/>
  <c r="Z2339"/>
  <c r="O2342"/>
  <c r="Z2338"/>
  <c r="O2341"/>
  <c r="Z2337"/>
  <c r="O2340"/>
  <c r="Z2336"/>
  <c r="O2339"/>
  <c r="Z2335"/>
  <c r="O2338"/>
  <c r="Z2332"/>
  <c r="O2335"/>
  <c r="Z2331"/>
  <c r="O2334"/>
  <c r="Z2330"/>
  <c r="O2333"/>
  <c r="C2333"/>
  <c r="Z2329"/>
  <c r="O2332"/>
  <c r="Z2328"/>
  <c r="O2331"/>
  <c r="Z2327"/>
  <c r="O2330"/>
  <c r="Z2326"/>
  <c r="O2329"/>
  <c r="Z2325"/>
  <c r="O2328"/>
  <c r="Z2324"/>
  <c r="O2327"/>
  <c r="C2327" s="1"/>
  <c r="Z2323"/>
  <c r="O2326"/>
  <c r="Z2322"/>
  <c r="O2325"/>
  <c r="Z2321"/>
  <c r="O2324"/>
  <c r="Z2320"/>
  <c r="O2323"/>
  <c r="Z2319"/>
  <c r="O2322"/>
  <c r="Z2318"/>
  <c r="O2321"/>
  <c r="Z2317"/>
  <c r="O2320"/>
  <c r="Z2316"/>
  <c r="R2319"/>
  <c r="W2319" s="1"/>
  <c r="O2319"/>
  <c r="D2318"/>
  <c r="Z2314"/>
  <c r="O2317"/>
  <c r="Z2313"/>
  <c r="O2316"/>
  <c r="D2316"/>
  <c r="Z2312"/>
  <c r="O2315"/>
  <c r="Z2311"/>
  <c r="O2314"/>
  <c r="Z2310"/>
  <c r="O2313"/>
  <c r="Z2309"/>
  <c r="O2312"/>
  <c r="Z2308"/>
  <c r="O2311"/>
  <c r="Z2307"/>
  <c r="O2310"/>
  <c r="Z2306"/>
  <c r="O2309"/>
  <c r="Z2305"/>
  <c r="O2308"/>
  <c r="Z2304"/>
  <c r="O2307"/>
  <c r="Z2303"/>
  <c r="O2306"/>
  <c r="Z2302"/>
  <c r="O2305"/>
  <c r="Z2301"/>
  <c r="O2304"/>
  <c r="Z2300"/>
  <c r="O2303"/>
  <c r="Z2299"/>
  <c r="O2302"/>
  <c r="Z2298"/>
  <c r="O2301"/>
  <c r="Z2297"/>
  <c r="O2300"/>
  <c r="Z2296"/>
  <c r="O2299"/>
  <c r="Z2295"/>
  <c r="O2298"/>
  <c r="Z2294"/>
  <c r="O2297"/>
  <c r="Z2293"/>
  <c r="O2296"/>
  <c r="Z2292"/>
  <c r="O2295"/>
  <c r="Z2291"/>
  <c r="O2294"/>
  <c r="Z2290"/>
  <c r="R2293"/>
  <c r="W2293" s="1"/>
  <c r="O2293"/>
  <c r="Z2289"/>
  <c r="R2292"/>
  <c r="W2292" s="1"/>
  <c r="O2292"/>
  <c r="Z2288"/>
  <c r="O2291"/>
  <c r="Z2287"/>
  <c r="O2290"/>
  <c r="Z2286"/>
  <c r="O2289"/>
  <c r="Z2285"/>
  <c r="O2288"/>
  <c r="Z2284"/>
  <c r="O2287"/>
  <c r="Z2283"/>
  <c r="O2286"/>
  <c r="Z2282"/>
  <c r="O2285"/>
  <c r="Z2281"/>
  <c r="O2284"/>
  <c r="Z2280"/>
  <c r="O2283"/>
  <c r="Z2279"/>
  <c r="O2282"/>
  <c r="Z2278"/>
  <c r="O2281"/>
  <c r="Z2277"/>
  <c r="O2280"/>
  <c r="Z2276"/>
  <c r="O2279"/>
  <c r="Z2275"/>
  <c r="O2278"/>
  <c r="Z2274"/>
  <c r="O2277"/>
  <c r="Z2273"/>
  <c r="O2276"/>
  <c r="Z2272"/>
  <c r="O2275"/>
  <c r="Z2271"/>
  <c r="O2274"/>
  <c r="Z2270"/>
  <c r="O2273"/>
  <c r="Z2268"/>
  <c r="R2271"/>
  <c r="W2271" s="1"/>
  <c r="O2271"/>
  <c r="Z2267"/>
  <c r="R2270"/>
  <c r="W2270" s="1"/>
  <c r="O2270"/>
  <c r="D2270"/>
  <c r="Z2266"/>
  <c r="R2269"/>
  <c r="W2269" s="1"/>
  <c r="O2269"/>
  <c r="Z2265"/>
  <c r="R2268"/>
  <c r="W2268" s="1"/>
  <c r="O2268"/>
  <c r="Z2264"/>
  <c r="R2267"/>
  <c r="W2267" s="1"/>
  <c r="O2267"/>
  <c r="Z2263"/>
  <c r="R2266"/>
  <c r="W2266" s="1"/>
  <c r="O2266"/>
  <c r="Z2262"/>
  <c r="R2265"/>
  <c r="W2265" s="1"/>
  <c r="O2265"/>
  <c r="Z2261"/>
  <c r="R2264"/>
  <c r="W2264" s="1"/>
  <c r="O2264"/>
  <c r="Z2260"/>
  <c r="R2263"/>
  <c r="W2263" s="1"/>
  <c r="O2263"/>
  <c r="Z2259"/>
  <c r="R2262"/>
  <c r="W2262" s="1"/>
  <c r="O2262"/>
  <c r="Z2258"/>
  <c r="R2261"/>
  <c r="W2261" s="1"/>
  <c r="O2261"/>
  <c r="Z2257"/>
  <c r="R2260"/>
  <c r="W2260" s="1"/>
  <c r="O2260"/>
  <c r="Z2256"/>
  <c r="R2259"/>
  <c r="W2259" s="1"/>
  <c r="O2259"/>
  <c r="Z2255"/>
  <c r="R2258"/>
  <c r="W2258" s="1"/>
  <c r="O2258"/>
  <c r="Z2254"/>
  <c r="R2257"/>
  <c r="W2257" s="1"/>
  <c r="O2257"/>
  <c r="Z2253"/>
  <c r="R2256"/>
  <c r="W2256" s="1"/>
  <c r="O2256"/>
  <c r="Z2252"/>
  <c r="O2255"/>
  <c r="Z2251"/>
  <c r="R2254"/>
  <c r="W2254" s="1"/>
  <c r="O2254"/>
  <c r="Z2250"/>
  <c r="R2253"/>
  <c r="W2253" s="1"/>
  <c r="O2253"/>
  <c r="Z2249"/>
  <c r="R2252"/>
  <c r="W2252" s="1"/>
  <c r="O2252"/>
  <c r="Z2248"/>
  <c r="R2251"/>
  <c r="W2251" s="1"/>
  <c r="O2251"/>
  <c r="Z2247"/>
  <c r="O2250"/>
  <c r="Z2246"/>
  <c r="O2249"/>
  <c r="Z2245"/>
  <c r="O2248"/>
  <c r="Z2244"/>
  <c r="O2247"/>
  <c r="D2247"/>
  <c r="C2247"/>
  <c r="Z2242"/>
  <c r="O2245"/>
  <c r="Z2241"/>
  <c r="O2244"/>
  <c r="Z2240"/>
  <c r="O2243"/>
  <c r="Z2239"/>
  <c r="O2242"/>
  <c r="Z2238"/>
  <c r="O2241"/>
  <c r="Z2237"/>
  <c r="O2240"/>
  <c r="Z2236"/>
  <c r="O2239"/>
  <c r="Z2235"/>
  <c r="O2238"/>
  <c r="Z2234"/>
  <c r="O2237"/>
  <c r="Z2233"/>
  <c r="O2236"/>
  <c r="Z2232"/>
  <c r="O2235"/>
  <c r="Z2231"/>
  <c r="O2234"/>
  <c r="Z2230"/>
  <c r="O2233"/>
  <c r="Z2229"/>
  <c r="O2232"/>
  <c r="Z2228"/>
  <c r="O2231"/>
  <c r="Z2227"/>
  <c r="O2230"/>
  <c r="Z2226"/>
  <c r="O2229"/>
  <c r="Z2225"/>
  <c r="O2228"/>
  <c r="Z2224"/>
  <c r="O2227"/>
  <c r="Z2223"/>
  <c r="O2226"/>
  <c r="Z2222"/>
  <c r="O2225"/>
  <c r="Z2221"/>
  <c r="O2224"/>
  <c r="Z2220"/>
  <c r="O2223"/>
  <c r="Z2219"/>
  <c r="O2222"/>
  <c r="Z2218"/>
  <c r="O2221"/>
  <c r="Z2217"/>
  <c r="O2220"/>
  <c r="Z2216"/>
  <c r="O2219"/>
  <c r="Z2215"/>
  <c r="O2218"/>
  <c r="Z2214"/>
  <c r="O2217"/>
  <c r="Z2213"/>
  <c r="O2216"/>
  <c r="Z2212"/>
  <c r="O2215"/>
  <c r="Z2211"/>
  <c r="O2214"/>
  <c r="Z2210"/>
  <c r="O2213"/>
  <c r="Z2209"/>
  <c r="O2212"/>
  <c r="Z2208"/>
  <c r="O2211"/>
  <c r="D2210"/>
  <c r="Z2206"/>
  <c r="O2209"/>
  <c r="Z2205"/>
  <c r="O2208"/>
  <c r="Z2204"/>
  <c r="O2207"/>
  <c r="Z2203"/>
  <c r="O2206"/>
  <c r="Z2202"/>
  <c r="O2205"/>
  <c r="D2204"/>
  <c r="Z2198"/>
  <c r="O2201"/>
  <c r="Z2197"/>
  <c r="O2200"/>
  <c r="Z2196"/>
  <c r="O2199"/>
  <c r="Z2195"/>
  <c r="O2198"/>
  <c r="Z2194"/>
  <c r="O2197"/>
  <c r="Z2193"/>
  <c r="O2196"/>
  <c r="Z2192"/>
  <c r="O2195"/>
  <c r="Z2191"/>
  <c r="O2194"/>
  <c r="Z2190"/>
  <c r="O2193"/>
  <c r="Z2189"/>
  <c r="O2192"/>
  <c r="Z2188"/>
  <c r="O2191"/>
  <c r="Z2187"/>
  <c r="O2190"/>
  <c r="Z2186"/>
  <c r="Z2185"/>
  <c r="Z2184"/>
  <c r="Z2183"/>
  <c r="Z2182"/>
  <c r="Z2181"/>
  <c r="Z2180"/>
  <c r="Z2179"/>
  <c r="Z2178"/>
  <c r="Z2177"/>
  <c r="Z2176"/>
  <c r="O2179"/>
  <c r="Z2175"/>
  <c r="O2178"/>
  <c r="D2178"/>
  <c r="Z2174"/>
  <c r="O2177"/>
  <c r="Z2173"/>
  <c r="O2176"/>
  <c r="Z2172"/>
  <c r="O2175"/>
  <c r="Z2171"/>
  <c r="O2174"/>
  <c r="Z2170"/>
  <c r="O2173"/>
  <c r="Z2169"/>
  <c r="O2172"/>
  <c r="Z2168"/>
  <c r="O2171"/>
  <c r="Z2167"/>
  <c r="O2170"/>
  <c r="Z2166"/>
  <c r="O2169"/>
  <c r="Z2165"/>
  <c r="O2168"/>
  <c r="Z2164"/>
  <c r="O2167"/>
  <c r="Z2163"/>
  <c r="O2166"/>
  <c r="Z2162"/>
  <c r="O2165"/>
  <c r="Z2161"/>
  <c r="O2164"/>
  <c r="Z2160"/>
  <c r="O2163"/>
  <c r="Z2159"/>
  <c r="O2162"/>
  <c r="Z2158"/>
  <c r="O2161"/>
  <c r="Z2157"/>
  <c r="O2160"/>
  <c r="Z2156"/>
  <c r="O2159"/>
  <c r="Z2155"/>
  <c r="O2158"/>
  <c r="Z2154"/>
  <c r="O2157"/>
  <c r="Z2153"/>
  <c r="O2156"/>
  <c r="Z2152"/>
  <c r="O2155"/>
  <c r="Z2151"/>
  <c r="O2154"/>
  <c r="Z2149"/>
  <c r="O2152"/>
  <c r="Z2148"/>
  <c r="O2151"/>
  <c r="Z2147"/>
  <c r="O2150"/>
  <c r="Z2146"/>
  <c r="O2149"/>
  <c r="D2149"/>
  <c r="Z2145"/>
  <c r="O2148"/>
  <c r="Z2144"/>
  <c r="O2147"/>
  <c r="Z2143"/>
  <c r="O2146"/>
  <c r="Z2142"/>
  <c r="O2145"/>
  <c r="Z2141"/>
  <c r="O2144"/>
  <c r="Z2140"/>
  <c r="O2143"/>
  <c r="Z2139"/>
  <c r="O2142"/>
  <c r="Z2138"/>
  <c r="O2141"/>
  <c r="Z2137"/>
  <c r="O2140"/>
  <c r="Z2136"/>
  <c r="O2139"/>
  <c r="Z2135"/>
  <c r="O2138"/>
  <c r="Z2134"/>
  <c r="O2137"/>
  <c r="Z2133"/>
  <c r="O2136"/>
  <c r="Z2132"/>
  <c r="O2135"/>
  <c r="Z2131"/>
  <c r="O2134"/>
  <c r="Z2130"/>
  <c r="O2133"/>
  <c r="Z2129"/>
  <c r="O2132"/>
  <c r="Z2128"/>
  <c r="O2131"/>
  <c r="Z2127"/>
  <c r="O2130"/>
  <c r="Z2126"/>
  <c r="O2129"/>
  <c r="Z2125"/>
  <c r="O2128"/>
  <c r="Z2124"/>
  <c r="O2127"/>
  <c r="Z2123"/>
  <c r="O2126"/>
  <c r="Z2122"/>
  <c r="O2125"/>
  <c r="Z2121"/>
  <c r="O2124"/>
  <c r="Z2120"/>
  <c r="O2123"/>
  <c r="Z2119"/>
  <c r="O2122"/>
  <c r="Z2118"/>
  <c r="O2121"/>
  <c r="Z2117"/>
  <c r="O2120"/>
  <c r="Z2116"/>
  <c r="O2119"/>
  <c r="Z2114"/>
  <c r="O2117"/>
  <c r="Z2113"/>
  <c r="O2116"/>
  <c r="D2116"/>
  <c r="Z2112"/>
  <c r="O2115"/>
  <c r="Z2111"/>
  <c r="O2114"/>
  <c r="Z2110"/>
  <c r="O2113"/>
  <c r="Z2109"/>
  <c r="O2112"/>
  <c r="Z2108"/>
  <c r="O2111"/>
  <c r="Z2107"/>
  <c r="O2110"/>
  <c r="Z2106"/>
  <c r="O2109"/>
  <c r="Z2105"/>
  <c r="O2108"/>
  <c r="Z2104"/>
  <c r="O2107"/>
  <c r="Z2103"/>
  <c r="O2106"/>
  <c r="Z2102"/>
  <c r="O2105"/>
  <c r="Z2101"/>
  <c r="O2104"/>
  <c r="Z2100"/>
  <c r="O2103"/>
  <c r="Z2099"/>
  <c r="O2102"/>
  <c r="Z2098"/>
  <c r="O2101"/>
  <c r="Z2097"/>
  <c r="O2100"/>
  <c r="Z2096"/>
  <c r="O2099"/>
  <c r="Z2095"/>
  <c r="O2098"/>
  <c r="Z2094"/>
  <c r="O2097"/>
  <c r="Z2093"/>
  <c r="O2096"/>
  <c r="Z2092"/>
  <c r="O2095"/>
  <c r="Z2091"/>
  <c r="O2094"/>
  <c r="Z2090"/>
  <c r="O2093"/>
  <c r="Z2089"/>
  <c r="O2092"/>
  <c r="Z2087"/>
  <c r="O2090"/>
  <c r="Z2086"/>
  <c r="R2089"/>
  <c r="W2089" s="1"/>
  <c r="O2089"/>
  <c r="D2088"/>
  <c r="Z2084"/>
  <c r="O2087"/>
  <c r="Z2083"/>
  <c r="O2086"/>
  <c r="Z2082"/>
  <c r="O2085"/>
  <c r="Z2081"/>
  <c r="O2084"/>
  <c r="Z2080"/>
  <c r="O2083"/>
  <c r="Z2079"/>
  <c r="O2082"/>
  <c r="Z2078"/>
  <c r="O2081"/>
  <c r="Z2077"/>
  <c r="O2080"/>
  <c r="Z2076"/>
  <c r="O2079"/>
  <c r="Z2075"/>
  <c r="O2078"/>
  <c r="D2077"/>
  <c r="Z2073"/>
  <c r="O2076"/>
  <c r="C2076"/>
  <c r="Z2072"/>
  <c r="O2075"/>
  <c r="D2075"/>
  <c r="Z2071"/>
  <c r="O2074"/>
  <c r="Z2070"/>
  <c r="O2073"/>
  <c r="Z2069"/>
  <c r="O2072"/>
  <c r="Z2068"/>
  <c r="O2071"/>
  <c r="Z2067"/>
  <c r="O2070"/>
  <c r="Z2066"/>
  <c r="O2069"/>
  <c r="Z2065"/>
  <c r="O2068"/>
  <c r="Z2064"/>
  <c r="O2067"/>
  <c r="Z2063"/>
  <c r="O2066"/>
  <c r="Z2062"/>
  <c r="O2065"/>
  <c r="Z2061"/>
  <c r="O2064"/>
  <c r="Z2060"/>
  <c r="O2063"/>
  <c r="Z2059"/>
  <c r="O2062"/>
  <c r="Z2058"/>
  <c r="O2061"/>
  <c r="Z2057"/>
  <c r="O2060"/>
  <c r="Z2056"/>
  <c r="O2059"/>
  <c r="Z2055"/>
  <c r="O2058"/>
  <c r="Z2054"/>
  <c r="O2057"/>
  <c r="Z2053"/>
  <c r="O2056"/>
  <c r="Z2052"/>
  <c r="O2055"/>
  <c r="Z2051"/>
  <c r="Z2050"/>
  <c r="Z2049"/>
  <c r="Z2048"/>
  <c r="Z2047"/>
  <c r="Z2046"/>
  <c r="Z2045"/>
  <c r="Z2044"/>
  <c r="Z2043"/>
  <c r="Z2042"/>
  <c r="Z2040"/>
  <c r="O2043"/>
  <c r="Z2039"/>
  <c r="O2042"/>
  <c r="D2042"/>
  <c r="Z2038"/>
  <c r="O2041"/>
  <c r="Z2037"/>
  <c r="O2040"/>
  <c r="Z2036"/>
  <c r="O2039"/>
  <c r="Z2035"/>
  <c r="O2038"/>
  <c r="Z2034"/>
  <c r="O2037"/>
  <c r="Z2033"/>
  <c r="O2036"/>
  <c r="Z2032"/>
  <c r="O2035"/>
  <c r="Z2031"/>
  <c r="O2034"/>
  <c r="Z2030"/>
  <c r="O2033"/>
  <c r="Z2029"/>
  <c r="O2032"/>
  <c r="Z2028"/>
  <c r="O2031"/>
  <c r="Z2027"/>
  <c r="O2030"/>
  <c r="Z2026"/>
  <c r="O2029"/>
  <c r="Z2025"/>
  <c r="O2028"/>
  <c r="Z2024"/>
  <c r="O2027"/>
  <c r="Z2023"/>
  <c r="O2026"/>
  <c r="Z2022"/>
  <c r="O2025"/>
  <c r="Z2021"/>
  <c r="O2024"/>
  <c r="Z2020"/>
  <c r="O2023"/>
  <c r="Z2019"/>
  <c r="O2022"/>
  <c r="Z2018"/>
  <c r="O2021"/>
  <c r="Z2017"/>
  <c r="O2020"/>
  <c r="Z2016"/>
  <c r="O2019"/>
  <c r="Z2015"/>
  <c r="O2018"/>
  <c r="Z2014"/>
  <c r="O2017"/>
  <c r="Z2013"/>
  <c r="R2016"/>
  <c r="W2016" s="1"/>
  <c r="O2016"/>
  <c r="Z2012"/>
  <c r="O2015"/>
  <c r="Z2011"/>
  <c r="O2014"/>
  <c r="Z2010"/>
  <c r="O2013"/>
  <c r="Z2009"/>
  <c r="O2012"/>
  <c r="Z2008"/>
  <c r="R2011"/>
  <c r="W2011" s="1"/>
  <c r="O2011"/>
  <c r="Z2007"/>
  <c r="R2010"/>
  <c r="W2010" s="1"/>
  <c r="O2010"/>
  <c r="Z2006"/>
  <c r="R2009"/>
  <c r="W2009" s="1"/>
  <c r="O2009"/>
  <c r="Z2005"/>
  <c r="R2008"/>
  <c r="W2008" s="1"/>
  <c r="O2008"/>
  <c r="Z2004"/>
  <c r="R2007"/>
  <c r="W2007" s="1"/>
  <c r="O2007"/>
  <c r="D2006"/>
  <c r="Z2002"/>
  <c r="O2005"/>
  <c r="Z2001"/>
  <c r="O2004"/>
  <c r="D2004"/>
  <c r="Z2000"/>
  <c r="O2003"/>
  <c r="Z1999"/>
  <c r="O2002"/>
  <c r="Z1998"/>
  <c r="O2001"/>
  <c r="Z1997"/>
  <c r="O2000"/>
  <c r="Z1996"/>
  <c r="O1999"/>
  <c r="Z1995"/>
  <c r="O1998"/>
  <c r="Z1994"/>
  <c r="O1997"/>
  <c r="Z1993"/>
  <c r="O1996"/>
  <c r="Z1992"/>
  <c r="O1995"/>
  <c r="Z1991"/>
  <c r="O1994"/>
  <c r="Z1990"/>
  <c r="O1993"/>
  <c r="Z1989"/>
  <c r="O1992"/>
  <c r="Z1988"/>
  <c r="O1991"/>
  <c r="Z1987"/>
  <c r="O1990"/>
  <c r="Z1986"/>
  <c r="O1989"/>
  <c r="Z1985"/>
  <c r="O1988"/>
  <c r="Z1984"/>
  <c r="O1987"/>
  <c r="Z1983"/>
  <c r="O1986"/>
  <c r="Z1982"/>
  <c r="O1985"/>
  <c r="Z1981"/>
  <c r="O1984"/>
  <c r="Z1980"/>
  <c r="O1983"/>
  <c r="Z1979"/>
  <c r="O1982"/>
  <c r="Z1978"/>
  <c r="O1981"/>
  <c r="Z1977"/>
  <c r="O1980"/>
  <c r="Z1976"/>
  <c r="R1979"/>
  <c r="W1979" s="1"/>
  <c r="O1979"/>
  <c r="Z1975"/>
  <c r="R1978"/>
  <c r="W1978" s="1"/>
  <c r="O1978"/>
  <c r="Z1974"/>
  <c r="R1977"/>
  <c r="W1977" s="1"/>
  <c r="O1977"/>
  <c r="Z1973"/>
  <c r="R1976"/>
  <c r="W1976" s="1"/>
  <c r="O1976"/>
  <c r="Z1972"/>
  <c r="R1975"/>
  <c r="W1975" s="1"/>
  <c r="O1975"/>
  <c r="Z1971"/>
  <c r="R1974"/>
  <c r="W1974" s="1"/>
  <c r="O1974"/>
  <c r="Z1969"/>
  <c r="O1972"/>
  <c r="Z1968"/>
  <c r="O1971"/>
  <c r="Z1967"/>
  <c r="O1970"/>
  <c r="Z1966"/>
  <c r="R1969"/>
  <c r="W1969" s="1"/>
  <c r="O1969"/>
  <c r="Z1965"/>
  <c r="R1968"/>
  <c r="W1968" s="1"/>
  <c r="O1968"/>
  <c r="Z1964"/>
  <c r="Z1963"/>
  <c r="Z1962"/>
  <c r="Z1961"/>
  <c r="D1964"/>
  <c r="Z1960"/>
  <c r="D1963"/>
  <c r="Z1959"/>
  <c r="D1962"/>
  <c r="Z1958"/>
  <c r="D1961"/>
  <c r="Z1957"/>
  <c r="D1960"/>
  <c r="Z1956"/>
  <c r="O1959"/>
  <c r="Z1954"/>
  <c r="Z1953"/>
  <c r="D1956"/>
  <c r="Z1952"/>
  <c r="D1955"/>
  <c r="Z1951"/>
  <c r="D1954"/>
  <c r="Z1950"/>
  <c r="D1953"/>
  <c r="Z1949"/>
  <c r="D1952"/>
  <c r="Z1948"/>
  <c r="D1951"/>
  <c r="Z1947"/>
  <c r="O1950"/>
  <c r="Z1946"/>
  <c r="Z1945"/>
  <c r="Z1944"/>
  <c r="Z1943"/>
  <c r="Z1942"/>
  <c r="Z1941"/>
  <c r="Z1940"/>
  <c r="Z1939"/>
  <c r="Z1938"/>
  <c r="Z1937"/>
  <c r="Z1936"/>
  <c r="Z1935"/>
  <c r="Z1934"/>
  <c r="Z1933"/>
  <c r="Z1932"/>
  <c r="Z1931"/>
  <c r="Z1930"/>
  <c r="Z1929"/>
  <c r="Z1928"/>
  <c r="Z1927"/>
  <c r="Z1926"/>
  <c r="Z1925"/>
  <c r="Z1924"/>
  <c r="Z1923"/>
  <c r="Z1922"/>
  <c r="O1925"/>
  <c r="Z1921"/>
  <c r="Z1920"/>
  <c r="Z1919"/>
  <c r="Z1918"/>
  <c r="Z1917"/>
  <c r="O1920"/>
  <c r="Z1916"/>
  <c r="Z1915"/>
  <c r="Z1914"/>
  <c r="O1917"/>
  <c r="Z1912"/>
  <c r="Z1911"/>
  <c r="Z1910"/>
  <c r="R1913"/>
  <c r="W1913" s="1"/>
  <c r="Z1909"/>
  <c r="R1912"/>
  <c r="W1912" s="1"/>
  <c r="D1912"/>
  <c r="Z1908"/>
  <c r="R1911"/>
  <c r="W1911" s="1"/>
  <c r="Z1907"/>
  <c r="O1910"/>
  <c r="Z1906"/>
  <c r="O1909"/>
  <c r="Z1905"/>
  <c r="O1908"/>
  <c r="Z1904"/>
  <c r="O1907"/>
  <c r="Z1902"/>
  <c r="Z1901"/>
  <c r="Z1900"/>
  <c r="D1903"/>
  <c r="Z1899"/>
  <c r="D1902"/>
  <c r="Z1898"/>
  <c r="O1901"/>
  <c r="Z1897"/>
  <c r="Z1896"/>
  <c r="Z1895"/>
  <c r="Z1894"/>
  <c r="Z1893"/>
  <c r="Z1892"/>
  <c r="Z1891"/>
  <c r="Z1890"/>
  <c r="Z1889"/>
  <c r="O1892"/>
  <c r="Z1888"/>
  <c r="Z1887"/>
  <c r="Z1886"/>
  <c r="Z1885"/>
  <c r="Z1884"/>
  <c r="Z1883"/>
  <c r="Z1882"/>
  <c r="Z1881"/>
  <c r="Z1880"/>
  <c r="Z1879"/>
  <c r="Z1878"/>
  <c r="O1881"/>
  <c r="Z1877"/>
  <c r="Z1876"/>
  <c r="Z1875"/>
  <c r="Z1874"/>
  <c r="Z1873"/>
  <c r="Z1872"/>
  <c r="O1875"/>
  <c r="Z1870"/>
  <c r="O1873"/>
  <c r="Z1869"/>
  <c r="R1872"/>
  <c r="W1872" s="1"/>
  <c r="O1872"/>
  <c r="D1872"/>
  <c r="Z1868"/>
  <c r="O1871"/>
  <c r="Z1867"/>
  <c r="O1870"/>
  <c r="Z1866"/>
  <c r="O1869"/>
  <c r="Z1865"/>
  <c r="O1868"/>
  <c r="Z1864"/>
  <c r="O1867"/>
  <c r="Z1863"/>
  <c r="O1866"/>
  <c r="Z1862"/>
  <c r="Z1861"/>
  <c r="Z1860"/>
  <c r="Z1859"/>
  <c r="Z1858"/>
  <c r="O1861"/>
  <c r="Z1857"/>
  <c r="Z1856"/>
  <c r="Z1855"/>
  <c r="Z1854"/>
  <c r="Z1853"/>
  <c r="Z1852"/>
  <c r="Z1851"/>
  <c r="Z1850"/>
  <c r="Z1849"/>
  <c r="Z1848"/>
  <c r="O1851"/>
  <c r="Z1847"/>
  <c r="Z1846"/>
  <c r="Z1845"/>
  <c r="Z1844"/>
  <c r="Z1843"/>
  <c r="Z1842"/>
  <c r="Z1841"/>
  <c r="Z1840"/>
  <c r="Z1838"/>
  <c r="O1841"/>
  <c r="Z1837"/>
  <c r="Z1836"/>
  <c r="Z1835"/>
  <c r="Z1834"/>
  <c r="D1837"/>
  <c r="Z1833"/>
  <c r="D1836"/>
  <c r="Z1832"/>
  <c r="D1835"/>
  <c r="Z1831"/>
  <c r="O1834"/>
  <c r="Z1829"/>
  <c r="O1832"/>
  <c r="Z1828"/>
  <c r="O1831"/>
  <c r="Z1827"/>
  <c r="O1830"/>
  <c r="D1830"/>
  <c r="Z1826"/>
  <c r="O1829"/>
  <c r="Z1825"/>
  <c r="O1828"/>
  <c r="Z1824"/>
  <c r="Z1823"/>
  <c r="Z1822"/>
  <c r="O1825"/>
  <c r="Z1821"/>
  <c r="Z1820"/>
  <c r="Z1819"/>
  <c r="Z1818"/>
  <c r="Z1817"/>
  <c r="Z1816"/>
  <c r="Z1815"/>
  <c r="Z1814"/>
  <c r="Z1813"/>
  <c r="Z1812"/>
  <c r="O1815"/>
  <c r="Z1811"/>
  <c r="Z1810"/>
  <c r="Z1809"/>
  <c r="Z1808"/>
  <c r="O1811"/>
  <c r="Z1807"/>
  <c r="O1810"/>
  <c r="Z1806"/>
  <c r="O1809"/>
  <c r="Z1805"/>
  <c r="O1808"/>
  <c r="Z1804"/>
  <c r="O1807"/>
  <c r="Z1803"/>
  <c r="Z1802"/>
  <c r="Z1801"/>
  <c r="Z1800"/>
  <c r="O1803"/>
  <c r="Z1799"/>
  <c r="O1802"/>
  <c r="Z1798"/>
  <c r="O1801"/>
  <c r="Z1797"/>
  <c r="O1800"/>
  <c r="Z1796"/>
  <c r="O1799"/>
  <c r="Z1795"/>
  <c r="O1798"/>
  <c r="Z1794"/>
  <c r="O1797"/>
  <c r="Z1793"/>
  <c r="O1796"/>
  <c r="Z1792"/>
  <c r="O1795"/>
  <c r="Z1791"/>
  <c r="O1794"/>
  <c r="Z1789"/>
  <c r="O1792"/>
  <c r="Z1788"/>
  <c r="O1791"/>
  <c r="Z1787"/>
  <c r="O1790"/>
  <c r="Z1786"/>
  <c r="O1789"/>
  <c r="Z1785"/>
  <c r="O1788"/>
  <c r="D1788"/>
  <c r="Z1784"/>
  <c r="O1787"/>
  <c r="Z1783"/>
  <c r="O1786"/>
  <c r="Z1782"/>
  <c r="O1785"/>
  <c r="Z1781"/>
  <c r="O1784"/>
  <c r="Z1780"/>
  <c r="O1783"/>
  <c r="Z1779"/>
  <c r="O1782"/>
  <c r="Z1778"/>
  <c r="O1781"/>
  <c r="Z1777"/>
  <c r="O1780"/>
  <c r="Z1776"/>
  <c r="O1779"/>
  <c r="Z1775"/>
  <c r="O1778"/>
  <c r="Z1774"/>
  <c r="O1777"/>
  <c r="Z1773"/>
  <c r="O1776"/>
  <c r="Z1772"/>
  <c r="O1775"/>
  <c r="Z1771"/>
  <c r="O1774"/>
  <c r="Z1770"/>
  <c r="O1773"/>
  <c r="Z1769"/>
  <c r="O1772"/>
  <c r="Z1768"/>
  <c r="O1771"/>
  <c r="Z1767"/>
  <c r="O1770"/>
  <c r="Z1766"/>
  <c r="Z1765"/>
  <c r="Z1764"/>
  <c r="Z1763"/>
  <c r="Z1762"/>
  <c r="O1765"/>
  <c r="Z1761"/>
  <c r="Z1760"/>
  <c r="Z1759"/>
  <c r="Z1758"/>
  <c r="Z1757"/>
  <c r="Z1754"/>
  <c r="O1757"/>
  <c r="Z1753"/>
  <c r="Z1752"/>
  <c r="Z1751"/>
  <c r="Z1750"/>
  <c r="D1753"/>
  <c r="C1753"/>
  <c r="Z1749"/>
  <c r="Z1748"/>
  <c r="Z1747"/>
  <c r="O1750"/>
  <c r="Z1746"/>
  <c r="O1749"/>
  <c r="Z1745"/>
  <c r="O1748"/>
  <c r="Z1744"/>
  <c r="O1747"/>
  <c r="Z1743"/>
  <c r="O1746"/>
  <c r="Z1742"/>
  <c r="O1745"/>
  <c r="Z1741"/>
  <c r="O1744"/>
  <c r="Z1740"/>
  <c r="O1743"/>
  <c r="Z1739"/>
  <c r="O1742"/>
  <c r="Z1738"/>
  <c r="O1741"/>
  <c r="Z1737"/>
  <c r="O1740"/>
  <c r="Z1736"/>
  <c r="O1739"/>
  <c r="Z1735"/>
  <c r="O1738"/>
  <c r="Z1734"/>
  <c r="Z1733"/>
  <c r="Z1732"/>
  <c r="Z1731"/>
  <c r="Z1730"/>
  <c r="O1733"/>
  <c r="Z1729"/>
  <c r="Z1728"/>
  <c r="Z1727"/>
  <c r="O1730"/>
  <c r="Z1726"/>
  <c r="O1729"/>
  <c r="Z1725"/>
  <c r="Z1724"/>
  <c r="Z1723"/>
  <c r="Z1722"/>
  <c r="Z1721"/>
  <c r="Z1720"/>
  <c r="Z1719"/>
  <c r="Z1718"/>
  <c r="Z1717"/>
  <c r="Z1716"/>
  <c r="Z1714"/>
  <c r="O1717"/>
  <c r="Z1713"/>
  <c r="O1716"/>
  <c r="Z1712"/>
  <c r="O1715"/>
  <c r="Z1711"/>
  <c r="O1714"/>
  <c r="D1714"/>
  <c r="C1714"/>
  <c r="Z1710"/>
  <c r="O1713"/>
  <c r="Z1709"/>
  <c r="O1712"/>
  <c r="Z1708"/>
  <c r="O1711"/>
  <c r="Z1707"/>
  <c r="O1710"/>
  <c r="Z1706"/>
  <c r="O1709"/>
  <c r="Z1705"/>
  <c r="O1708"/>
  <c r="Z1704"/>
  <c r="O1707"/>
  <c r="Z1703"/>
  <c r="O1706"/>
  <c r="Z1702"/>
  <c r="O1705"/>
  <c r="Z1701"/>
  <c r="O1704"/>
  <c r="Z1700"/>
  <c r="O1703"/>
  <c r="Z1699"/>
  <c r="O1702"/>
  <c r="Z1698"/>
  <c r="O1701"/>
  <c r="Z1697"/>
  <c r="Z1696"/>
  <c r="Z1695"/>
  <c r="Z1694"/>
  <c r="O1697"/>
  <c r="Z1693"/>
  <c r="O1696"/>
  <c r="Z1692"/>
  <c r="O1695"/>
  <c r="Z1691"/>
  <c r="O1694"/>
  <c r="Z1690"/>
  <c r="O1693"/>
  <c r="Z1689"/>
  <c r="Z1688"/>
  <c r="Z1687"/>
  <c r="Z1686"/>
  <c r="Z1685"/>
  <c r="Z1684"/>
  <c r="Z1683"/>
  <c r="Z1682"/>
  <c r="Z1681"/>
  <c r="Z1680"/>
  <c r="O1683"/>
  <c r="Z1678"/>
  <c r="Z1677"/>
  <c r="Z1676"/>
  <c r="O1679"/>
  <c r="Z1675"/>
  <c r="O1678"/>
  <c r="Z1674"/>
  <c r="O1677"/>
  <c r="Z1673"/>
  <c r="O1676"/>
  <c r="Z1672"/>
  <c r="O1675"/>
  <c r="Z1671"/>
  <c r="O1674"/>
  <c r="Z1670"/>
  <c r="O1673"/>
  <c r="Z1669"/>
  <c r="Z1668"/>
  <c r="O1671"/>
  <c r="Z1667"/>
  <c r="O1670"/>
  <c r="Z1666"/>
  <c r="Z1665"/>
  <c r="Z1664"/>
  <c r="O1667"/>
  <c r="Z1663"/>
  <c r="Z1662"/>
  <c r="Z1661"/>
  <c r="O1664"/>
  <c r="Z1660"/>
  <c r="O1663"/>
  <c r="Z1659"/>
  <c r="Z1658"/>
  <c r="Z1657"/>
  <c r="O1660"/>
  <c r="Z1656"/>
  <c r="O1659"/>
  <c r="Z1655"/>
  <c r="O1658"/>
  <c r="Z1654"/>
  <c r="O1657"/>
  <c r="Z1653"/>
  <c r="O1656"/>
  <c r="Z1652"/>
  <c r="O1655"/>
  <c r="Z1651"/>
  <c r="O1654"/>
  <c r="Z1650"/>
  <c r="Z1649"/>
  <c r="Z1648"/>
  <c r="Z1647"/>
  <c r="Z1646"/>
  <c r="Z1645"/>
  <c r="Z1644"/>
  <c r="Z1643"/>
  <c r="Z1642"/>
  <c r="Z1641"/>
  <c r="O1644"/>
  <c r="Z1640"/>
  <c r="Z1639"/>
  <c r="Z1638"/>
  <c r="O1641"/>
  <c r="Z1637"/>
  <c r="O1640"/>
  <c r="Z1636"/>
  <c r="O1639"/>
  <c r="Z1635"/>
  <c r="O1638"/>
  <c r="Z1634"/>
  <c r="O1637"/>
  <c r="Z1633"/>
  <c r="O1636"/>
  <c r="Z1632"/>
  <c r="Z1631"/>
  <c r="O1634"/>
  <c r="Z1630"/>
  <c r="Z1629"/>
  <c r="Z1628"/>
  <c r="Z1627"/>
  <c r="Z1626"/>
  <c r="Z1625"/>
  <c r="Z1624"/>
  <c r="O1627"/>
  <c r="Z1623"/>
  <c r="Z1622"/>
  <c r="Z1621"/>
  <c r="Z1620"/>
  <c r="Z1619"/>
  <c r="O1622"/>
  <c r="Z1618"/>
  <c r="O1621"/>
  <c r="Z1617"/>
  <c r="Z1616"/>
  <c r="Z1615"/>
  <c r="Z1614"/>
  <c r="Z1613"/>
  <c r="Z1612"/>
  <c r="Z1611"/>
  <c r="O1614"/>
  <c r="Z1610"/>
  <c r="Z1609"/>
  <c r="Z1608"/>
  <c r="Z1607"/>
  <c r="Z1606"/>
  <c r="Z1605"/>
  <c r="O1608"/>
  <c r="Z1604"/>
  <c r="O1607"/>
  <c r="Z1603"/>
  <c r="O1606"/>
  <c r="Z1602"/>
  <c r="O1605"/>
  <c r="Z1601"/>
  <c r="O1604"/>
  <c r="Z1600"/>
  <c r="O1603"/>
  <c r="Z1599"/>
  <c r="O1602"/>
  <c r="Z1598"/>
  <c r="O1601"/>
  <c r="Z1597"/>
  <c r="O1600"/>
  <c r="Z1596"/>
  <c r="O1599"/>
  <c r="Z1595"/>
  <c r="O1598"/>
  <c r="Z1594"/>
  <c r="O1597"/>
  <c r="Z1593"/>
  <c r="O1596"/>
  <c r="Z1592"/>
  <c r="O1595"/>
  <c r="Z1591"/>
  <c r="O1594"/>
  <c r="Z1590"/>
  <c r="O1593"/>
  <c r="Z1589"/>
  <c r="O1592"/>
  <c r="Z1588"/>
  <c r="O1591"/>
  <c r="Z1587"/>
  <c r="O1590"/>
  <c r="Z1586"/>
  <c r="O1589"/>
  <c r="Z1585"/>
  <c r="O1588"/>
  <c r="Z1584"/>
  <c r="O1587"/>
  <c r="Z1583"/>
  <c r="O1586"/>
  <c r="Z1582"/>
  <c r="O1585"/>
  <c r="Z1581"/>
  <c r="O1584"/>
  <c r="Z1580"/>
  <c r="O1583"/>
  <c r="Z1579"/>
  <c r="O1582"/>
  <c r="Z1578"/>
  <c r="Z1577"/>
  <c r="Z1576"/>
  <c r="Z1575"/>
  <c r="O1578"/>
  <c r="Z1574"/>
  <c r="O1577"/>
  <c r="Z1573"/>
  <c r="O1576"/>
  <c r="Z1572"/>
  <c r="O1575"/>
  <c r="Z1571"/>
  <c r="O1574"/>
  <c r="Z1570"/>
  <c r="O1573"/>
  <c r="Z1569"/>
  <c r="O1572"/>
  <c r="Z1568"/>
  <c r="O1571"/>
  <c r="Z1567"/>
  <c r="O1570"/>
  <c r="Z1566"/>
  <c r="O1569"/>
  <c r="Z1565"/>
  <c r="O1568"/>
  <c r="Z1564"/>
  <c r="O1567"/>
  <c r="Z1563"/>
  <c r="O1566"/>
  <c r="Z1562"/>
  <c r="O1565"/>
  <c r="Z1561"/>
  <c r="Z1560"/>
  <c r="Z1559"/>
  <c r="Z1558"/>
  <c r="O1561"/>
  <c r="Z1557"/>
  <c r="O1560"/>
  <c r="Z1556"/>
  <c r="O1559"/>
  <c r="Z1555"/>
  <c r="O1558"/>
  <c r="Z1554"/>
  <c r="O1557"/>
  <c r="Z1553"/>
  <c r="O1556"/>
  <c r="Z1552"/>
  <c r="O1555"/>
  <c r="Z1551"/>
  <c r="O1554"/>
  <c r="Z1550"/>
  <c r="O1553"/>
  <c r="Z1549"/>
  <c r="O1552"/>
  <c r="Z1548"/>
  <c r="O1551"/>
  <c r="Z1547"/>
  <c r="O1550"/>
  <c r="Z1546"/>
  <c r="O1549"/>
  <c r="Z1545"/>
  <c r="O1548"/>
  <c r="Z1544"/>
  <c r="O1547"/>
  <c r="Z1543"/>
  <c r="O1546"/>
  <c r="Z1542"/>
  <c r="O1545"/>
  <c r="Z1541"/>
  <c r="O1544"/>
  <c r="Z1540"/>
  <c r="O1543"/>
  <c r="Z1539"/>
  <c r="O1542"/>
  <c r="Z1538"/>
  <c r="O1541"/>
  <c r="Z1537"/>
  <c r="O1540"/>
  <c r="Z1536"/>
  <c r="O1539"/>
  <c r="Z1535"/>
  <c r="O1538"/>
  <c r="Z1534"/>
  <c r="O1537"/>
  <c r="Z1533"/>
  <c r="Z1532"/>
  <c r="Z1531"/>
  <c r="Z1530"/>
  <c r="Z1529"/>
  <c r="Z1528"/>
  <c r="Z1527"/>
  <c r="Z1526"/>
  <c r="Z1525"/>
  <c r="Z1524"/>
  <c r="Z1523"/>
  <c r="Z1522"/>
  <c r="Z1521"/>
  <c r="O1524"/>
  <c r="Z1520"/>
  <c r="O1523"/>
  <c r="Z1519"/>
  <c r="O1522"/>
  <c r="Z1518"/>
  <c r="O1521"/>
  <c r="Z1517"/>
  <c r="O1520"/>
  <c r="Z1516"/>
  <c r="O1519"/>
  <c r="Z1515"/>
  <c r="O1518"/>
  <c r="Z1514"/>
  <c r="O1517"/>
  <c r="Z1513"/>
  <c r="O1516"/>
  <c r="Z1512"/>
  <c r="O1515"/>
  <c r="Z1511"/>
  <c r="O1514"/>
  <c r="Z1510"/>
  <c r="O1513"/>
  <c r="Z1509"/>
  <c r="O1512"/>
  <c r="Z1508"/>
  <c r="O1511"/>
  <c r="Z1507"/>
  <c r="O1510"/>
  <c r="Z1506"/>
  <c r="O1509"/>
  <c r="Z1505"/>
  <c r="O1508"/>
  <c r="Z1504"/>
  <c r="O1507"/>
  <c r="Z1503"/>
  <c r="O1506"/>
  <c r="Z1502"/>
  <c r="O1505"/>
  <c r="Z1501"/>
  <c r="Z1500"/>
  <c r="Z1499"/>
  <c r="Z1498"/>
  <c r="Z1497"/>
  <c r="Z1496"/>
  <c r="Z1495"/>
  <c r="Z1494"/>
  <c r="Z1493"/>
  <c r="Z1492"/>
  <c r="Z1491"/>
  <c r="Z1490"/>
  <c r="Z1489"/>
  <c r="Z1488"/>
  <c r="Z1487"/>
  <c r="Z1486"/>
  <c r="O1489"/>
  <c r="Z1485"/>
  <c r="O1488"/>
  <c r="Z1484"/>
  <c r="O1487"/>
  <c r="Z1483"/>
  <c r="O1486"/>
  <c r="Z1482"/>
  <c r="O1485"/>
  <c r="Z1481"/>
  <c r="O1484"/>
  <c r="Z1480"/>
  <c r="O1483"/>
  <c r="Z1479"/>
  <c r="O1482"/>
  <c r="Z1478"/>
  <c r="O1481"/>
  <c r="Z1477"/>
  <c r="Z1476"/>
  <c r="Z1475"/>
  <c r="Z1474"/>
  <c r="Z1473"/>
  <c r="Z1472"/>
  <c r="Z1471"/>
  <c r="O1474"/>
  <c r="Z1470"/>
  <c r="O1473"/>
  <c r="Z1469"/>
  <c r="O1472"/>
  <c r="Z1468"/>
  <c r="O1471"/>
  <c r="Z1467"/>
  <c r="O1470"/>
  <c r="Z1466"/>
  <c r="O1469"/>
  <c r="Z1465"/>
  <c r="O1468"/>
  <c r="Z1464"/>
  <c r="O1467"/>
  <c r="Z1463"/>
  <c r="O1466"/>
  <c r="Z1462"/>
  <c r="O1465"/>
  <c r="Z1461"/>
  <c r="Z1460"/>
  <c r="O1463"/>
  <c r="Z1459"/>
  <c r="O1462"/>
  <c r="Z1458"/>
  <c r="O1461"/>
  <c r="Z1457"/>
  <c r="O1460"/>
  <c r="Z1456"/>
  <c r="O1459"/>
  <c r="Z1455"/>
  <c r="O1458"/>
  <c r="Z1454"/>
  <c r="O1457"/>
  <c r="Z1453"/>
  <c r="O1456"/>
  <c r="Z1452"/>
  <c r="O1455"/>
  <c r="Z1451"/>
  <c r="O1454"/>
  <c r="Z1450"/>
  <c r="O1453"/>
  <c r="Z1449"/>
  <c r="O1452"/>
  <c r="Z1448"/>
  <c r="Z1447"/>
  <c r="O1450"/>
  <c r="Z1446"/>
  <c r="Z1445"/>
  <c r="Z1444"/>
  <c r="Z1443"/>
  <c r="Z1442"/>
  <c r="Z1441"/>
  <c r="Z1440"/>
  <c r="Z1439"/>
  <c r="O1442"/>
  <c r="Z1438"/>
  <c r="O1441"/>
  <c r="Z1437"/>
  <c r="O1440"/>
  <c r="Z1436"/>
  <c r="O1439"/>
  <c r="Z1435"/>
  <c r="Z1434"/>
  <c r="Z1433"/>
  <c r="Z1432"/>
  <c r="Z1431"/>
  <c r="Z1430"/>
  <c r="Z1429"/>
  <c r="O1432"/>
  <c r="Z1428"/>
  <c r="O1431"/>
  <c r="Z1427"/>
  <c r="Z1426"/>
  <c r="Z1425"/>
  <c r="Z1424"/>
  <c r="Z1423"/>
  <c r="O1426"/>
  <c r="Z1422"/>
  <c r="O1425"/>
  <c r="Z1421"/>
  <c r="O1424"/>
  <c r="Z1420"/>
  <c r="O1423"/>
  <c r="Z1419"/>
  <c r="Z1418"/>
  <c r="Z1417"/>
  <c r="Z1416"/>
  <c r="Z1415"/>
  <c r="Z1414"/>
  <c r="Z1413"/>
  <c r="Z1412"/>
  <c r="Z1411"/>
  <c r="O1414"/>
  <c r="Z1410"/>
  <c r="O1413"/>
  <c r="Z1409"/>
  <c r="O1412"/>
  <c r="Z1408"/>
  <c r="O1411"/>
  <c r="Z1407"/>
  <c r="O1410"/>
  <c r="Z1406"/>
  <c r="O1409"/>
  <c r="Z1405"/>
  <c r="O1408"/>
  <c r="Z1404"/>
  <c r="O1407"/>
  <c r="Z1403"/>
  <c r="O1406"/>
  <c r="Z1402"/>
  <c r="O1405"/>
  <c r="Z1401"/>
  <c r="O1404"/>
  <c r="Z1400"/>
  <c r="O1403"/>
  <c r="Z1399"/>
  <c r="O1402"/>
  <c r="Z1398"/>
  <c r="O1401"/>
  <c r="Z1397"/>
  <c r="O1400"/>
  <c r="Z1396"/>
  <c r="O1399"/>
  <c r="Z1395"/>
  <c r="O1398"/>
  <c r="Z1394"/>
  <c r="O1397"/>
  <c r="Z1393"/>
  <c r="O1396"/>
  <c r="Z1392"/>
  <c r="O1395"/>
  <c r="Z1391"/>
  <c r="O1394"/>
  <c r="Z1390"/>
  <c r="O1393"/>
  <c r="Z1389"/>
  <c r="O1392"/>
  <c r="Z1388"/>
  <c r="O1391"/>
  <c r="Z1387"/>
  <c r="O1390"/>
  <c r="Z1386"/>
  <c r="O1389"/>
  <c r="Z1385"/>
  <c r="O1388"/>
  <c r="Z1384"/>
  <c r="O1387"/>
  <c r="Z1383"/>
  <c r="Z1382"/>
  <c r="Q1385"/>
  <c r="V1385" s="1"/>
  <c r="O1385"/>
  <c r="Z1381"/>
  <c r="Z1380"/>
  <c r="Z1379"/>
  <c r="Z1378"/>
  <c r="Z1377"/>
  <c r="Z1376"/>
  <c r="Z1375"/>
  <c r="Z1374"/>
  <c r="R1377"/>
  <c r="W1377" s="1"/>
  <c r="Z1373"/>
  <c r="Z1372"/>
  <c r="O1375"/>
  <c r="Z1371"/>
  <c r="O1374"/>
  <c r="Z1370"/>
  <c r="O1373"/>
  <c r="Z1369"/>
  <c r="O1372"/>
  <c r="Z1368"/>
  <c r="O1371"/>
  <c r="Z1367"/>
  <c r="O1370"/>
  <c r="Z1366"/>
  <c r="O1369"/>
  <c r="Z1365"/>
  <c r="O1368"/>
  <c r="Z1364"/>
  <c r="O1367"/>
  <c r="Z1363"/>
  <c r="Z1362"/>
  <c r="O1365"/>
  <c r="Z1361"/>
  <c r="Z1360"/>
  <c r="O1363"/>
  <c r="Z1359"/>
  <c r="O1362"/>
  <c r="Z1358"/>
  <c r="O1361"/>
  <c r="Z1357"/>
  <c r="O1360"/>
  <c r="Z1356"/>
  <c r="O1359"/>
  <c r="Z1355"/>
  <c r="O1358"/>
  <c r="Z1354"/>
  <c r="O1357"/>
  <c r="Z1353"/>
  <c r="O1356"/>
  <c r="Z1352"/>
  <c r="O1355"/>
  <c r="Z1351"/>
  <c r="O1354"/>
  <c r="Z1350"/>
  <c r="O1353"/>
  <c r="Z1349"/>
  <c r="Z1348"/>
  <c r="Z1347"/>
  <c r="Z1346"/>
  <c r="Z1345"/>
  <c r="Z1344"/>
  <c r="Z1343"/>
  <c r="Z1342"/>
  <c r="Z1341"/>
  <c r="Z1340"/>
  <c r="Z1339"/>
  <c r="Z1338"/>
  <c r="Q1341"/>
  <c r="O1341"/>
  <c r="Z1337"/>
  <c r="O1340"/>
  <c r="Z1336"/>
  <c r="O1339"/>
  <c r="Z1335"/>
  <c r="O1338"/>
  <c r="Z1334"/>
  <c r="O1337"/>
  <c r="Z1333"/>
  <c r="O1336"/>
  <c r="Z1332"/>
  <c r="O1335"/>
  <c r="Z1331"/>
  <c r="O1334"/>
  <c r="Z1330"/>
  <c r="O1333"/>
  <c r="Z1329"/>
  <c r="O1332"/>
  <c r="Z1328"/>
  <c r="O1331"/>
  <c r="Z1327"/>
  <c r="O1330"/>
  <c r="Z1326"/>
  <c r="O1329"/>
  <c r="Z1325"/>
  <c r="O1328"/>
  <c r="Z1324"/>
  <c r="O1327"/>
  <c r="Z1323"/>
  <c r="O1326"/>
  <c r="Z1322"/>
  <c r="O1325"/>
  <c r="Z1321"/>
  <c r="O1324"/>
  <c r="Z1320"/>
  <c r="O1323"/>
  <c r="Z1319"/>
  <c r="O1322"/>
  <c r="Z1318"/>
  <c r="O1321"/>
  <c r="Z1317"/>
  <c r="O1320"/>
  <c r="Z1316"/>
  <c r="O1319"/>
  <c r="Z1315"/>
  <c r="O1318"/>
  <c r="Z1314"/>
  <c r="O1317"/>
  <c r="Z1313"/>
  <c r="O1316"/>
  <c r="Z1312"/>
  <c r="O1315"/>
  <c r="Z1311"/>
  <c r="O1314"/>
  <c r="Z1310"/>
  <c r="O1313"/>
  <c r="Z1309"/>
  <c r="O1312"/>
  <c r="Z1308"/>
  <c r="O1311"/>
  <c r="Z1307"/>
  <c r="O1310"/>
  <c r="Z1306"/>
  <c r="O1309"/>
  <c r="Z1305"/>
  <c r="O1308"/>
  <c r="Z1304"/>
  <c r="O1307"/>
  <c r="Z1303"/>
  <c r="O1306"/>
  <c r="Z1302"/>
  <c r="O1305"/>
  <c r="Z1301"/>
  <c r="O1304"/>
  <c r="Z1300"/>
  <c r="O1303"/>
  <c r="Z1299"/>
  <c r="O1302"/>
  <c r="Z1298"/>
  <c r="O1301"/>
  <c r="Z1297"/>
  <c r="O1300"/>
  <c r="Z1296"/>
  <c r="O1299"/>
  <c r="Z1295"/>
  <c r="O1298"/>
  <c r="Z1294"/>
  <c r="Z1293"/>
  <c r="Z1292"/>
  <c r="Z1291"/>
  <c r="Z1290"/>
  <c r="Z1289"/>
  <c r="Z1288"/>
  <c r="Z1287"/>
  <c r="O1290"/>
  <c r="Z1286"/>
  <c r="O1289"/>
  <c r="Z1285"/>
  <c r="O1288"/>
  <c r="Z1284"/>
  <c r="O1287"/>
  <c r="Z1283"/>
  <c r="O1286"/>
  <c r="Z1282"/>
  <c r="O1285"/>
  <c r="Z1281"/>
  <c r="O1284"/>
  <c r="Z1280"/>
  <c r="O1283"/>
  <c r="Z1279"/>
  <c r="O1282"/>
  <c r="Z1278"/>
  <c r="O1281"/>
  <c r="Z1277"/>
  <c r="O1280"/>
  <c r="Z1276"/>
  <c r="O1279"/>
  <c r="Z1275"/>
  <c r="O1278"/>
  <c r="Z1274"/>
  <c r="O1277"/>
  <c r="Z1273"/>
  <c r="O1276"/>
  <c r="Z1272"/>
  <c r="O1275"/>
  <c r="Z1271"/>
  <c r="O1274"/>
  <c r="Z1270"/>
  <c r="O1273"/>
  <c r="Z1269"/>
  <c r="O1272"/>
  <c r="Z1268"/>
  <c r="O1271"/>
  <c r="Z1267"/>
  <c r="O1270"/>
  <c r="Z1266"/>
  <c r="O1269"/>
  <c r="Z1265"/>
  <c r="O1268"/>
  <c r="Z1264"/>
  <c r="O1267"/>
  <c r="Z1263"/>
  <c r="O1266"/>
  <c r="Z1262"/>
  <c r="O1265"/>
  <c r="Z1261"/>
  <c r="O1264"/>
  <c r="Z1260"/>
  <c r="O1263"/>
  <c r="Z1259"/>
  <c r="O1262"/>
  <c r="Z1258"/>
  <c r="O1261"/>
  <c r="Z1257"/>
  <c r="O1260"/>
  <c r="Z1256"/>
  <c r="O1259"/>
  <c r="Z1255"/>
  <c r="O1258"/>
  <c r="Z1254"/>
  <c r="O1257"/>
  <c r="Z1253"/>
  <c r="O1256"/>
  <c r="Z1252"/>
  <c r="O1255"/>
  <c r="Z1251"/>
  <c r="O1254"/>
  <c r="Z1250"/>
  <c r="O1253"/>
  <c r="Z1249"/>
  <c r="O1252"/>
  <c r="Z1248"/>
  <c r="Z1247"/>
  <c r="O1250"/>
  <c r="Z1246"/>
  <c r="O1249"/>
  <c r="Z1245"/>
  <c r="O1248"/>
  <c r="Z1244"/>
  <c r="Z1243"/>
  <c r="O1246"/>
  <c r="Z1242"/>
  <c r="Z1241"/>
  <c r="Z1240"/>
  <c r="Z1239"/>
  <c r="Z1238"/>
  <c r="Z1237"/>
  <c r="Z1236"/>
  <c r="Z1235"/>
  <c r="Z1234"/>
  <c r="O1237"/>
  <c r="Z1233"/>
  <c r="O1236"/>
  <c r="Z1232"/>
  <c r="O1235"/>
  <c r="Z1231"/>
  <c r="Z1230"/>
  <c r="Z1229"/>
  <c r="Z1228"/>
  <c r="Z1227"/>
  <c r="Z1226"/>
  <c r="O1229"/>
  <c r="Z1225"/>
  <c r="Z1224"/>
  <c r="Z1223"/>
  <c r="Z1222"/>
  <c r="O1225"/>
  <c r="Z1221"/>
  <c r="Z1220"/>
  <c r="O1223"/>
  <c r="Z1219"/>
  <c r="O1222"/>
  <c r="Z1218"/>
  <c r="Z1217"/>
  <c r="Z1216"/>
  <c r="Z1215"/>
  <c r="Z1214"/>
  <c r="O1217"/>
  <c r="Z1213"/>
  <c r="O1216"/>
  <c r="Z1212"/>
  <c r="O1215"/>
  <c r="Z1211"/>
  <c r="Z1210"/>
  <c r="Z1209"/>
  <c r="Z1208"/>
  <c r="O1211"/>
  <c r="Z1207"/>
  <c r="Z1206"/>
  <c r="Z1205"/>
  <c r="Z1204"/>
  <c r="Z1203"/>
  <c r="Z1202"/>
  <c r="Z1201"/>
  <c r="Z1200"/>
  <c r="Z1199"/>
  <c r="Z1198"/>
  <c r="Z1197"/>
  <c r="Z1196"/>
  <c r="Z1195"/>
  <c r="O1198"/>
  <c r="Z1194"/>
  <c r="O1197"/>
  <c r="Z1193"/>
  <c r="O1196"/>
  <c r="Z1192"/>
  <c r="O1195"/>
  <c r="Z1191"/>
  <c r="O1194"/>
  <c r="Z1190"/>
  <c r="O1193"/>
  <c r="Z1189"/>
  <c r="O1192"/>
  <c r="Z1188"/>
  <c r="O1191"/>
  <c r="Z1187"/>
  <c r="Z1186"/>
  <c r="Z1185"/>
  <c r="Z1184"/>
  <c r="Z1183"/>
  <c r="Z1182"/>
  <c r="Z1181"/>
  <c r="Z1180"/>
  <c r="Z1179"/>
  <c r="O1182"/>
  <c r="Z1178"/>
  <c r="O1181"/>
  <c r="Z1177"/>
  <c r="O1180"/>
  <c r="Z1176"/>
  <c r="O1179"/>
  <c r="Z1175"/>
  <c r="O1178"/>
  <c r="Z1174"/>
  <c r="O1177"/>
  <c r="Z1173"/>
  <c r="O1176"/>
  <c r="Z1172"/>
  <c r="O1175"/>
  <c r="Z1171"/>
  <c r="O1174"/>
  <c r="Z1170"/>
  <c r="O1173"/>
  <c r="Z1169"/>
  <c r="O1172"/>
  <c r="Z1168"/>
  <c r="O1171"/>
  <c r="Z1167"/>
  <c r="O1170"/>
  <c r="Z1166"/>
  <c r="Z1165"/>
  <c r="Z1164"/>
  <c r="Z1163"/>
  <c r="O1166"/>
  <c r="Z1162"/>
  <c r="Z1161"/>
  <c r="O1164"/>
  <c r="Z1160"/>
  <c r="O1163"/>
  <c r="Z1159"/>
  <c r="O1162"/>
  <c r="Z1158"/>
  <c r="Z1157"/>
  <c r="Z1156"/>
  <c r="O1159"/>
  <c r="Z1155"/>
  <c r="O1158"/>
  <c r="Z1154"/>
  <c r="Z1153"/>
  <c r="Z1152"/>
  <c r="O1155"/>
  <c r="Z1151"/>
  <c r="O1154"/>
  <c r="Z1150"/>
  <c r="O1153"/>
  <c r="Z1149"/>
  <c r="Z1148"/>
  <c r="Z1147"/>
  <c r="O1150"/>
  <c r="Z1146"/>
  <c r="Z1145"/>
  <c r="Z1144"/>
  <c r="Z1143"/>
  <c r="O1146"/>
  <c r="Z1142"/>
  <c r="O1145"/>
  <c r="Z1141"/>
  <c r="O1144"/>
  <c r="Z1140"/>
  <c r="O1143"/>
  <c r="Z1139"/>
  <c r="Z1138"/>
  <c r="Z1137"/>
  <c r="O1140"/>
  <c r="Z1136"/>
  <c r="Z1135"/>
  <c r="Z1134"/>
  <c r="Z1133"/>
  <c r="Z1132"/>
  <c r="Z1131"/>
  <c r="O1134"/>
  <c r="Z1130"/>
  <c r="Z1129"/>
  <c r="Z1128"/>
  <c r="Z1127"/>
  <c r="Z1126"/>
  <c r="Z1125"/>
  <c r="Z1124"/>
  <c r="O1127"/>
  <c r="Z1123"/>
  <c r="Z1122"/>
  <c r="Z1121"/>
  <c r="Z1120"/>
  <c r="Z1119"/>
  <c r="Z1118"/>
  <c r="Z1117"/>
  <c r="Z1116"/>
  <c r="O1119"/>
  <c r="Z1115"/>
  <c r="Z1114"/>
  <c r="O1117"/>
  <c r="Z1113"/>
  <c r="O1116"/>
  <c r="Z1112"/>
  <c r="O1115"/>
  <c r="Z1111"/>
  <c r="O1114"/>
  <c r="Z1110"/>
  <c r="O1113"/>
  <c r="Z1109"/>
  <c r="O1112"/>
  <c r="Z1108"/>
  <c r="O1111"/>
  <c r="Z1107"/>
  <c r="O1110"/>
  <c r="Z1106"/>
  <c r="O1109"/>
  <c r="Z1105"/>
  <c r="O1108"/>
  <c r="Z1104"/>
  <c r="O1107"/>
  <c r="Z1103"/>
  <c r="O1106"/>
  <c r="Z1102"/>
  <c r="O1105"/>
  <c r="Z1101"/>
  <c r="O1104"/>
  <c r="Z1100"/>
  <c r="O1103"/>
  <c r="Z1099"/>
  <c r="O1102"/>
  <c r="Z1098"/>
  <c r="O1101"/>
  <c r="Z1097"/>
  <c r="O1100"/>
  <c r="Z1096"/>
  <c r="O1099"/>
  <c r="Z1095"/>
  <c r="O1098"/>
  <c r="Z1094"/>
  <c r="O1097"/>
  <c r="Z1093"/>
  <c r="O1096"/>
  <c r="Z1092"/>
  <c r="O1095"/>
  <c r="Z1091"/>
  <c r="O1094"/>
  <c r="Z1090"/>
  <c r="O1093"/>
  <c r="Z1089"/>
  <c r="O1092"/>
  <c r="Z1088"/>
  <c r="O1091"/>
  <c r="Z1087"/>
  <c r="O1090"/>
  <c r="Z1086"/>
  <c r="O1089"/>
  <c r="Z1085"/>
  <c r="O1088"/>
  <c r="Z1084"/>
  <c r="O1087"/>
  <c r="Z1083"/>
  <c r="O1086"/>
  <c r="Z1082"/>
  <c r="O1085"/>
  <c r="Z1081"/>
  <c r="O1084"/>
  <c r="Z1080"/>
  <c r="O1083"/>
  <c r="Z1079"/>
  <c r="O1082"/>
  <c r="Z1078"/>
  <c r="O1081"/>
  <c r="Z1077"/>
  <c r="O1080"/>
  <c r="Z1076"/>
  <c r="Z1075"/>
  <c r="Z1074"/>
  <c r="Z1073"/>
  <c r="Z1072"/>
  <c r="Z1071"/>
  <c r="Z1070"/>
  <c r="Z1069"/>
  <c r="O1072"/>
  <c r="Z1068"/>
  <c r="O1071"/>
  <c r="Z1067"/>
  <c r="O1070"/>
  <c r="Z1066"/>
  <c r="O1069"/>
  <c r="Z1065"/>
  <c r="O1068"/>
  <c r="Z1064"/>
  <c r="O1067"/>
  <c r="Z1063"/>
  <c r="O1066"/>
  <c r="Z1062"/>
  <c r="O1065"/>
  <c r="Z1061"/>
  <c r="Z1060"/>
  <c r="Z1059"/>
  <c r="Z1058"/>
  <c r="O1061"/>
  <c r="Z1057"/>
  <c r="O1060"/>
  <c r="Z1056"/>
  <c r="O1059"/>
  <c r="Z1055"/>
  <c r="O1058"/>
  <c r="Z1054"/>
  <c r="Z1053"/>
  <c r="Z1052"/>
  <c r="O1055"/>
  <c r="Z1051"/>
  <c r="Z1050"/>
  <c r="Z1049"/>
  <c r="Z1048"/>
  <c r="Z1047"/>
  <c r="Z1046"/>
  <c r="Z1045"/>
  <c r="O1048"/>
  <c r="Z1044"/>
  <c r="O1047"/>
  <c r="Z1043"/>
  <c r="O1046"/>
  <c r="Z1042"/>
  <c r="O1045"/>
  <c r="Z1041"/>
  <c r="O1044"/>
  <c r="Z1040"/>
  <c r="O1043"/>
  <c r="Z1039"/>
  <c r="Z1038"/>
  <c r="Z1037"/>
  <c r="Z1036"/>
  <c r="Z1035"/>
  <c r="Z1034"/>
  <c r="Z1033"/>
  <c r="Z1032"/>
  <c r="Z1031"/>
  <c r="Z1030"/>
  <c r="O1033"/>
  <c r="Z1029"/>
  <c r="O1032"/>
  <c r="Z1028"/>
  <c r="O1031"/>
  <c r="Z1027"/>
  <c r="O1030"/>
  <c r="Z1026"/>
  <c r="O1029"/>
  <c r="Z1025"/>
  <c r="O1028"/>
  <c r="Z1024"/>
  <c r="O1027"/>
  <c r="Z1023"/>
  <c r="O1026"/>
  <c r="Z1022"/>
  <c r="O1025"/>
  <c r="Z1021"/>
  <c r="O1024"/>
  <c r="Z1020"/>
  <c r="O1023"/>
  <c r="Z1019"/>
  <c r="O1022"/>
  <c r="Z1018"/>
  <c r="O1021"/>
  <c r="Z1017"/>
  <c r="O1020"/>
  <c r="Z1016"/>
  <c r="Z1015"/>
  <c r="Z1014"/>
  <c r="O1017"/>
  <c r="Z1013"/>
  <c r="Z1012"/>
  <c r="Z1011"/>
  <c r="Z1010"/>
  <c r="Z1009"/>
  <c r="Z1008"/>
  <c r="Z1007"/>
  <c r="O1010"/>
  <c r="Z1006"/>
  <c r="O1009"/>
  <c r="Z1005"/>
  <c r="O1008"/>
  <c r="Z1004"/>
  <c r="O1007"/>
  <c r="Z1003"/>
  <c r="O1006"/>
  <c r="Z1002"/>
  <c r="O1005"/>
  <c r="Z1001"/>
  <c r="O1004"/>
  <c r="Z1000"/>
  <c r="O1003"/>
  <c r="Z999"/>
  <c r="O1002"/>
  <c r="Z998"/>
  <c r="O1001"/>
  <c r="Z997"/>
  <c r="O1000"/>
  <c r="Z996"/>
  <c r="O999"/>
  <c r="Z995"/>
  <c r="O998"/>
  <c r="Z994"/>
  <c r="O997"/>
  <c r="Z993"/>
  <c r="O996"/>
  <c r="Z992"/>
  <c r="O995"/>
  <c r="Z991"/>
  <c r="O994"/>
  <c r="Z990"/>
  <c r="O993"/>
  <c r="Z989"/>
  <c r="O992"/>
  <c r="Z988"/>
  <c r="O991"/>
  <c r="Z987"/>
  <c r="O990"/>
  <c r="Z986"/>
  <c r="O989"/>
  <c r="Z985"/>
  <c r="O988"/>
  <c r="Z984"/>
  <c r="O987"/>
  <c r="Z983"/>
  <c r="O986"/>
  <c r="Z982"/>
  <c r="O985"/>
  <c r="Z981"/>
  <c r="O984"/>
  <c r="Z980"/>
  <c r="O983"/>
  <c r="Z979"/>
  <c r="O982"/>
  <c r="Z978"/>
  <c r="O981"/>
  <c r="Z977"/>
  <c r="O980"/>
  <c r="Z976"/>
  <c r="O979"/>
  <c r="Z975"/>
  <c r="O978"/>
  <c r="Z974"/>
  <c r="O977"/>
  <c r="Z973"/>
  <c r="Z972"/>
  <c r="O975"/>
  <c r="Z971"/>
  <c r="O974"/>
  <c r="Z970"/>
  <c r="O973"/>
  <c r="Z969"/>
  <c r="Z968"/>
  <c r="O971"/>
  <c r="Z967"/>
  <c r="O970"/>
  <c r="Z966"/>
  <c r="O969"/>
  <c r="Z965"/>
  <c r="O968"/>
  <c r="Z964"/>
  <c r="O967"/>
  <c r="Z963"/>
  <c r="O966"/>
  <c r="Z962"/>
  <c r="O965"/>
  <c r="Z961"/>
  <c r="O964"/>
  <c r="Z960"/>
  <c r="O963"/>
  <c r="Z959"/>
  <c r="O962"/>
  <c r="Z958"/>
  <c r="O961"/>
  <c r="Z957"/>
  <c r="O960"/>
  <c r="Z956"/>
  <c r="O959"/>
  <c r="Z955"/>
  <c r="O958"/>
  <c r="Z954"/>
  <c r="O957"/>
  <c r="Z953"/>
  <c r="O956"/>
  <c r="Z952"/>
  <c r="O955"/>
  <c r="Z951"/>
  <c r="O954"/>
  <c r="Z950"/>
  <c r="O953"/>
  <c r="Z949"/>
  <c r="O952"/>
  <c r="Z948"/>
  <c r="O951"/>
  <c r="Z947"/>
  <c r="O950"/>
  <c r="Z946"/>
  <c r="Z945"/>
  <c r="O948"/>
  <c r="Z944"/>
  <c r="O947"/>
  <c r="Z943"/>
  <c r="O946"/>
  <c r="Z942"/>
  <c r="O945"/>
  <c r="Z941"/>
  <c r="O944"/>
  <c r="Z940"/>
  <c r="O943"/>
  <c r="Z939"/>
  <c r="O942"/>
  <c r="Z938"/>
  <c r="O941"/>
  <c r="Z937"/>
  <c r="O940"/>
  <c r="Z936"/>
  <c r="O939"/>
  <c r="Z935"/>
  <c r="O938"/>
  <c r="Z934"/>
  <c r="O937"/>
  <c r="Z933"/>
  <c r="O936"/>
  <c r="Z932"/>
  <c r="O935"/>
  <c r="Z931"/>
  <c r="O934"/>
  <c r="Z930"/>
  <c r="O933"/>
  <c r="Z929"/>
  <c r="O932"/>
  <c r="Z928"/>
  <c r="O931"/>
  <c r="Z927"/>
  <c r="O930"/>
  <c r="Z926"/>
  <c r="O929"/>
  <c r="Z925"/>
  <c r="O928"/>
  <c r="Z924"/>
  <c r="O927"/>
  <c r="Z923"/>
  <c r="O926"/>
  <c r="Z922"/>
  <c r="O925"/>
  <c r="Z921"/>
  <c r="O924"/>
  <c r="Z920"/>
  <c r="O923"/>
  <c r="Z919"/>
  <c r="O922"/>
  <c r="Z918"/>
  <c r="O921"/>
  <c r="Z917"/>
  <c r="O920"/>
  <c r="Z916"/>
  <c r="O919"/>
  <c r="Z915"/>
  <c r="Z914"/>
  <c r="Z913"/>
  <c r="O916"/>
  <c r="Z912"/>
  <c r="Z911"/>
  <c r="Z910"/>
  <c r="Z909"/>
  <c r="O912"/>
  <c r="Z908"/>
  <c r="O911"/>
  <c r="Z907"/>
  <c r="O910"/>
  <c r="Z906"/>
  <c r="O909"/>
  <c r="Z905"/>
  <c r="O908"/>
  <c r="Z904"/>
  <c r="O907"/>
  <c r="Z903"/>
  <c r="O906"/>
  <c r="Z902"/>
  <c r="O905"/>
  <c r="Z901"/>
  <c r="O904"/>
  <c r="Z900"/>
  <c r="O903"/>
  <c r="Z899"/>
  <c r="O902"/>
  <c r="Z898"/>
  <c r="R901"/>
  <c r="W901" s="1"/>
  <c r="O901"/>
  <c r="Z897"/>
  <c r="R900"/>
  <c r="W900" s="1"/>
  <c r="O900"/>
  <c r="Z896"/>
  <c r="O899"/>
  <c r="Z895"/>
  <c r="O898"/>
  <c r="Z894"/>
  <c r="Z893"/>
  <c r="Z892"/>
  <c r="Z891"/>
  <c r="O894"/>
  <c r="Z890"/>
  <c r="O893"/>
  <c r="Z889"/>
  <c r="O892"/>
  <c r="Z888"/>
  <c r="Z887"/>
  <c r="Z886"/>
  <c r="Z885"/>
  <c r="Z884"/>
  <c r="Z883"/>
  <c r="Z882"/>
  <c r="O885"/>
  <c r="Z881"/>
  <c r="Z880"/>
  <c r="Z879"/>
  <c r="O882"/>
  <c r="Z878"/>
  <c r="O881"/>
  <c r="Z877"/>
  <c r="O880"/>
  <c r="Z876"/>
  <c r="O879"/>
  <c r="Z875"/>
  <c r="O878"/>
  <c r="Z874"/>
  <c r="O877"/>
  <c r="Z873"/>
  <c r="O876"/>
  <c r="Z872"/>
  <c r="O875"/>
  <c r="Z871"/>
  <c r="O874"/>
  <c r="Z870"/>
  <c r="O873"/>
  <c r="Z869"/>
  <c r="O872"/>
  <c r="Z868"/>
  <c r="O871"/>
  <c r="Z867"/>
  <c r="O870"/>
  <c r="Z866"/>
  <c r="O869"/>
  <c r="Z865"/>
  <c r="O868"/>
  <c r="Z864"/>
  <c r="O867"/>
  <c r="Z863"/>
  <c r="O866"/>
  <c r="Z862"/>
  <c r="O865"/>
  <c r="Z861"/>
  <c r="O864"/>
  <c r="Z860"/>
  <c r="O863"/>
  <c r="Z859"/>
  <c r="O862"/>
  <c r="Z858"/>
  <c r="O861"/>
  <c r="Z857"/>
  <c r="O860"/>
  <c r="Z856"/>
  <c r="O859"/>
  <c r="Z855"/>
  <c r="O858"/>
  <c r="Z854"/>
  <c r="O857"/>
  <c r="Z853"/>
  <c r="O856"/>
  <c r="Z852"/>
  <c r="O855"/>
  <c r="Z851"/>
  <c r="O854"/>
  <c r="Z850"/>
  <c r="O853"/>
  <c r="Z849"/>
  <c r="O852"/>
  <c r="Z848"/>
  <c r="O851"/>
  <c r="Z847"/>
  <c r="O850"/>
  <c r="Z846"/>
  <c r="O849"/>
  <c r="Z845"/>
  <c r="Z844"/>
  <c r="Z843"/>
  <c r="Z842"/>
  <c r="Z841"/>
  <c r="Z840"/>
  <c r="Z839"/>
  <c r="Z838"/>
  <c r="O841"/>
  <c r="Z837"/>
  <c r="O840"/>
  <c r="Z836"/>
  <c r="O839"/>
  <c r="Z835"/>
  <c r="O838"/>
  <c r="Z834"/>
  <c r="O837"/>
  <c r="Z833"/>
  <c r="O836"/>
  <c r="Z832"/>
  <c r="O835"/>
  <c r="Z831"/>
  <c r="O834"/>
  <c r="Z830"/>
  <c r="O833"/>
  <c r="Z829"/>
  <c r="O832"/>
  <c r="Z828"/>
  <c r="O831"/>
  <c r="Z827"/>
  <c r="O830"/>
  <c r="Z826"/>
  <c r="O829"/>
  <c r="Z825"/>
  <c r="O828"/>
  <c r="Z824"/>
  <c r="O827"/>
  <c r="Z823"/>
  <c r="O826"/>
  <c r="Z822"/>
  <c r="O825"/>
  <c r="Z821"/>
  <c r="O824"/>
  <c r="Z820"/>
  <c r="O823"/>
  <c r="Z819"/>
  <c r="O822"/>
  <c r="Z818"/>
  <c r="O821"/>
  <c r="Z817"/>
  <c r="O820"/>
  <c r="Z816"/>
  <c r="O819"/>
  <c r="Z815"/>
  <c r="O818"/>
  <c r="Z814"/>
  <c r="O817"/>
  <c r="Z813"/>
  <c r="O816"/>
  <c r="Z812"/>
  <c r="O815"/>
  <c r="Z811"/>
  <c r="O814"/>
  <c r="Z810"/>
  <c r="O813"/>
  <c r="Z805"/>
  <c r="O808"/>
  <c r="Z804"/>
  <c r="O807"/>
  <c r="Z803"/>
  <c r="O806"/>
  <c r="Z802"/>
  <c r="O805"/>
  <c r="Z801"/>
  <c r="O804"/>
  <c r="Z800"/>
  <c r="O803"/>
  <c r="Z799"/>
  <c r="O802"/>
  <c r="Z798"/>
  <c r="O801"/>
  <c r="Z797"/>
  <c r="O800"/>
  <c r="Z796"/>
  <c r="O799"/>
  <c r="Z795"/>
  <c r="O798"/>
  <c r="Z794"/>
  <c r="O797"/>
  <c r="Z793"/>
  <c r="O796"/>
  <c r="Z792"/>
  <c r="O795"/>
  <c r="Z791"/>
  <c r="O794"/>
  <c r="Z790"/>
  <c r="O793"/>
  <c r="Z789"/>
  <c r="O792"/>
  <c r="Z788"/>
  <c r="O791"/>
  <c r="Z787"/>
  <c r="O790"/>
  <c r="Z762"/>
  <c r="O765"/>
  <c r="Z300"/>
  <c r="O303"/>
  <c r="Z299"/>
  <c r="Z298"/>
  <c r="Z11"/>
  <c r="X11"/>
  <c r="W11"/>
  <c r="V11"/>
  <c r="O11"/>
  <c r="Z10"/>
  <c r="X10"/>
  <c r="W10"/>
  <c r="V10"/>
  <c r="O10"/>
  <c r="Z8"/>
  <c r="L4"/>
  <c r="D2910" l="1"/>
  <c r="D3051"/>
  <c r="Q3303"/>
  <c r="V1341"/>
  <c r="T2676"/>
  <c r="X2676" s="1"/>
  <c r="X2674"/>
  <c r="C2075"/>
  <c r="D2606"/>
  <c r="D2867"/>
  <c r="D3075"/>
  <c r="D3074" s="1"/>
  <c r="D3073" s="1"/>
  <c r="D3072" s="1"/>
  <c r="D3071" s="1"/>
  <c r="D3070" s="1"/>
  <c r="D3069" s="1"/>
  <c r="D3068" s="1"/>
  <c r="D1713"/>
  <c r="D1829"/>
  <c r="D1828" s="1"/>
  <c r="D1827" s="1"/>
  <c r="D1826" s="1"/>
  <c r="D1825" s="1"/>
  <c r="D1824" s="1"/>
  <c r="D1823" s="1"/>
  <c r="D1822" s="1"/>
  <c r="D1821" s="1"/>
  <c r="D1820" s="1"/>
  <c r="D1819" s="1"/>
  <c r="D1818" s="1"/>
  <c r="D1817" s="1"/>
  <c r="D1816" s="1"/>
  <c r="D1815" s="1"/>
  <c r="D1814" s="1"/>
  <c r="D1813" s="1"/>
  <c r="D2355"/>
  <c r="D2451"/>
  <c r="D1712"/>
  <c r="D1711" s="1"/>
  <c r="D2177"/>
  <c r="D2176" s="1"/>
  <c r="D2175" s="1"/>
  <c r="D2174" s="1"/>
  <c r="D2269"/>
  <c r="D2268" s="1"/>
  <c r="D2267" s="1"/>
  <c r="D2266" s="1"/>
  <c r="D2265" s="1"/>
  <c r="D2264" s="1"/>
  <c r="D2263" s="1"/>
  <c r="D2262" s="1"/>
  <c r="D2261" s="1"/>
  <c r="D2260" s="1"/>
  <c r="D2259" s="1"/>
  <c r="D2258" s="1"/>
  <c r="D2257" s="1"/>
  <c r="D2256" s="1"/>
  <c r="D2255" s="1"/>
  <c r="D2254" s="1"/>
  <c r="D2253" s="1"/>
  <c r="D2315"/>
  <c r="D2314" s="1"/>
  <c r="D2313" s="1"/>
  <c r="D2312" s="1"/>
  <c r="D2311" s="1"/>
  <c r="D2310" s="1"/>
  <c r="D2309" s="1"/>
  <c r="D2354"/>
  <c r="D2353" s="1"/>
  <c r="D2352" s="1"/>
  <c r="D2351" s="1"/>
  <c r="D2350" s="1"/>
  <c r="D2349" s="1"/>
  <c r="D2348" s="1"/>
  <c r="D2347" s="1"/>
  <c r="D2346" s="1"/>
  <c r="D2345" s="1"/>
  <c r="D2344" s="1"/>
  <c r="D2343" s="1"/>
  <c r="D2342" s="1"/>
  <c r="D2341" s="1"/>
  <c r="D2340" s="1"/>
  <c r="D2339" s="1"/>
  <c r="D2338" s="1"/>
  <c r="D2337" s="1"/>
  <c r="D2398"/>
  <c r="D2397" s="1"/>
  <c r="D2396" s="1"/>
  <c r="D2395" s="1"/>
  <c r="D2394" s="1"/>
  <c r="D2393" s="1"/>
  <c r="D2392" s="1"/>
  <c r="D2391" s="1"/>
  <c r="D2390" s="1"/>
  <c r="D2389" s="1"/>
  <c r="D2388" s="1"/>
  <c r="D2568"/>
  <c r="D2567" s="1"/>
  <c r="D2566" s="1"/>
  <c r="D2565" s="1"/>
  <c r="D2564" s="1"/>
  <c r="D2563" s="1"/>
  <c r="D2562" s="1"/>
  <c r="D2561" s="1"/>
  <c r="D2560" s="1"/>
  <c r="D2559" s="1"/>
  <c r="D2558" s="1"/>
  <c r="D2557" s="1"/>
  <c r="D2556" s="1"/>
  <c r="D2555" s="1"/>
  <c r="D2554" s="1"/>
  <c r="D2553" s="1"/>
  <c r="D2552" s="1"/>
  <c r="D2551" s="1"/>
  <c r="D2550" s="1"/>
  <c r="D2549" s="1"/>
  <c r="D2548" s="1"/>
  <c r="D2547" s="1"/>
  <c r="D2544"/>
  <c r="D2543" s="1"/>
  <c r="D2542" s="1"/>
  <c r="D2541" s="1"/>
  <c r="D2540" s="1"/>
  <c r="D2539" s="1"/>
  <c r="D2761"/>
  <c r="D2760" s="1"/>
  <c r="D2768"/>
  <c r="D2767" s="1"/>
  <c r="D2766" s="1"/>
  <c r="O2848"/>
  <c r="D2450"/>
  <c r="D2448" s="1"/>
  <c r="D2447" s="1"/>
  <c r="D2446" s="1"/>
  <c r="D2445" s="1"/>
  <c r="D2444" s="1"/>
  <c r="D2443" s="1"/>
  <c r="D2442" s="1"/>
  <c r="D2441" s="1"/>
  <c r="D2440" s="1"/>
  <c r="D2439" s="1"/>
  <c r="D2438" s="1"/>
  <c r="D2437" s="1"/>
  <c r="D2436" s="1"/>
  <c r="D2435" s="1"/>
  <c r="D2432" s="1"/>
  <c r="D2431" s="1"/>
  <c r="D2430" s="1"/>
  <c r="D2429" s="1"/>
  <c r="D2428" s="1"/>
  <c r="D2424"/>
  <c r="D2423" s="1"/>
  <c r="D2483"/>
  <c r="D2482" s="1"/>
  <c r="D2481" s="1"/>
  <c r="D2477" s="1"/>
  <c r="D2476" s="1"/>
  <c r="D2475" s="1"/>
  <c r="D2474" s="1"/>
  <c r="D2473" s="1"/>
  <c r="D2472" s="1"/>
  <c r="D2471" s="1"/>
  <c r="D2470" s="1"/>
  <c r="D2469" s="1"/>
  <c r="D2468" s="1"/>
  <c r="D2467" s="1"/>
  <c r="D2466" s="1"/>
  <c r="D2465" s="1"/>
  <c r="D2464" s="1"/>
  <c r="D2463" s="1"/>
  <c r="D2462" s="1"/>
  <c r="D2461" s="1"/>
  <c r="D2460" s="1"/>
  <c r="D2459" s="1"/>
  <c r="D2458" s="1"/>
  <c r="D2457" s="1"/>
  <c r="D2456" s="1"/>
  <c r="C2326"/>
  <c r="C2325" s="1"/>
  <c r="C2324" s="1"/>
  <c r="C2323" s="1"/>
  <c r="C2322" s="1"/>
  <c r="C2321" s="1"/>
  <c r="C2320" s="1"/>
  <c r="C2319" s="1"/>
  <c r="C2317" s="1"/>
  <c r="C2316" s="1"/>
  <c r="C2315" s="1"/>
  <c r="C2314" s="1"/>
  <c r="C2313" s="1"/>
  <c r="C2312" s="1"/>
  <c r="C2311" s="1"/>
  <c r="C2310" s="1"/>
  <c r="D2605"/>
  <c r="D2604" s="1"/>
  <c r="T2429"/>
  <c r="X2429" s="1"/>
  <c r="D2041"/>
  <c r="D2040" s="1"/>
  <c r="D2039" s="1"/>
  <c r="D2115"/>
  <c r="D2114" s="1"/>
  <c r="D2113" s="1"/>
  <c r="D2112" s="1"/>
  <c r="D2111" s="1"/>
  <c r="D2110" s="1"/>
  <c r="D2109" s="1"/>
  <c r="D2108" s="1"/>
  <c r="D2107" s="1"/>
  <c r="D2106" s="1"/>
  <c r="D2105" s="1"/>
  <c r="D2104" s="1"/>
  <c r="D2103" s="1"/>
  <c r="D2102" s="1"/>
  <c r="D2101" s="1"/>
  <c r="D2100" s="1"/>
  <c r="D2099" s="1"/>
  <c r="D2098" s="1"/>
  <c r="D2097" s="1"/>
  <c r="D2096" s="1"/>
  <c r="D2095" s="1"/>
  <c r="D2094" s="1"/>
  <c r="D2093" s="1"/>
  <c r="D2092" s="1"/>
  <c r="D2091" s="1"/>
  <c r="D1752"/>
  <c r="C1752" s="1"/>
  <c r="D2372"/>
  <c r="D2371" s="1"/>
  <c r="D2370" s="1"/>
  <c r="D2369" s="1"/>
  <c r="D2368" s="1"/>
  <c r="D2365" s="1"/>
  <c r="D2364" s="1"/>
  <c r="D2363" s="1"/>
  <c r="C2245"/>
  <c r="C2244" s="1"/>
  <c r="C2243" s="1"/>
  <c r="C2242" s="1"/>
  <c r="C2241" s="1"/>
  <c r="C2240" s="1"/>
  <c r="C2239" s="1"/>
  <c r="C2238" s="1"/>
  <c r="C2237" s="1"/>
  <c r="C2236" s="1"/>
  <c r="C2235" s="1"/>
  <c r="C2234" s="1"/>
  <c r="C2233" s="1"/>
  <c r="C2232" s="1"/>
  <c r="C2231" s="1"/>
  <c r="C2230" s="1"/>
  <c r="C2229" s="1"/>
  <c r="C2228" s="1"/>
  <c r="C2227" s="1"/>
  <c r="C2226" s="1"/>
  <c r="C2225" s="1"/>
  <c r="C2224" s="1"/>
  <c r="C2223" s="1"/>
  <c r="C2222" s="1"/>
  <c r="C2221" s="1"/>
  <c r="C2220" s="1"/>
  <c r="C2219" s="1"/>
  <c r="C2218" s="1"/>
  <c r="C2217" s="1"/>
  <c r="C2216" s="1"/>
  <c r="C2215" s="1"/>
  <c r="C2214" s="1"/>
  <c r="C2213" s="1"/>
  <c r="C2212" s="1"/>
  <c r="C2211" s="1"/>
  <c r="C2209" s="1"/>
  <c r="C2206" s="1"/>
  <c r="C2205" s="1"/>
  <c r="C2201" s="1"/>
  <c r="C2200" s="1"/>
  <c r="C2199" s="1"/>
  <c r="C2198" s="1"/>
  <c r="C2197" s="1"/>
  <c r="C2196" s="1"/>
  <c r="C2195" s="1"/>
  <c r="C2194" s="1"/>
  <c r="C2193" s="1"/>
  <c r="C2192" s="1"/>
  <c r="C2191" s="1"/>
  <c r="C2190" s="1"/>
  <c r="C2189" s="1"/>
  <c r="C2188" s="1"/>
  <c r="C2187" s="1"/>
  <c r="C2186" s="1"/>
  <c r="C2185" s="1"/>
  <c r="C2184" s="1"/>
  <c r="C2183" s="1"/>
  <c r="C2182" s="1"/>
  <c r="C2181" s="1"/>
  <c r="C2180" s="1"/>
  <c r="C2179" s="1"/>
  <c r="C2178" s="1"/>
  <c r="C2177" s="1"/>
  <c r="D2148"/>
  <c r="D2147" s="1"/>
  <c r="D2146" s="1"/>
  <c r="D2145" s="1"/>
  <c r="D2144" s="1"/>
  <c r="D2143" s="1"/>
  <c r="D2142" s="1"/>
  <c r="D2141" s="1"/>
  <c r="D2140" s="1"/>
  <c r="D2139" s="1"/>
  <c r="D2138" s="1"/>
  <c r="D2137" s="1"/>
  <c r="D2136" s="1"/>
  <c r="D2135" s="1"/>
  <c r="D2134" s="1"/>
  <c r="D2133" s="1"/>
  <c r="D2132" s="1"/>
  <c r="D2131" s="1"/>
  <c r="D2130" s="1"/>
  <c r="D2129" s="1"/>
  <c r="D2128" s="1"/>
  <c r="D2127" s="1"/>
  <c r="D2122" s="1"/>
  <c r="D2121" s="1"/>
  <c r="D2120" s="1"/>
  <c r="D2119" s="1"/>
  <c r="D2118" s="1"/>
  <c r="D2734"/>
  <c r="D2733" s="1"/>
  <c r="D2732" s="1"/>
  <c r="D2731" s="1"/>
  <c r="D2730" s="1"/>
  <c r="D2729" s="1"/>
  <c r="D2728" s="1"/>
  <c r="D2727" s="1"/>
  <c r="D2726" s="1"/>
  <c r="D2725" s="1"/>
  <c r="D2724" s="1"/>
  <c r="D2723" s="1"/>
  <c r="D2722" s="1"/>
  <c r="D2721" s="1"/>
  <c r="D2720" s="1"/>
  <c r="D2719" s="1"/>
  <c r="D2718" s="1"/>
  <c r="D2715" s="1"/>
  <c r="D2714" s="1"/>
  <c r="D2713" s="1"/>
  <c r="D2751"/>
  <c r="D2750" s="1"/>
  <c r="D2749" s="1"/>
  <c r="D2748" s="1"/>
  <c r="D2747" s="1"/>
  <c r="D2746" s="1"/>
  <c r="D2745" s="1"/>
  <c r="D2744" s="1"/>
  <c r="D2743" s="1"/>
  <c r="D2742" s="1"/>
  <c r="D2511"/>
  <c r="D2510" s="1"/>
  <c r="D2509" s="1"/>
  <c r="D2508" s="1"/>
  <c r="D2507" s="1"/>
  <c r="D2506" s="1"/>
  <c r="D2505" s="1"/>
  <c r="D2504" s="1"/>
  <c r="D2503" s="1"/>
  <c r="D2502" s="1"/>
  <c r="D2501" s="1"/>
  <c r="D2500" s="1"/>
  <c r="D2499" s="1"/>
  <c r="D2498" s="1"/>
  <c r="D2497" s="1"/>
  <c r="D2496" s="1"/>
  <c r="D2495" s="1"/>
  <c r="D2494" s="1"/>
  <c r="D2493" s="1"/>
  <c r="D2492" s="1"/>
  <c r="D2810"/>
  <c r="D2809" s="1"/>
  <c r="D2808" s="1"/>
  <c r="D2807" s="1"/>
  <c r="D2806" s="1"/>
  <c r="D2805" s="1"/>
  <c r="D2803" s="1"/>
  <c r="D2799" s="1"/>
  <c r="D2798" s="1"/>
  <c r="D2797" s="1"/>
  <c r="D3248"/>
  <c r="D3247" s="1"/>
  <c r="D3246" s="1"/>
  <c r="H3300"/>
  <c r="S3300" s="1"/>
  <c r="D1950"/>
  <c r="D1959"/>
  <c r="D1958" s="1"/>
  <c r="D2003"/>
  <c r="D2002" s="1"/>
  <c r="D2074"/>
  <c r="C2074" s="1"/>
  <c r="R1378"/>
  <c r="W1378" s="1"/>
  <c r="C1713"/>
  <c r="C1712" s="1"/>
  <c r="D1787"/>
  <c r="D1786" s="1"/>
  <c r="D1834"/>
  <c r="D1833" s="1"/>
  <c r="D1871"/>
  <c r="D1901"/>
  <c r="D1900" s="1"/>
  <c r="D1911"/>
  <c r="D2246"/>
  <c r="J3299"/>
  <c r="K3298"/>
  <c r="I3298"/>
  <c r="K3297"/>
  <c r="I3297"/>
  <c r="K3299"/>
  <c r="I3299"/>
  <c r="J3298"/>
  <c r="J3297"/>
  <c r="J3296"/>
  <c r="K3296"/>
  <c r="I3296"/>
  <c r="K3295"/>
  <c r="J3295"/>
  <c r="I3295"/>
  <c r="K3294"/>
  <c r="I3294"/>
  <c r="J3293"/>
  <c r="J3294"/>
  <c r="K3293"/>
  <c r="I3293"/>
  <c r="D2845"/>
  <c r="C2845" s="1"/>
  <c r="S3294"/>
  <c r="S3293"/>
  <c r="D2866"/>
  <c r="C2606"/>
  <c r="C2605" s="1"/>
  <c r="D2649"/>
  <c r="D2662"/>
  <c r="D2690"/>
  <c r="R3296"/>
  <c r="D2909"/>
  <c r="D2933"/>
  <c r="D2966"/>
  <c r="D3023"/>
  <c r="D3050"/>
  <c r="D3049" s="1"/>
  <c r="D3084"/>
  <c r="D3166"/>
  <c r="D3165" s="1"/>
  <c r="D3216"/>
  <c r="D3215" s="1"/>
  <c r="D3214" s="1"/>
  <c r="D3213" s="1"/>
  <c r="D3212" s="1"/>
  <c r="D3211" s="1"/>
  <c r="D3210" s="1"/>
  <c r="D3209" s="1"/>
  <c r="D3208" s="1"/>
  <c r="D3207" s="1"/>
  <c r="D3206" s="1"/>
  <c r="D3205" s="1"/>
  <c r="D3204" s="1"/>
  <c r="D3203" s="1"/>
  <c r="D3202" s="1"/>
  <c r="C3248"/>
  <c r="C3247" s="1"/>
  <c r="D3287"/>
  <c r="C3287" s="1"/>
  <c r="P123" i="4"/>
  <c r="O122" s="1"/>
  <c r="O123" s="1"/>
  <c r="O126" s="1"/>
  <c r="P85"/>
  <c r="P86"/>
  <c r="P87"/>
  <c r="O84"/>
  <c r="O85" s="1"/>
  <c r="O87" s="1"/>
  <c r="P171"/>
  <c r="P172"/>
  <c r="P173"/>
  <c r="P82"/>
  <c r="P83"/>
  <c r="P92"/>
  <c r="P94"/>
  <c r="P111"/>
  <c r="P112"/>
  <c r="R110"/>
  <c r="S110" s="1"/>
  <c r="R84"/>
  <c r="S84" s="1"/>
  <c r="R40"/>
  <c r="S40" s="1"/>
  <c r="R122"/>
  <c r="S122" s="1"/>
  <c r="L219"/>
  <c r="N219" s="1"/>
  <c r="O221" s="1"/>
  <c r="P41"/>
  <c r="P42"/>
  <c r="P43"/>
  <c r="P69"/>
  <c r="P70"/>
  <c r="O68"/>
  <c r="O69" s="1"/>
  <c r="O70" s="1"/>
  <c r="P114"/>
  <c r="O113" s="1"/>
  <c r="O114" s="1"/>
  <c r="O115" s="1"/>
  <c r="P161"/>
  <c r="P162"/>
  <c r="P165"/>
  <c r="K122"/>
  <c r="M122" s="1"/>
  <c r="P118"/>
  <c r="Q118" s="1"/>
  <c r="R118" s="1"/>
  <c r="S118" s="1"/>
  <c r="P117"/>
  <c r="R116"/>
  <c r="S116" s="1"/>
  <c r="Q115"/>
  <c r="R115" s="1"/>
  <c r="S115" s="1"/>
  <c r="Q111"/>
  <c r="R111" s="1"/>
  <c r="S111" s="1"/>
  <c r="R108"/>
  <c r="S108" s="1"/>
  <c r="K107"/>
  <c r="M107" s="1"/>
  <c r="T104"/>
  <c r="U104" s="1"/>
  <c r="R104"/>
  <c r="S104" s="1"/>
  <c r="Q103"/>
  <c r="R103" s="1"/>
  <c r="S103" s="1"/>
  <c r="K101"/>
  <c r="M101" s="1"/>
  <c r="P99"/>
  <c r="Q99" s="1"/>
  <c r="R99" s="1"/>
  <c r="S99" s="1"/>
  <c r="K98"/>
  <c r="M98" s="1"/>
  <c r="P96"/>
  <c r="Q96" s="1"/>
  <c r="R96" s="1"/>
  <c r="S96" s="1"/>
  <c r="J95"/>
  <c r="K95" s="1"/>
  <c r="M95" s="1"/>
  <c r="Q89"/>
  <c r="R89" s="1"/>
  <c r="S89" s="1"/>
  <c r="K88"/>
  <c r="M88" s="1"/>
  <c r="Q86"/>
  <c r="R86" s="1"/>
  <c r="S86" s="1"/>
  <c r="P78"/>
  <c r="Q78" s="1"/>
  <c r="R78" s="1"/>
  <c r="S78" s="1"/>
  <c r="P75"/>
  <c r="Q75" s="1"/>
  <c r="R75" s="1"/>
  <c r="S75" s="1"/>
  <c r="K74"/>
  <c r="M74" s="1"/>
  <c r="V228"/>
  <c r="X228" s="1"/>
  <c r="P149"/>
  <c r="P150"/>
  <c r="P151"/>
  <c r="P183"/>
  <c r="O181" s="1"/>
  <c r="O182" s="1"/>
  <c r="O183" s="1"/>
  <c r="P186"/>
  <c r="O184" s="1"/>
  <c r="O185" s="1"/>
  <c r="O186" s="1"/>
  <c r="P153"/>
  <c r="P155"/>
  <c r="I166"/>
  <c r="P166" s="1"/>
  <c r="Q166" s="1"/>
  <c r="R166" s="1"/>
  <c r="S166" s="1"/>
  <c r="K346"/>
  <c r="M346" s="1"/>
  <c r="Q126"/>
  <c r="R126" s="1"/>
  <c r="S126" s="1"/>
  <c r="Q123"/>
  <c r="R123" s="1"/>
  <c r="S123" s="1"/>
  <c r="P121"/>
  <c r="Q121" s="1"/>
  <c r="R121" s="1"/>
  <c r="S121" s="1"/>
  <c r="P120"/>
  <c r="R119"/>
  <c r="S119" s="1"/>
  <c r="Q114"/>
  <c r="R114" s="1"/>
  <c r="S114" s="1"/>
  <c r="K110"/>
  <c r="M110" s="1"/>
  <c r="P105"/>
  <c r="Q105" s="1"/>
  <c r="R105" s="1"/>
  <c r="S105" s="1"/>
  <c r="P102"/>
  <c r="Q102" s="1"/>
  <c r="R102" s="1"/>
  <c r="S102" s="1"/>
  <c r="P101"/>
  <c r="Q93"/>
  <c r="R93" s="1"/>
  <c r="S93" s="1"/>
  <c r="R91"/>
  <c r="S91" s="1"/>
  <c r="K91"/>
  <c r="M91" s="1"/>
  <c r="Q85"/>
  <c r="R85" s="1"/>
  <c r="S85" s="1"/>
  <c r="Q83"/>
  <c r="R83" s="1"/>
  <c r="S83" s="1"/>
  <c r="R81"/>
  <c r="S81" s="1"/>
  <c r="K81"/>
  <c r="M81" s="1"/>
  <c r="P79"/>
  <c r="Q79" s="1"/>
  <c r="R79" s="1"/>
  <c r="S79" s="1"/>
  <c r="P72"/>
  <c r="Q72" s="1"/>
  <c r="R72" s="1"/>
  <c r="S72" s="1"/>
  <c r="Q69"/>
  <c r="R69" s="1"/>
  <c r="S69" s="1"/>
  <c r="Q43"/>
  <c r="R43" s="1"/>
  <c r="S43" s="1"/>
  <c r="I157"/>
  <c r="P157" s="1"/>
  <c r="I158"/>
  <c r="P158" s="1"/>
  <c r="Q158" s="1"/>
  <c r="R158" s="1"/>
  <c r="S158" s="1"/>
  <c r="P159"/>
  <c r="Q112"/>
  <c r="R112" s="1"/>
  <c r="S112" s="1"/>
  <c r="P109"/>
  <c r="O107" s="1"/>
  <c r="O108" s="1"/>
  <c r="O109" s="1"/>
  <c r="O104"/>
  <c r="O105" s="1"/>
  <c r="O106" s="1"/>
  <c r="R77"/>
  <c r="S77" s="1"/>
  <c r="I141"/>
  <c r="P141" s="1"/>
  <c r="K116"/>
  <c r="M116"/>
  <c r="R107"/>
  <c r="S107" s="1"/>
  <c r="Q106"/>
  <c r="R106" s="1"/>
  <c r="S106" s="1"/>
  <c r="K104"/>
  <c r="M104"/>
  <c r="P100"/>
  <c r="Q100"/>
  <c r="R100" s="1"/>
  <c r="S100" s="1"/>
  <c r="O98"/>
  <c r="O99"/>
  <c r="O100" s="1"/>
  <c r="R98"/>
  <c r="S98" s="1"/>
  <c r="P97"/>
  <c r="Q97" s="1"/>
  <c r="R97" s="1"/>
  <c r="S97" s="1"/>
  <c r="R95"/>
  <c r="S95" s="1"/>
  <c r="T88"/>
  <c r="U88" s="1"/>
  <c r="R88"/>
  <c r="S88" s="1"/>
  <c r="Q87"/>
  <c r="R87" s="1"/>
  <c r="S87" s="1"/>
  <c r="K84"/>
  <c r="M84" s="1"/>
  <c r="K77"/>
  <c r="M77" s="1"/>
  <c r="R74"/>
  <c r="S74" s="1"/>
  <c r="Q73"/>
  <c r="R73" s="1"/>
  <c r="S73" s="1"/>
  <c r="K71"/>
  <c r="M71" s="1"/>
  <c r="K284"/>
  <c r="M284" s="1"/>
  <c r="K273"/>
  <c r="M273" s="1"/>
  <c r="K277"/>
  <c r="K281"/>
  <c r="K288"/>
  <c r="H292"/>
  <c r="I292" s="1"/>
  <c r="I293"/>
  <c r="P293" s="1"/>
  <c r="I138"/>
  <c r="P138" s="1"/>
  <c r="Q138" s="1"/>
  <c r="R138" s="1"/>
  <c r="S138" s="1"/>
  <c r="Q173"/>
  <c r="R173" s="1"/>
  <c r="S173" s="1"/>
  <c r="I235"/>
  <c r="P235" s="1"/>
  <c r="O234" s="1"/>
  <c r="O235" s="1"/>
  <c r="O236" s="1"/>
  <c r="H222"/>
  <c r="I222" s="1"/>
  <c r="I223"/>
  <c r="P223" s="1"/>
  <c r="Q120"/>
  <c r="R120" s="1"/>
  <c r="S120" s="1"/>
  <c r="J119"/>
  <c r="K119" s="1"/>
  <c r="M119" s="1"/>
  <c r="Q117"/>
  <c r="R117" s="1"/>
  <c r="S117" s="1"/>
  <c r="R113"/>
  <c r="S113" s="1"/>
  <c r="K113"/>
  <c r="M113" s="1"/>
  <c r="Q101"/>
  <c r="R101" s="1"/>
  <c r="S101" s="1"/>
  <c r="Q94"/>
  <c r="R94" s="1"/>
  <c r="S94" s="1"/>
  <c r="Q92"/>
  <c r="R92" s="1"/>
  <c r="S92" s="1"/>
  <c r="Q90"/>
  <c r="R90" s="1"/>
  <c r="S90" s="1"/>
  <c r="Q82"/>
  <c r="R82" s="1"/>
  <c r="S82" s="1"/>
  <c r="P80"/>
  <c r="Q80" s="1"/>
  <c r="R80" s="1"/>
  <c r="S80" s="1"/>
  <c r="P76"/>
  <c r="Q76" s="1"/>
  <c r="R76" s="1"/>
  <c r="S76" s="1"/>
  <c r="Q70"/>
  <c r="R70" s="1"/>
  <c r="S70" s="1"/>
  <c r="R68"/>
  <c r="S68" s="1"/>
  <c r="K68"/>
  <c r="M68" s="1"/>
  <c r="Q42"/>
  <c r="R42" s="1"/>
  <c r="S42" s="1"/>
  <c r="Q41"/>
  <c r="R41" s="1"/>
  <c r="S41" s="1"/>
  <c r="K40"/>
  <c r="M40" s="1"/>
  <c r="R71"/>
  <c r="S71" s="1"/>
  <c r="I242"/>
  <c r="P242"/>
  <c r="Q242" s="1"/>
  <c r="R242" s="1"/>
  <c r="S242" s="1"/>
  <c r="P265"/>
  <c r="O261" s="1"/>
  <c r="O262" s="1"/>
  <c r="O263" s="1"/>
  <c r="R225"/>
  <c r="S225" s="1"/>
  <c r="Q220"/>
  <c r="R220" s="1"/>
  <c r="S220" s="1"/>
  <c r="Q210"/>
  <c r="R210" s="1"/>
  <c r="S210" s="1"/>
  <c r="K208"/>
  <c r="M208" s="1"/>
  <c r="K205"/>
  <c r="M205" s="1"/>
  <c r="R201"/>
  <c r="S201" s="1"/>
  <c r="Q197"/>
  <c r="R197" s="1"/>
  <c r="S197" s="1"/>
  <c r="K194"/>
  <c r="M194" s="1"/>
  <c r="K191"/>
  <c r="M191" s="1"/>
  <c r="R184"/>
  <c r="S184" s="1"/>
  <c r="K184"/>
  <c r="M184" s="1"/>
  <c r="T181"/>
  <c r="U181" s="1"/>
  <c r="R181"/>
  <c r="S181" s="1"/>
  <c r="K181"/>
  <c r="M181" s="1"/>
  <c r="Q171"/>
  <c r="R171" s="1"/>
  <c r="S171" s="1"/>
  <c r="Q165"/>
  <c r="R165" s="1"/>
  <c r="S165" s="1"/>
  <c r="Q161"/>
  <c r="R161" s="1"/>
  <c r="S161" s="1"/>
  <c r="Q153"/>
  <c r="R153" s="1"/>
  <c r="S153" s="1"/>
  <c r="Q150"/>
  <c r="R150" s="1"/>
  <c r="S150" s="1"/>
  <c r="P146"/>
  <c r="Q146" s="1"/>
  <c r="R146" s="1"/>
  <c r="S146" s="1"/>
  <c r="R143"/>
  <c r="S143" s="1"/>
  <c r="P142"/>
  <c r="Q142" s="1"/>
  <c r="R142" s="1"/>
  <c r="S142" s="1"/>
  <c r="P139"/>
  <c r="P140"/>
  <c r="P136"/>
  <c r="Q136" s="1"/>
  <c r="R136" s="1"/>
  <c r="S136" s="1"/>
  <c r="P252"/>
  <c r="O250" s="1"/>
  <c r="O251" s="1"/>
  <c r="O252" s="1"/>
  <c r="K250"/>
  <c r="M250" s="1"/>
  <c r="K261"/>
  <c r="M261" s="1"/>
  <c r="M288"/>
  <c r="Q211"/>
  <c r="R211" s="1"/>
  <c r="S211" s="1"/>
  <c r="P208"/>
  <c r="Q208" s="1"/>
  <c r="R208" s="1"/>
  <c r="S208" s="1"/>
  <c r="P206"/>
  <c r="Q206" s="1"/>
  <c r="R206" s="1"/>
  <c r="S206" s="1"/>
  <c r="Q203"/>
  <c r="R203" s="1"/>
  <c r="S203" s="1"/>
  <c r="I199"/>
  <c r="P199" s="1"/>
  <c r="I198"/>
  <c r="P198" s="1"/>
  <c r="Q198" s="1"/>
  <c r="R198" s="1"/>
  <c r="S198" s="1"/>
  <c r="P200"/>
  <c r="P194"/>
  <c r="Q194" s="1"/>
  <c r="R194" s="1"/>
  <c r="S194" s="1"/>
  <c r="P192"/>
  <c r="Q192" s="1"/>
  <c r="R192" s="1"/>
  <c r="S192" s="1"/>
  <c r="Q189"/>
  <c r="R189" s="1"/>
  <c r="S189" s="1"/>
  <c r="Q186"/>
  <c r="R186" s="1"/>
  <c r="S186" s="1"/>
  <c r="Q169"/>
  <c r="R169" s="1"/>
  <c r="S169" s="1"/>
  <c r="K160"/>
  <c r="M160" s="1"/>
  <c r="Q155"/>
  <c r="R155" s="1"/>
  <c r="S155" s="1"/>
  <c r="Q151"/>
  <c r="R151" s="1"/>
  <c r="S151" s="1"/>
  <c r="R148"/>
  <c r="S148" s="1"/>
  <c r="K148"/>
  <c r="M148" s="1"/>
  <c r="P145"/>
  <c r="Q145" s="1"/>
  <c r="R145" s="1"/>
  <c r="S145" s="1"/>
  <c r="Q139"/>
  <c r="R139" s="1"/>
  <c r="S139" s="1"/>
  <c r="P137"/>
  <c r="Q137" s="1"/>
  <c r="R137" s="1"/>
  <c r="S137" s="1"/>
  <c r="H319"/>
  <c r="I319" s="1"/>
  <c r="H320"/>
  <c r="I320" s="1"/>
  <c r="Q226"/>
  <c r="R226" s="1"/>
  <c r="S226" s="1"/>
  <c r="Q172"/>
  <c r="R172" s="1"/>
  <c r="S172" s="1"/>
  <c r="H228"/>
  <c r="I228" s="1"/>
  <c r="P228" s="1"/>
  <c r="I229"/>
  <c r="P229" s="1"/>
  <c r="R170"/>
  <c r="S170" s="1"/>
  <c r="M277"/>
  <c r="P282"/>
  <c r="O281" s="1"/>
  <c r="O282" s="1"/>
  <c r="O283" s="1"/>
  <c r="K225"/>
  <c r="M225" s="1"/>
  <c r="T219"/>
  <c r="U219" s="1"/>
  <c r="R219"/>
  <c r="S219" s="1"/>
  <c r="R205"/>
  <c r="S205" s="1"/>
  <c r="Q202"/>
  <c r="R202" s="1"/>
  <c r="S202" s="1"/>
  <c r="K201"/>
  <c r="M201" s="1"/>
  <c r="Q196"/>
  <c r="R196" s="1"/>
  <c r="S196" s="1"/>
  <c r="R191"/>
  <c r="S191" s="1"/>
  <c r="Q188"/>
  <c r="R188" s="1"/>
  <c r="S188" s="1"/>
  <c r="Q183"/>
  <c r="R183" s="1"/>
  <c r="S183" s="1"/>
  <c r="K170"/>
  <c r="M170" s="1"/>
  <c r="I167"/>
  <c r="P167" s="1"/>
  <c r="P168"/>
  <c r="J166"/>
  <c r="K166" s="1"/>
  <c r="M166" s="1"/>
  <c r="Q160"/>
  <c r="R160" s="1"/>
  <c r="S160" s="1"/>
  <c r="Q154"/>
  <c r="R154" s="1"/>
  <c r="S154" s="1"/>
  <c r="Q152"/>
  <c r="R152" s="1"/>
  <c r="S152" s="1"/>
  <c r="P144"/>
  <c r="Q144" s="1"/>
  <c r="R144" s="1"/>
  <c r="S144" s="1"/>
  <c r="K143"/>
  <c r="M143" s="1"/>
  <c r="Q140"/>
  <c r="R140" s="1"/>
  <c r="S140" s="1"/>
  <c r="K134"/>
  <c r="M134" s="1"/>
  <c r="M281"/>
  <c r="J234"/>
  <c r="K234" s="1"/>
  <c r="M234" s="1"/>
  <c r="H330"/>
  <c r="I330" s="1"/>
  <c r="Q212"/>
  <c r="R212" s="1"/>
  <c r="S212" s="1"/>
  <c r="Q209"/>
  <c r="R209" s="1"/>
  <c r="S209" s="1"/>
  <c r="P207"/>
  <c r="Q207" s="1"/>
  <c r="R207" s="1"/>
  <c r="S207" s="1"/>
  <c r="Q204"/>
  <c r="R204" s="1"/>
  <c r="S204" s="1"/>
  <c r="Q200"/>
  <c r="R200" s="1"/>
  <c r="S200" s="1"/>
  <c r="Q195"/>
  <c r="R195" s="1"/>
  <c r="S195" s="1"/>
  <c r="P193"/>
  <c r="Q193" s="1"/>
  <c r="R193" s="1"/>
  <c r="S193" s="1"/>
  <c r="Q190"/>
  <c r="R190" s="1"/>
  <c r="S190" s="1"/>
  <c r="T187"/>
  <c r="U187" s="1"/>
  <c r="R187"/>
  <c r="S187" s="1"/>
  <c r="K187"/>
  <c r="M187" s="1"/>
  <c r="Q185"/>
  <c r="R185" s="1"/>
  <c r="S185" s="1"/>
  <c r="Q182"/>
  <c r="R182" s="1"/>
  <c r="S182" s="1"/>
  <c r="Q168"/>
  <c r="R168" s="1"/>
  <c r="S168" s="1"/>
  <c r="Q162"/>
  <c r="R162" s="1"/>
  <c r="S162" s="1"/>
  <c r="Q159"/>
  <c r="R159" s="1"/>
  <c r="S159" s="1"/>
  <c r="R156"/>
  <c r="S156" s="1"/>
  <c r="J156"/>
  <c r="K156" s="1"/>
  <c r="M156" s="1"/>
  <c r="K152"/>
  <c r="M152" s="1"/>
  <c r="Q149"/>
  <c r="R149" s="1"/>
  <c r="S149" s="1"/>
  <c r="P147"/>
  <c r="Q147" s="1"/>
  <c r="R147" s="1"/>
  <c r="S147" s="1"/>
  <c r="J138"/>
  <c r="K138" s="1"/>
  <c r="M138" s="1"/>
  <c r="R135"/>
  <c r="S135" s="1"/>
  <c r="Q134"/>
  <c r="R134" s="1"/>
  <c r="S134" s="1"/>
  <c r="I239"/>
  <c r="P239" s="1"/>
  <c r="I240"/>
  <c r="P240" s="1"/>
  <c r="Q240" s="1"/>
  <c r="R240" s="1"/>
  <c r="S240" s="1"/>
  <c r="P271"/>
  <c r="O269" s="1"/>
  <c r="O270" s="1"/>
  <c r="O271" s="1"/>
  <c r="K256"/>
  <c r="M256" s="1"/>
  <c r="M219"/>
  <c r="Q287"/>
  <c r="R287" s="1"/>
  <c r="S287" s="1"/>
  <c r="R281"/>
  <c r="S281" s="1"/>
  <c r="Q279"/>
  <c r="R279" s="1"/>
  <c r="S279" s="1"/>
  <c r="Q274"/>
  <c r="R274" s="1"/>
  <c r="S274" s="1"/>
  <c r="Q260"/>
  <c r="R260" s="1"/>
  <c r="S260" s="1"/>
  <c r="I243"/>
  <c r="P243" s="1"/>
  <c r="Q243" s="1"/>
  <c r="R243" s="1"/>
  <c r="S243" s="1"/>
  <c r="H326"/>
  <c r="I326" s="1"/>
  <c r="S325"/>
  <c r="T325" s="1"/>
  <c r="U325" s="1"/>
  <c r="V325" s="1"/>
  <c r="H329"/>
  <c r="I329" s="1"/>
  <c r="U328"/>
  <c r="V328" s="1"/>
  <c r="Q289"/>
  <c r="R289" s="1"/>
  <c r="S289" s="1"/>
  <c r="Q285"/>
  <c r="R285" s="1"/>
  <c r="S285" s="1"/>
  <c r="Q282"/>
  <c r="R282" s="1"/>
  <c r="S282" s="1"/>
  <c r="Q265"/>
  <c r="R265" s="1"/>
  <c r="S265" s="1"/>
  <c r="Q263"/>
  <c r="R263" s="1"/>
  <c r="S263" s="1"/>
  <c r="R261"/>
  <c r="S261" s="1"/>
  <c r="Q259"/>
  <c r="R259" s="1"/>
  <c r="S259" s="1"/>
  <c r="Q257"/>
  <c r="R257" s="1"/>
  <c r="S257" s="1"/>
  <c r="Q255"/>
  <c r="H255" s="1"/>
  <c r="I255" s="1"/>
  <c r="P255" s="1"/>
  <c r="Q251"/>
  <c r="R251" s="1"/>
  <c r="S251" s="1"/>
  <c r="Q245"/>
  <c r="R245" s="1"/>
  <c r="S245" s="1"/>
  <c r="I244"/>
  <c r="J242" s="1"/>
  <c r="K242" s="1"/>
  <c r="M242" s="1"/>
  <c r="T231"/>
  <c r="U231" s="1"/>
  <c r="R231"/>
  <c r="S231" s="1"/>
  <c r="Q221"/>
  <c r="R221" s="1"/>
  <c r="S221" s="1"/>
  <c r="U222"/>
  <c r="V222"/>
  <c r="R222"/>
  <c r="H312"/>
  <c r="I312" s="1"/>
  <c r="S311"/>
  <c r="T311" s="1"/>
  <c r="U311" s="1"/>
  <c r="V311" s="1"/>
  <c r="I376"/>
  <c r="J376" s="1"/>
  <c r="K376" s="1"/>
  <c r="M376" s="1"/>
  <c r="Q283"/>
  <c r="R283" s="1"/>
  <c r="S283" s="1"/>
  <c r="Q271"/>
  <c r="R271" s="1"/>
  <c r="S271" s="1"/>
  <c r="R250"/>
  <c r="S250" s="1"/>
  <c r="Q238"/>
  <c r="R238" s="1"/>
  <c r="S238" s="1"/>
  <c r="Q233"/>
  <c r="R233" s="1"/>
  <c r="S233" s="1"/>
  <c r="K231"/>
  <c r="M231" s="1"/>
  <c r="K332"/>
  <c r="M332" s="1"/>
  <c r="Q290"/>
  <c r="R290" s="1"/>
  <c r="S290" s="1"/>
  <c r="R288"/>
  <c r="S288" s="1"/>
  <c r="Q286"/>
  <c r="R286" s="1"/>
  <c r="S286" s="1"/>
  <c r="Q280"/>
  <c r="R280" s="1"/>
  <c r="S280" s="1"/>
  <c r="Q272"/>
  <c r="R272" s="1"/>
  <c r="S272" s="1"/>
  <c r="Q264"/>
  <c r="R264" s="1"/>
  <c r="S264" s="1"/>
  <c r="Q262"/>
  <c r="R262" s="1"/>
  <c r="S262" s="1"/>
  <c r="Q258"/>
  <c r="R258" s="1"/>
  <c r="S258" s="1"/>
  <c r="R256"/>
  <c r="S256" s="1"/>
  <c r="Q252"/>
  <c r="R252" s="1"/>
  <c r="S252" s="1"/>
  <c r="W250"/>
  <c r="X250" s="1"/>
  <c r="Y250" s="1"/>
  <c r="Q241"/>
  <c r="R241" s="1"/>
  <c r="S241" s="1"/>
  <c r="R237"/>
  <c r="S237" s="1"/>
  <c r="Q232"/>
  <c r="R232" s="1"/>
  <c r="S232" s="1"/>
  <c r="I253"/>
  <c r="P253" s="1"/>
  <c r="Q254"/>
  <c r="H254" s="1"/>
  <c r="I254" s="1"/>
  <c r="K396"/>
  <c r="M396" s="1"/>
  <c r="O397" s="1"/>
  <c r="O399" s="1"/>
  <c r="I322"/>
  <c r="P322" s="1"/>
  <c r="I321"/>
  <c r="P321" s="1"/>
  <c r="I323"/>
  <c r="P323" s="1"/>
  <c r="P324"/>
  <c r="K407"/>
  <c r="M407" s="1"/>
  <c r="I384"/>
  <c r="I385"/>
  <c r="O361"/>
  <c r="O362" s="1"/>
  <c r="I361"/>
  <c r="I362" s="1"/>
  <c r="Y347"/>
  <c r="Y348" s="1"/>
  <c r="X347"/>
  <c r="X348" s="1"/>
  <c r="I345"/>
  <c r="K345" s="1"/>
  <c r="M345" s="1"/>
  <c r="H313"/>
  <c r="I313" s="1"/>
  <c r="K305"/>
  <c r="M305" s="1"/>
  <c r="H325"/>
  <c r="I325" s="1"/>
  <c r="H327"/>
  <c r="I327" s="1"/>
  <c r="J309"/>
  <c r="K309" s="1"/>
  <c r="M309" s="1"/>
  <c r="J228"/>
  <c r="K228" s="1"/>
  <c r="L228" s="1"/>
  <c r="M228" s="1"/>
  <c r="Q227"/>
  <c r="R227" s="1"/>
  <c r="S227" s="1"/>
  <c r="U234"/>
  <c r="V234"/>
  <c r="R234"/>
  <c r="R255"/>
  <c r="K307"/>
  <c r="M307" s="1"/>
  <c r="I343"/>
  <c r="J343" s="1"/>
  <c r="K343" s="1"/>
  <c r="M343" s="1"/>
  <c r="U318"/>
  <c r="V318" s="1"/>
  <c r="H328"/>
  <c r="I328" s="1"/>
  <c r="Q291"/>
  <c r="R291" s="1"/>
  <c r="S291" s="1"/>
  <c r="J321"/>
  <c r="K321" s="1"/>
  <c r="M321" s="1"/>
  <c r="I314"/>
  <c r="I315"/>
  <c r="P315" s="1"/>
  <c r="I316"/>
  <c r="G339"/>
  <c r="P316"/>
  <c r="I336"/>
  <c r="T348"/>
  <c r="J350"/>
  <c r="W348"/>
  <c r="V348"/>
  <c r="O101" l="1"/>
  <c r="O102" s="1"/>
  <c r="O103" s="1"/>
  <c r="J314"/>
  <c r="K314" s="1"/>
  <c r="M314" s="1"/>
  <c r="X222"/>
  <c r="O205"/>
  <c r="O206" s="1"/>
  <c r="O207" s="1"/>
  <c r="P314"/>
  <c r="O314" s="1"/>
  <c r="O315" s="1"/>
  <c r="O316" s="1"/>
  <c r="J384"/>
  <c r="K384" s="1"/>
  <c r="M384" s="1"/>
  <c r="M389" s="1"/>
  <c r="O119"/>
  <c r="O120" s="1"/>
  <c r="O121" s="1"/>
  <c r="O152"/>
  <c r="O153" s="1"/>
  <c r="O155" s="1"/>
  <c r="W350"/>
  <c r="O321"/>
  <c r="O322" s="1"/>
  <c r="O323" s="1"/>
  <c r="O143"/>
  <c r="O144" s="1"/>
  <c r="O147" s="1"/>
  <c r="O191"/>
  <c r="O192" s="1"/>
  <c r="O193" s="1"/>
  <c r="O208"/>
  <c r="O209" s="1"/>
  <c r="O212" s="1"/>
  <c r="O74"/>
  <c r="O75" s="1"/>
  <c r="O76" s="1"/>
  <c r="Q109"/>
  <c r="R109" s="1"/>
  <c r="S109" s="1"/>
  <c r="O116"/>
  <c r="O117" s="1"/>
  <c r="O118" s="1"/>
  <c r="O110"/>
  <c r="O111" s="1"/>
  <c r="O112" s="1"/>
  <c r="O160"/>
  <c r="O161" s="1"/>
  <c r="O165" s="1"/>
  <c r="K3300" i="1"/>
  <c r="Q3295" s="1"/>
  <c r="J292" i="4"/>
  <c r="P292"/>
  <c r="J318"/>
  <c r="K318" s="1"/>
  <c r="M318" s="1"/>
  <c r="P222"/>
  <c r="J222"/>
  <c r="K222" s="1"/>
  <c r="J325"/>
  <c r="K325" s="1"/>
  <c r="M325" s="1"/>
  <c r="O148"/>
  <c r="O149" s="1"/>
  <c r="O151" s="1"/>
  <c r="O91"/>
  <c r="O92" s="1"/>
  <c r="O94" s="1"/>
  <c r="O81"/>
  <c r="O82" s="1"/>
  <c r="O83" s="1"/>
  <c r="O170"/>
  <c r="O171" s="1"/>
  <c r="O173" s="1"/>
  <c r="X234"/>
  <c r="H311"/>
  <c r="I311" s="1"/>
  <c r="J311" s="1"/>
  <c r="K311" s="1"/>
  <c r="M311" s="1"/>
  <c r="J237"/>
  <c r="K237" s="1"/>
  <c r="M237" s="1"/>
  <c r="O194"/>
  <c r="O195" s="1"/>
  <c r="O197" s="1"/>
  <c r="O228"/>
  <c r="O229" s="1"/>
  <c r="O230" s="1"/>
  <c r="P339"/>
  <c r="Q339" s="1"/>
  <c r="Q340" s="1"/>
  <c r="O134"/>
  <c r="O135" s="1"/>
  <c r="O137" s="1"/>
  <c r="J198"/>
  <c r="K198" s="1"/>
  <c r="M198" s="1"/>
  <c r="O77"/>
  <c r="O78" s="1"/>
  <c r="O80" s="1"/>
  <c r="O95"/>
  <c r="O96" s="1"/>
  <c r="O97" s="1"/>
  <c r="S309"/>
  <c r="O408"/>
  <c r="O410" s="1"/>
  <c r="M415"/>
  <c r="J328"/>
  <c r="K328" s="1"/>
  <c r="M328" s="1"/>
  <c r="M339" s="1"/>
  <c r="J336"/>
  <c r="J253"/>
  <c r="K253" s="1"/>
  <c r="M253" s="1"/>
  <c r="P254"/>
  <c r="O253" s="1"/>
  <c r="O254" s="1"/>
  <c r="O255" s="1"/>
  <c r="M381"/>
  <c r="O385"/>
  <c r="O387" s="1"/>
  <c r="Q167"/>
  <c r="R167" s="1"/>
  <c r="S167" s="1"/>
  <c r="O166"/>
  <c r="O167" s="1"/>
  <c r="O169" s="1"/>
  <c r="Q141"/>
  <c r="R141" s="1"/>
  <c r="S141" s="1"/>
  <c r="O138"/>
  <c r="O140" s="1"/>
  <c r="O142" s="1"/>
  <c r="O237"/>
  <c r="O238" s="1"/>
  <c r="O241" s="1"/>
  <c r="Q199"/>
  <c r="R199" s="1"/>
  <c r="S199" s="1"/>
  <c r="O198"/>
  <c r="O199" s="1"/>
  <c r="O200" s="1"/>
  <c r="Q157"/>
  <c r="R157" s="1"/>
  <c r="S157" s="1"/>
  <c r="O156"/>
  <c r="O157" s="1"/>
  <c r="O159" s="1"/>
  <c r="R254"/>
  <c r="P244"/>
  <c r="O242" s="1"/>
  <c r="O243" s="1"/>
  <c r="O245" s="1"/>
  <c r="O222"/>
  <c r="O223" s="1"/>
  <c r="O224" s="1"/>
  <c r="O71"/>
  <c r="O72" s="1"/>
  <c r="O73" s="1"/>
  <c r="D2073" i="1"/>
  <c r="C2073" s="1"/>
  <c r="D1751"/>
  <c r="C2309"/>
  <c r="D2308"/>
  <c r="I3300"/>
  <c r="Q3293" s="1"/>
  <c r="D3286"/>
  <c r="C3286" s="1"/>
  <c r="D2844"/>
  <c r="D2843" s="1"/>
  <c r="D3163"/>
  <c r="D3048"/>
  <c r="C3202"/>
  <c r="D3201"/>
  <c r="D2538"/>
  <c r="D2965"/>
  <c r="D2908"/>
  <c r="D2796"/>
  <c r="D2648"/>
  <c r="C2844"/>
  <c r="D2362"/>
  <c r="D2173"/>
  <c r="D1899"/>
  <c r="D1812"/>
  <c r="C3246"/>
  <c r="D3245"/>
  <c r="D3022"/>
  <c r="D2712"/>
  <c r="D2661"/>
  <c r="D2422"/>
  <c r="D2865"/>
  <c r="D2252"/>
  <c r="D1785"/>
  <c r="D3083"/>
  <c r="D2932"/>
  <c r="C2604"/>
  <c r="D2689"/>
  <c r="D2603"/>
  <c r="J3300"/>
  <c r="Q3294" s="1"/>
  <c r="D2387"/>
  <c r="C1711"/>
  <c r="R3303"/>
  <c r="C2176"/>
  <c r="C2175" s="1"/>
  <c r="C2174" s="1"/>
  <c r="D2038"/>
  <c r="D2001"/>
  <c r="D1947"/>
  <c r="D1910"/>
  <c r="D1870"/>
  <c r="D1710"/>
  <c r="O40" i="4"/>
  <c r="O41" s="1"/>
  <c r="O43" s="1"/>
  <c r="D3285" i="1" l="1"/>
  <c r="D3284" s="1"/>
  <c r="L222" i="4"/>
  <c r="M222" s="1"/>
  <c r="K292"/>
  <c r="J299"/>
  <c r="O288"/>
  <c r="O289" s="1"/>
  <c r="O290" s="1"/>
  <c r="N299"/>
  <c r="O299" s="1"/>
  <c r="P299" s="1"/>
  <c r="O292"/>
  <c r="O293" s="1"/>
  <c r="O294" s="1"/>
  <c r="M337"/>
  <c r="M338" s="1"/>
  <c r="D2072" i="1"/>
  <c r="D2071" s="1"/>
  <c r="Q3296"/>
  <c r="C1751"/>
  <c r="D1750"/>
  <c r="C2308"/>
  <c r="D2307"/>
  <c r="D2386"/>
  <c r="D2688"/>
  <c r="D3082"/>
  <c r="C3285"/>
  <c r="D3021"/>
  <c r="C1710"/>
  <c r="D1709"/>
  <c r="D1869"/>
  <c r="D1946"/>
  <c r="D2000"/>
  <c r="C2072"/>
  <c r="D1908"/>
  <c r="D2037"/>
  <c r="C2603"/>
  <c r="D2602"/>
  <c r="D2931"/>
  <c r="D1784"/>
  <c r="D2251"/>
  <c r="D2864"/>
  <c r="D2421"/>
  <c r="D2660"/>
  <c r="D2711"/>
  <c r="C3245"/>
  <c r="D3244"/>
  <c r="D1808"/>
  <c r="D1898"/>
  <c r="C2173"/>
  <c r="D2172"/>
  <c r="D2361"/>
  <c r="C2843"/>
  <c r="D2842"/>
  <c r="D2647"/>
  <c r="D2795"/>
  <c r="D2907"/>
  <c r="D2963"/>
  <c r="D2537"/>
  <c r="C3201"/>
  <c r="D3200"/>
  <c r="D3047"/>
  <c r="D3161"/>
  <c r="M292" i="4" l="1"/>
  <c r="M299" s="1"/>
  <c r="K299"/>
  <c r="C1750" i="1"/>
  <c r="C1747" s="1"/>
  <c r="D1747"/>
  <c r="D1746" s="1"/>
  <c r="C2307"/>
  <c r="D2306"/>
  <c r="D3160"/>
  <c r="D3044"/>
  <c r="C3200"/>
  <c r="D3199"/>
  <c r="D2536"/>
  <c r="D2962"/>
  <c r="D2906"/>
  <c r="D2794"/>
  <c r="D2646"/>
  <c r="C2842"/>
  <c r="D2841"/>
  <c r="D2360"/>
  <c r="C2172"/>
  <c r="D2171"/>
  <c r="D1897"/>
  <c r="D1807"/>
  <c r="C3244"/>
  <c r="C3242" s="1"/>
  <c r="C3241" s="1"/>
  <c r="C3240" s="1"/>
  <c r="C3239" s="1"/>
  <c r="C3238" s="1"/>
  <c r="C3237" s="1"/>
  <c r="C3236" s="1"/>
  <c r="C3235" s="1"/>
  <c r="C3234" s="1"/>
  <c r="C3233" s="1"/>
  <c r="C3232" s="1"/>
  <c r="C3231" s="1"/>
  <c r="C3230" s="1"/>
  <c r="C3229" s="1"/>
  <c r="C3228" s="1"/>
  <c r="C3227" s="1"/>
  <c r="C3226" s="1"/>
  <c r="C3225" s="1"/>
  <c r="C3224" s="1"/>
  <c r="C3223" s="1"/>
  <c r="D3243"/>
  <c r="D2710"/>
  <c r="D2659"/>
  <c r="D2420"/>
  <c r="D2863"/>
  <c r="D1780"/>
  <c r="D2930"/>
  <c r="C2602"/>
  <c r="D2601"/>
  <c r="D2036"/>
  <c r="D1907"/>
  <c r="C1746"/>
  <c r="D1745"/>
  <c r="C2071"/>
  <c r="D2070"/>
  <c r="D1999"/>
  <c r="D1945"/>
  <c r="D1868"/>
  <c r="C1709"/>
  <c r="D1705"/>
  <c r="D3020"/>
  <c r="C3284"/>
  <c r="D3283"/>
  <c r="D2687"/>
  <c r="D2385"/>
  <c r="C2306" l="1"/>
  <c r="D2305"/>
  <c r="D2384"/>
  <c r="D2686"/>
  <c r="C3283"/>
  <c r="D3282"/>
  <c r="D3019"/>
  <c r="C1705"/>
  <c r="D1704"/>
  <c r="D1867"/>
  <c r="D1944"/>
  <c r="D1998"/>
  <c r="C2070"/>
  <c r="D2069"/>
  <c r="C1745"/>
  <c r="D1744"/>
  <c r="D1906"/>
  <c r="D2035"/>
  <c r="C2601"/>
  <c r="D2600"/>
  <c r="D2929"/>
  <c r="D1779"/>
  <c r="D2862"/>
  <c r="D2419"/>
  <c r="D2658"/>
  <c r="D2709"/>
  <c r="D1806"/>
  <c r="D1896"/>
  <c r="C2171"/>
  <c r="D2170"/>
  <c r="D2359"/>
  <c r="C2841"/>
  <c r="D2840"/>
  <c r="D2645"/>
  <c r="D2793"/>
  <c r="D2905"/>
  <c r="D2961"/>
  <c r="D2535"/>
  <c r="C3199"/>
  <c r="D3198"/>
  <c r="D3042"/>
  <c r="D3157"/>
  <c r="C2305" l="1"/>
  <c r="D2304"/>
  <c r="D3156"/>
  <c r="D3040"/>
  <c r="C3198"/>
  <c r="D3197"/>
  <c r="D2534"/>
  <c r="D2960"/>
  <c r="D2904"/>
  <c r="D2792"/>
  <c r="D2644"/>
  <c r="C2840"/>
  <c r="D2839"/>
  <c r="D2358"/>
  <c r="C2170"/>
  <c r="D2169"/>
  <c r="D1895"/>
  <c r="D1805"/>
  <c r="D2708"/>
  <c r="D2657"/>
  <c r="D2418"/>
  <c r="D2861"/>
  <c r="D1778"/>
  <c r="D2928"/>
  <c r="C2600"/>
  <c r="D2599"/>
  <c r="D2034"/>
  <c r="C1744"/>
  <c r="D1743"/>
  <c r="C2069"/>
  <c r="D2068"/>
  <c r="D1997"/>
  <c r="D1943"/>
  <c r="D1866"/>
  <c r="C1704"/>
  <c r="D1703"/>
  <c r="D3018"/>
  <c r="C3282"/>
  <c r="D3281"/>
  <c r="D2685"/>
  <c r="D2383"/>
  <c r="C2304" l="1"/>
  <c r="D2303"/>
  <c r="D2382"/>
  <c r="D2684"/>
  <c r="C3281"/>
  <c r="D3280"/>
  <c r="D3015"/>
  <c r="C1703"/>
  <c r="D1702"/>
  <c r="D1865"/>
  <c r="D1942"/>
  <c r="D1996"/>
  <c r="C2068"/>
  <c r="D2067"/>
  <c r="C1743"/>
  <c r="D1742"/>
  <c r="D2033"/>
  <c r="C2599"/>
  <c r="D2598"/>
  <c r="D2927"/>
  <c r="D1777"/>
  <c r="D2860"/>
  <c r="D2417"/>
  <c r="D2656"/>
  <c r="D2707"/>
  <c r="D1804"/>
  <c r="D1894"/>
  <c r="C2169"/>
  <c r="D2168"/>
  <c r="C2839"/>
  <c r="D2838"/>
  <c r="D2643"/>
  <c r="D2791"/>
  <c r="D2903"/>
  <c r="D2958"/>
  <c r="D2533"/>
  <c r="C3197"/>
  <c r="D3196"/>
  <c r="D3039"/>
  <c r="D3155"/>
  <c r="C2303" l="1"/>
  <c r="D2302"/>
  <c r="D3154"/>
  <c r="D3038"/>
  <c r="C3196"/>
  <c r="D3195"/>
  <c r="D2532"/>
  <c r="D2957"/>
  <c r="D2902"/>
  <c r="D2790"/>
  <c r="D2642"/>
  <c r="C2838"/>
  <c r="D2837"/>
  <c r="C2168"/>
  <c r="D2167"/>
  <c r="D1893"/>
  <c r="D1802"/>
  <c r="D2706"/>
  <c r="D2655"/>
  <c r="D2416"/>
  <c r="D2859"/>
  <c r="D1776"/>
  <c r="D2926"/>
  <c r="C2598"/>
  <c r="D2597"/>
  <c r="D2032"/>
  <c r="C1742"/>
  <c r="D1741"/>
  <c r="C2067"/>
  <c r="D2066"/>
  <c r="D1995"/>
  <c r="D1941"/>
  <c r="D1864"/>
  <c r="C1702"/>
  <c r="D1701"/>
  <c r="D3014"/>
  <c r="C3280"/>
  <c r="D3279"/>
  <c r="D2683"/>
  <c r="D2381"/>
  <c r="C2302" l="1"/>
  <c r="D2301"/>
  <c r="D2380"/>
  <c r="D2682"/>
  <c r="C3279"/>
  <c r="D3278"/>
  <c r="D3013"/>
  <c r="C1701"/>
  <c r="D1700"/>
  <c r="D1863"/>
  <c r="D1940"/>
  <c r="D1994"/>
  <c r="C2066"/>
  <c r="D2065"/>
  <c r="C1741"/>
  <c r="D1740"/>
  <c r="D2031"/>
  <c r="C2597"/>
  <c r="D2596"/>
  <c r="D2925"/>
  <c r="D1775"/>
  <c r="D2858"/>
  <c r="D2415"/>
  <c r="D2654"/>
  <c r="D2705"/>
  <c r="D1801"/>
  <c r="D1892"/>
  <c r="C2167"/>
  <c r="D2166"/>
  <c r="C2837"/>
  <c r="D2836"/>
  <c r="D2641"/>
  <c r="D2789"/>
  <c r="D2901"/>
  <c r="D2955"/>
  <c r="D2531"/>
  <c r="C3195"/>
  <c r="C3193" s="1"/>
  <c r="C3192" s="1"/>
  <c r="C3191" s="1"/>
  <c r="C3190" s="1"/>
  <c r="C3189" s="1"/>
  <c r="C3188" s="1"/>
  <c r="C3187" s="1"/>
  <c r="C3186" s="1"/>
  <c r="C3185" s="1"/>
  <c r="C3184" s="1"/>
  <c r="C3183" s="1"/>
  <c r="C3182" s="1"/>
  <c r="C3181" s="1"/>
  <c r="C3180" s="1"/>
  <c r="C3179" s="1"/>
  <c r="C3178" s="1"/>
  <c r="C3177" s="1"/>
  <c r="C3176" s="1"/>
  <c r="C3175" s="1"/>
  <c r="C3174" s="1"/>
  <c r="C3173" s="1"/>
  <c r="C3172" s="1"/>
  <c r="C3171" s="1"/>
  <c r="C3167" s="1"/>
  <c r="C3166" s="1"/>
  <c r="C3165" s="1"/>
  <c r="C3163" s="1"/>
  <c r="C3161" s="1"/>
  <c r="C3160" s="1"/>
  <c r="C3157" s="1"/>
  <c r="C3156" s="1"/>
  <c r="C3155" s="1"/>
  <c r="C3154" s="1"/>
  <c r="D3194"/>
  <c r="D3037"/>
  <c r="D3153"/>
  <c r="C2301" l="1"/>
  <c r="D2300"/>
  <c r="C3153"/>
  <c r="D3152"/>
  <c r="D3036"/>
  <c r="D2530"/>
  <c r="D2954"/>
  <c r="D2900"/>
  <c r="D2788"/>
  <c r="D2640"/>
  <c r="C2836"/>
  <c r="D2834"/>
  <c r="C2166"/>
  <c r="D2165"/>
  <c r="D1891"/>
  <c r="D1800"/>
  <c r="D2704"/>
  <c r="D2653"/>
  <c r="D2414"/>
  <c r="D2857"/>
  <c r="D1774"/>
  <c r="D2922"/>
  <c r="C2596"/>
  <c r="D2595"/>
  <c r="D2030"/>
  <c r="C1740"/>
  <c r="D1739"/>
  <c r="C2065"/>
  <c r="D2064"/>
  <c r="D1993"/>
  <c r="D1939"/>
  <c r="D1862"/>
  <c r="C1700"/>
  <c r="D1699"/>
  <c r="D3012"/>
  <c r="C3278"/>
  <c r="D3277"/>
  <c r="D2681"/>
  <c r="D2379"/>
  <c r="C2300" l="1"/>
  <c r="D2299"/>
  <c r="D2378"/>
  <c r="D2680"/>
  <c r="C3277"/>
  <c r="D3276"/>
  <c r="D3011"/>
  <c r="C1699"/>
  <c r="D1698"/>
  <c r="D1861"/>
  <c r="D1938"/>
  <c r="D1992"/>
  <c r="C2064"/>
  <c r="D2063"/>
  <c r="C1739"/>
  <c r="D1738"/>
  <c r="D2029"/>
  <c r="C2595"/>
  <c r="D2594"/>
  <c r="D2921"/>
  <c r="D1773"/>
  <c r="D2856"/>
  <c r="D2413"/>
  <c r="D2703"/>
  <c r="D1799"/>
  <c r="D1890"/>
  <c r="C2165"/>
  <c r="D2164"/>
  <c r="C2834"/>
  <c r="D2833"/>
  <c r="D2639"/>
  <c r="D2787"/>
  <c r="D2899"/>
  <c r="D2953"/>
  <c r="D2529"/>
  <c r="D3035"/>
  <c r="C3152"/>
  <c r="D3151"/>
  <c r="C2299" l="1"/>
  <c r="D2298"/>
  <c r="C3151"/>
  <c r="D3150"/>
  <c r="D3034"/>
  <c r="D2528"/>
  <c r="D2898"/>
  <c r="D2786"/>
  <c r="D2638"/>
  <c r="C2833"/>
  <c r="D2832"/>
  <c r="C2164"/>
  <c r="D2163"/>
  <c r="D1889"/>
  <c r="D1798"/>
  <c r="D2702"/>
  <c r="D2412"/>
  <c r="D2854"/>
  <c r="D1772"/>
  <c r="D2920"/>
  <c r="C2594"/>
  <c r="D2593"/>
  <c r="D2028"/>
  <c r="C1738"/>
  <c r="D1735"/>
  <c r="C2063"/>
  <c r="D2062"/>
  <c r="D1991"/>
  <c r="D1937"/>
  <c r="D1860"/>
  <c r="C1698"/>
  <c r="D1697"/>
  <c r="D3010"/>
  <c r="C3276"/>
  <c r="D3275"/>
  <c r="D2679"/>
  <c r="D2377"/>
  <c r="C2298" l="1"/>
  <c r="D2297"/>
  <c r="D2376"/>
  <c r="D2678"/>
  <c r="C3275"/>
  <c r="D3274"/>
  <c r="D3009"/>
  <c r="C1697"/>
  <c r="D1695"/>
  <c r="D1859"/>
  <c r="D1936"/>
  <c r="D1984"/>
  <c r="C2062"/>
  <c r="D2061"/>
  <c r="C1735"/>
  <c r="D1734"/>
  <c r="D2027"/>
  <c r="C2593"/>
  <c r="D2592"/>
  <c r="D2919"/>
  <c r="D1771"/>
  <c r="D2853"/>
  <c r="D2411"/>
  <c r="D2701"/>
  <c r="D1797"/>
  <c r="D1888"/>
  <c r="C2163"/>
  <c r="D2162"/>
  <c r="C2832"/>
  <c r="D2831"/>
  <c r="D2637"/>
  <c r="D2785"/>
  <c r="D2897"/>
  <c r="D2527"/>
  <c r="D3033"/>
  <c r="C3150"/>
  <c r="D3149"/>
  <c r="C2297" l="1"/>
  <c r="D2296"/>
  <c r="C3149"/>
  <c r="D3148"/>
  <c r="D3032"/>
  <c r="D2526"/>
  <c r="D2896"/>
  <c r="D2784"/>
  <c r="D2636"/>
  <c r="C2831"/>
  <c r="D2830"/>
  <c r="C2162"/>
  <c r="D2161"/>
  <c r="D1887"/>
  <c r="D1796"/>
  <c r="D2700"/>
  <c r="D2410"/>
  <c r="D2852"/>
  <c r="D1770"/>
  <c r="D2918"/>
  <c r="C2592"/>
  <c r="D2591"/>
  <c r="D2026"/>
  <c r="C1734"/>
  <c r="D1733"/>
  <c r="C2061"/>
  <c r="D2060"/>
  <c r="D1983"/>
  <c r="D1935"/>
  <c r="D1858"/>
  <c r="C1695"/>
  <c r="D1694"/>
  <c r="D3008"/>
  <c r="C3274"/>
  <c r="D3273"/>
  <c r="D2677"/>
  <c r="C2296" l="1"/>
  <c r="D2295"/>
  <c r="D2676"/>
  <c r="C3273"/>
  <c r="C3271" s="1"/>
  <c r="C3270" s="1"/>
  <c r="C3269" s="1"/>
  <c r="C3268" s="1"/>
  <c r="C3267" s="1"/>
  <c r="C3266" s="1"/>
  <c r="C3265" s="1"/>
  <c r="C3264" s="1"/>
  <c r="C3263" s="1"/>
  <c r="C3262" s="1"/>
  <c r="C3261" s="1"/>
  <c r="C3260" s="1"/>
  <c r="C3259" s="1"/>
  <c r="C3258" s="1"/>
  <c r="C3257" s="1"/>
  <c r="C3256" s="1"/>
  <c r="C3255" s="1"/>
  <c r="C3254" s="1"/>
  <c r="C3253" s="1"/>
  <c r="D3272"/>
  <c r="D3007"/>
  <c r="C1694"/>
  <c r="D1693"/>
  <c r="D1857"/>
  <c r="D1934"/>
  <c r="D1982"/>
  <c r="C2060"/>
  <c r="D2059"/>
  <c r="C1733"/>
  <c r="D1731"/>
  <c r="D2025"/>
  <c r="C2591"/>
  <c r="D2583"/>
  <c r="D2916"/>
  <c r="D1768"/>
  <c r="D2850"/>
  <c r="D2409"/>
  <c r="D2699"/>
  <c r="D1795"/>
  <c r="D1886"/>
  <c r="C2161"/>
  <c r="D2160"/>
  <c r="C2830"/>
  <c r="D2829"/>
  <c r="D2635"/>
  <c r="D2783"/>
  <c r="D2894"/>
  <c r="D2525"/>
  <c r="D3031"/>
  <c r="C3148"/>
  <c r="D3147"/>
  <c r="C2295" l="1"/>
  <c r="D2294"/>
  <c r="C3147"/>
  <c r="D3146"/>
  <c r="D3030"/>
  <c r="D2524"/>
  <c r="D2893"/>
  <c r="D2782"/>
  <c r="D2634"/>
  <c r="C2829"/>
  <c r="D2828"/>
  <c r="C2160"/>
  <c r="D2159"/>
  <c r="D1885"/>
  <c r="D1794"/>
  <c r="D2698"/>
  <c r="D2408"/>
  <c r="D2849"/>
  <c r="D1767"/>
  <c r="D2915"/>
  <c r="C2583"/>
  <c r="D2582"/>
  <c r="D2024"/>
  <c r="C1731"/>
  <c r="D1730"/>
  <c r="C2059"/>
  <c r="D2058"/>
  <c r="D1981"/>
  <c r="D1933"/>
  <c r="D1856"/>
  <c r="C1693"/>
  <c r="D1692"/>
  <c r="D3006"/>
  <c r="D2675"/>
  <c r="C2294" l="1"/>
  <c r="D2293"/>
  <c r="D2674"/>
  <c r="D3005"/>
  <c r="C1692"/>
  <c r="D1691"/>
  <c r="D1855"/>
  <c r="D1932"/>
  <c r="D1980"/>
  <c r="C2058"/>
  <c r="D2057"/>
  <c r="C1730"/>
  <c r="D1729"/>
  <c r="D2023"/>
  <c r="C2582"/>
  <c r="D2581"/>
  <c r="D2914"/>
  <c r="D1766"/>
  <c r="D2407"/>
  <c r="D2697"/>
  <c r="D1793"/>
  <c r="D1884"/>
  <c r="C2159"/>
  <c r="D2158"/>
  <c r="C2828"/>
  <c r="D2826"/>
  <c r="D2633"/>
  <c r="D2781"/>
  <c r="D2892"/>
  <c r="D2523"/>
  <c r="D3029"/>
  <c r="C3146"/>
  <c r="D3145"/>
  <c r="C2293" l="1"/>
  <c r="D2292"/>
  <c r="C3145"/>
  <c r="D3144"/>
  <c r="D3028"/>
  <c r="D2522"/>
  <c r="D2780"/>
  <c r="D2632"/>
  <c r="C2826"/>
  <c r="D2825"/>
  <c r="C2158"/>
  <c r="D2157"/>
  <c r="D1883"/>
  <c r="D2696"/>
  <c r="D2406"/>
  <c r="D1765"/>
  <c r="D2913"/>
  <c r="C2581"/>
  <c r="D2580"/>
  <c r="D2022"/>
  <c r="C1729"/>
  <c r="D1728"/>
  <c r="C2057"/>
  <c r="D2056"/>
  <c r="D1979"/>
  <c r="D1931"/>
  <c r="D1854"/>
  <c r="C1691"/>
  <c r="D1690"/>
  <c r="D3004"/>
  <c r="D2673"/>
  <c r="C2292" l="1"/>
  <c r="D2290"/>
  <c r="D2672"/>
  <c r="D3003"/>
  <c r="C1690"/>
  <c r="D1689"/>
  <c r="D1853"/>
  <c r="D1930"/>
  <c r="D1978"/>
  <c r="C2056"/>
  <c r="D2055"/>
  <c r="C1728"/>
  <c r="D1727"/>
  <c r="D2021"/>
  <c r="C2580"/>
  <c r="D2579"/>
  <c r="D1764"/>
  <c r="D2405"/>
  <c r="D2695"/>
  <c r="D1882"/>
  <c r="C2157"/>
  <c r="D2156"/>
  <c r="C2825"/>
  <c r="D2824"/>
  <c r="D2631"/>
  <c r="D2779"/>
  <c r="D2521"/>
  <c r="D3027"/>
  <c r="C3144"/>
  <c r="D3143"/>
  <c r="C2290" l="1"/>
  <c r="D2289"/>
  <c r="C3143"/>
  <c r="D3142"/>
  <c r="D3026"/>
  <c r="D2517"/>
  <c r="D2778"/>
  <c r="D2630"/>
  <c r="C2824"/>
  <c r="D2823"/>
  <c r="C2156"/>
  <c r="D2155"/>
  <c r="D1881"/>
  <c r="D2694"/>
  <c r="D2404"/>
  <c r="D1763"/>
  <c r="C2579"/>
  <c r="D2578"/>
  <c r="D2020"/>
  <c r="C1727"/>
  <c r="D1726"/>
  <c r="C2055"/>
  <c r="D2049"/>
  <c r="D1977"/>
  <c r="D1929"/>
  <c r="D1852"/>
  <c r="C1689"/>
  <c r="D1688"/>
  <c r="D3002"/>
  <c r="D2671"/>
  <c r="C2289" l="1"/>
  <c r="C2288" s="1"/>
  <c r="C2287" s="1"/>
  <c r="C2286" s="1"/>
  <c r="C2285" s="1"/>
  <c r="C2284" s="1"/>
  <c r="C2283" s="1"/>
  <c r="C2279" s="1"/>
  <c r="C2278" s="1"/>
  <c r="C2277" s="1"/>
  <c r="C2276" s="1"/>
  <c r="C2274" s="1"/>
  <c r="C2273" s="1"/>
  <c r="C2271" s="1"/>
  <c r="C2270" s="1"/>
  <c r="C2269" s="1"/>
  <c r="C2268" s="1"/>
  <c r="C2267" s="1"/>
  <c r="C2266" s="1"/>
  <c r="C2265" s="1"/>
  <c r="C2264" s="1"/>
  <c r="C2263" s="1"/>
  <c r="C2262" s="1"/>
  <c r="C2261" s="1"/>
  <c r="C2260" s="1"/>
  <c r="C2259" s="1"/>
  <c r="C2258" s="1"/>
  <c r="C2257" s="1"/>
  <c r="C2256" s="1"/>
  <c r="C2255" s="1"/>
  <c r="C2254" s="1"/>
  <c r="C2253" s="1"/>
  <c r="C2252" s="1"/>
  <c r="C2251" s="1"/>
  <c r="D2288"/>
  <c r="D2287" s="1"/>
  <c r="D2286" s="1"/>
  <c r="D2285" s="1"/>
  <c r="D2284" s="1"/>
  <c r="D2283" s="1"/>
  <c r="D2279" s="1"/>
  <c r="D2278" s="1"/>
  <c r="D2277" s="1"/>
  <c r="D2276" s="1"/>
  <c r="D2274" s="1"/>
  <c r="D2273" s="1"/>
  <c r="D2272" s="1"/>
  <c r="D2670"/>
  <c r="D3000"/>
  <c r="C1688"/>
  <c r="D1687"/>
  <c r="D1851"/>
  <c r="D1928"/>
  <c r="D1976"/>
  <c r="C2049"/>
  <c r="D2048"/>
  <c r="C1726"/>
  <c r="D1725"/>
  <c r="D2019"/>
  <c r="C2578"/>
  <c r="C2570" s="1"/>
  <c r="C2569" s="1"/>
  <c r="C2568" s="1"/>
  <c r="C2567" s="1"/>
  <c r="C2566" s="1"/>
  <c r="C2565" s="1"/>
  <c r="C2564" s="1"/>
  <c r="C2563" s="1"/>
  <c r="C2562" s="1"/>
  <c r="C2561" s="1"/>
  <c r="C2560" s="1"/>
  <c r="C2559" s="1"/>
  <c r="C2558" s="1"/>
  <c r="C2557" s="1"/>
  <c r="C2556" s="1"/>
  <c r="C2555" s="1"/>
  <c r="C2554" s="1"/>
  <c r="C2553" s="1"/>
  <c r="C2552" s="1"/>
  <c r="C2551" s="1"/>
  <c r="C2550" s="1"/>
  <c r="C2549" s="1"/>
  <c r="C2548" s="1"/>
  <c r="C2546" s="1"/>
  <c r="C2545" s="1"/>
  <c r="C2544" s="1"/>
  <c r="C2543" s="1"/>
  <c r="C2542" s="1"/>
  <c r="C2541" s="1"/>
  <c r="C2540" s="1"/>
  <c r="C2539" s="1"/>
  <c r="C2538" s="1"/>
  <c r="C2537" s="1"/>
  <c r="C2536" s="1"/>
  <c r="C2535" s="1"/>
  <c r="C2534" s="1"/>
  <c r="C2533" s="1"/>
  <c r="C2532" s="1"/>
  <c r="C2531" s="1"/>
  <c r="C2530" s="1"/>
  <c r="C2529" s="1"/>
  <c r="C2528" s="1"/>
  <c r="C2527" s="1"/>
  <c r="C2526" s="1"/>
  <c r="C2525" s="1"/>
  <c r="C2524" s="1"/>
  <c r="C2523" s="1"/>
  <c r="C2522" s="1"/>
  <c r="C2521" s="1"/>
  <c r="C2513" s="1"/>
  <c r="C2512" s="1"/>
  <c r="C2511" s="1"/>
  <c r="C2510" s="1"/>
  <c r="C2509" s="1"/>
  <c r="C2508" s="1"/>
  <c r="C2507" s="1"/>
  <c r="C2506" s="1"/>
  <c r="C2505" s="1"/>
  <c r="C2504" s="1"/>
  <c r="C2503" s="1"/>
  <c r="C2502" s="1"/>
  <c r="C2501" s="1"/>
  <c r="C2500" s="1"/>
  <c r="C2499" s="1"/>
  <c r="C2498" s="1"/>
  <c r="C2497" s="1"/>
  <c r="C2496" s="1"/>
  <c r="C2495" s="1"/>
  <c r="C2494" s="1"/>
  <c r="C2493" s="1"/>
  <c r="C2485" s="1"/>
  <c r="C2484" s="1"/>
  <c r="C2483" s="1"/>
  <c r="C2482" s="1"/>
  <c r="C2481" s="1"/>
  <c r="C2477" s="1"/>
  <c r="C2476" s="1"/>
  <c r="C2475" s="1"/>
  <c r="C2474" s="1"/>
  <c r="C2473" s="1"/>
  <c r="C2472" s="1"/>
  <c r="C2471" s="1"/>
  <c r="C2470" s="1"/>
  <c r="C2469" s="1"/>
  <c r="C2468" s="1"/>
  <c r="C2467" s="1"/>
  <c r="C2466" s="1"/>
  <c r="C2465" s="1"/>
  <c r="C2464" s="1"/>
  <c r="C2463" s="1"/>
  <c r="C2462" s="1"/>
  <c r="C2461" s="1"/>
  <c r="C2460" s="1"/>
  <c r="C2459" s="1"/>
  <c r="C2458" s="1"/>
  <c r="C2457" s="1"/>
  <c r="C2453" s="1"/>
  <c r="C2452" s="1"/>
  <c r="C2451" s="1"/>
  <c r="C2450" s="1"/>
  <c r="C2448" s="1"/>
  <c r="C2447" s="1"/>
  <c r="C2446" s="1"/>
  <c r="C2445" s="1"/>
  <c r="C2444" s="1"/>
  <c r="C2443" s="1"/>
  <c r="C2442" s="1"/>
  <c r="C2441" s="1"/>
  <c r="C2440" s="1"/>
  <c r="C2439" s="1"/>
  <c r="C2438" s="1"/>
  <c r="C2437" s="1"/>
  <c r="C2436" s="1"/>
  <c r="C2435" s="1"/>
  <c r="C2432" s="1"/>
  <c r="C2431" s="1"/>
  <c r="C2430" s="1"/>
  <c r="C2429" s="1"/>
  <c r="C2426" s="1"/>
  <c r="C2425" s="1"/>
  <c r="C2424" s="1"/>
  <c r="C2423" s="1"/>
  <c r="C2422" s="1"/>
  <c r="C2421" s="1"/>
  <c r="C2420" s="1"/>
  <c r="C2419" s="1"/>
  <c r="C2418" s="1"/>
  <c r="C2417" s="1"/>
  <c r="C2416" s="1"/>
  <c r="C2415" s="1"/>
  <c r="C2414" s="1"/>
  <c r="C2413" s="1"/>
  <c r="C2412" s="1"/>
  <c r="C2411" s="1"/>
  <c r="C2410" s="1"/>
  <c r="C2409" s="1"/>
  <c r="C2408" s="1"/>
  <c r="C2407" s="1"/>
  <c r="C2406" s="1"/>
  <c r="C2405" s="1"/>
  <c r="C2404" s="1"/>
  <c r="D2577"/>
  <c r="D1762"/>
  <c r="D2403"/>
  <c r="D1878"/>
  <c r="C2155"/>
  <c r="D2154"/>
  <c r="C2823"/>
  <c r="D2822"/>
  <c r="D2777"/>
  <c r="C3142"/>
  <c r="D3141"/>
  <c r="C3141" l="1"/>
  <c r="D3140"/>
  <c r="D2776"/>
  <c r="C2822"/>
  <c r="D2821"/>
  <c r="C2154"/>
  <c r="C2151" s="1"/>
  <c r="C2150" s="1"/>
  <c r="C2149" s="1"/>
  <c r="C2148" s="1"/>
  <c r="C2147" s="1"/>
  <c r="C2146" s="1"/>
  <c r="C2145" s="1"/>
  <c r="C2144" s="1"/>
  <c r="C2143" s="1"/>
  <c r="C2142" s="1"/>
  <c r="C2141" s="1"/>
  <c r="C2140" s="1"/>
  <c r="C2139" s="1"/>
  <c r="C2138" s="1"/>
  <c r="C2137" s="1"/>
  <c r="C2136" s="1"/>
  <c r="C2135" s="1"/>
  <c r="C2134" s="1"/>
  <c r="C2133" s="1"/>
  <c r="C2132" s="1"/>
  <c r="C2131" s="1"/>
  <c r="C2130" s="1"/>
  <c r="C2129" s="1"/>
  <c r="C2128" s="1"/>
  <c r="C2127" s="1"/>
  <c r="C2122" s="1"/>
  <c r="C2121" s="1"/>
  <c r="C2120" s="1"/>
  <c r="C2119" s="1"/>
  <c r="C2117" s="1"/>
  <c r="C2116" s="1"/>
  <c r="C2115" s="1"/>
  <c r="C2114" s="1"/>
  <c r="C2113" s="1"/>
  <c r="C2112" s="1"/>
  <c r="C2111" s="1"/>
  <c r="C2110" s="1"/>
  <c r="C2109" s="1"/>
  <c r="C2108" s="1"/>
  <c r="C2107" s="1"/>
  <c r="C2106" s="1"/>
  <c r="C2105" s="1"/>
  <c r="C2104" s="1"/>
  <c r="C2103" s="1"/>
  <c r="C2102" s="1"/>
  <c r="C2101" s="1"/>
  <c r="C2100" s="1"/>
  <c r="C2099" s="1"/>
  <c r="C2098" s="1"/>
  <c r="C2097" s="1"/>
  <c r="C2096" s="1"/>
  <c r="C2095" s="1"/>
  <c r="C2094" s="1"/>
  <c r="C2093" s="1"/>
  <c r="C2092" s="1"/>
  <c r="C2090" s="1"/>
  <c r="C2089" s="1"/>
  <c r="D2153"/>
  <c r="E2087" s="1"/>
  <c r="X2087" s="1"/>
  <c r="D1877"/>
  <c r="C2403"/>
  <c r="D2402"/>
  <c r="D1761"/>
  <c r="D2018"/>
  <c r="C1725"/>
  <c r="D1724"/>
  <c r="C2048"/>
  <c r="D2047"/>
  <c r="D1975"/>
  <c r="D1927"/>
  <c r="D1850"/>
  <c r="C1687"/>
  <c r="D1686"/>
  <c r="D2996"/>
  <c r="D2995" l="1"/>
  <c r="C1686"/>
  <c r="D1685"/>
  <c r="D1849"/>
  <c r="D1926"/>
  <c r="D1973"/>
  <c r="C2047"/>
  <c r="D2046"/>
  <c r="C1724"/>
  <c r="D1723"/>
  <c r="D2017"/>
  <c r="D1760"/>
  <c r="C2402"/>
  <c r="C2400" s="1"/>
  <c r="C2399" s="1"/>
  <c r="C2398" s="1"/>
  <c r="C2397" s="1"/>
  <c r="C2396" s="1"/>
  <c r="C2395" s="1"/>
  <c r="C2394" s="1"/>
  <c r="C2393" s="1"/>
  <c r="C2392" s="1"/>
  <c r="C2391" s="1"/>
  <c r="C2390" s="1"/>
  <c r="C2389" s="1"/>
  <c r="C2388" s="1"/>
  <c r="C2387" s="1"/>
  <c r="C2386" s="1"/>
  <c r="C2385" s="1"/>
  <c r="C2384" s="1"/>
  <c r="C2383" s="1"/>
  <c r="C2382" s="1"/>
  <c r="C2381" s="1"/>
  <c r="C2380" s="1"/>
  <c r="C2379" s="1"/>
  <c r="C2378" s="1"/>
  <c r="C2377" s="1"/>
  <c r="C2374" s="1"/>
  <c r="C2373" s="1"/>
  <c r="C2372" s="1"/>
  <c r="C2371" s="1"/>
  <c r="C2370" s="1"/>
  <c r="C2369" s="1"/>
  <c r="C2368" s="1"/>
  <c r="C2365" s="1"/>
  <c r="C2364" s="1"/>
  <c r="C2363" s="1"/>
  <c r="C2362" s="1"/>
  <c r="C2361" s="1"/>
  <c r="C2360" s="1"/>
  <c r="C2359" s="1"/>
  <c r="C2357" s="1"/>
  <c r="C2356" s="1"/>
  <c r="C2355" s="1"/>
  <c r="C2354" s="1"/>
  <c r="C2353" s="1"/>
  <c r="C2352" s="1"/>
  <c r="C2351" s="1"/>
  <c r="C2350" s="1"/>
  <c r="C2349" s="1"/>
  <c r="C2348" s="1"/>
  <c r="C2347" s="1"/>
  <c r="C2346" s="1"/>
  <c r="C2345" s="1"/>
  <c r="C2344" s="1"/>
  <c r="C2343" s="1"/>
  <c r="C2342" s="1"/>
  <c r="C2341" s="1"/>
  <c r="C2340" s="1"/>
  <c r="C2339" s="1"/>
  <c r="C2338" s="1"/>
  <c r="D2401"/>
  <c r="E2335" s="1"/>
  <c r="X2335" s="1"/>
  <c r="D1876"/>
  <c r="C2821"/>
  <c r="D2820"/>
  <c r="D2774"/>
  <c r="C3140"/>
  <c r="C3138" s="1"/>
  <c r="C3136" s="1"/>
  <c r="C3135" s="1"/>
  <c r="C3133" s="1"/>
  <c r="C3132" s="1"/>
  <c r="C3131" s="1"/>
  <c r="C3127" s="1"/>
  <c r="C3125" s="1"/>
  <c r="C3124" s="1"/>
  <c r="C3123" s="1"/>
  <c r="C3122" s="1"/>
  <c r="C3121" s="1"/>
  <c r="C3120" s="1"/>
  <c r="C3119" s="1"/>
  <c r="C3117" s="1"/>
  <c r="C3116" s="1"/>
  <c r="C3115" s="1"/>
  <c r="C3114" s="1"/>
  <c r="C3113" s="1"/>
  <c r="C3111" s="1"/>
  <c r="C3110" s="1"/>
  <c r="C3108" s="1"/>
  <c r="C3107" s="1"/>
  <c r="C3106" s="1"/>
  <c r="C3102" s="1"/>
  <c r="C3101" s="1"/>
  <c r="C3100" s="1"/>
  <c r="C3099" s="1"/>
  <c r="C3098" s="1"/>
  <c r="C3097" s="1"/>
  <c r="C3096" s="1"/>
  <c r="C3095" s="1"/>
  <c r="C3094" s="1"/>
  <c r="C3093" s="1"/>
  <c r="C3092" s="1"/>
  <c r="C3091" s="1"/>
  <c r="C3090" s="1"/>
  <c r="C3089" s="1"/>
  <c r="C3087" s="1"/>
  <c r="C3086" s="1"/>
  <c r="C3085" s="1"/>
  <c r="C3084" s="1"/>
  <c r="C3083" s="1"/>
  <c r="C3082" s="1"/>
  <c r="C3079" s="1"/>
  <c r="C3077" s="1"/>
  <c r="C3076" s="1"/>
  <c r="C3075" s="1"/>
  <c r="C3074" s="1"/>
  <c r="C3073" s="1"/>
  <c r="C3072" s="1"/>
  <c r="C3071" s="1"/>
  <c r="C3070" s="1"/>
  <c r="C3069" s="1"/>
  <c r="C3068" s="1"/>
  <c r="C3066" s="1"/>
  <c r="C3065" s="1"/>
  <c r="C3064" s="1"/>
  <c r="C3062" s="1"/>
  <c r="C3061" s="1"/>
  <c r="C3060" s="1"/>
  <c r="C3059" s="1"/>
  <c r="C3058" s="1"/>
  <c r="C3057" s="1"/>
  <c r="C3056" s="1"/>
  <c r="C3055" s="1"/>
  <c r="C3054" s="1"/>
  <c r="C3053" s="1"/>
  <c r="C3052" s="1"/>
  <c r="C3051" s="1"/>
  <c r="C3050" s="1"/>
  <c r="C3049" s="1"/>
  <c r="C3048" s="1"/>
  <c r="C3047" s="1"/>
  <c r="C3044" s="1"/>
  <c r="C3042" s="1"/>
  <c r="C3040" s="1"/>
  <c r="C3039" s="1"/>
  <c r="C3038" s="1"/>
  <c r="C3037" s="1"/>
  <c r="C3036" s="1"/>
  <c r="C3035" s="1"/>
  <c r="C3034" s="1"/>
  <c r="C3033" s="1"/>
  <c r="C3032" s="1"/>
  <c r="C3031" s="1"/>
  <c r="C3030" s="1"/>
  <c r="C3029" s="1"/>
  <c r="C3028" s="1"/>
  <c r="C3027" s="1"/>
  <c r="C3025" s="1"/>
  <c r="C3024" s="1"/>
  <c r="C3023" s="1"/>
  <c r="C3022" s="1"/>
  <c r="C3021" s="1"/>
  <c r="C3020" s="1"/>
  <c r="C3019" s="1"/>
  <c r="C3018" s="1"/>
  <c r="C3015" s="1"/>
  <c r="C3014" s="1"/>
  <c r="C3013" s="1"/>
  <c r="C3012" s="1"/>
  <c r="C3011" s="1"/>
  <c r="C3010" s="1"/>
  <c r="C3009" s="1"/>
  <c r="C3008" s="1"/>
  <c r="C3007" s="1"/>
  <c r="C3006" s="1"/>
  <c r="C3005" s="1"/>
  <c r="C3004" s="1"/>
  <c r="C3003" s="1"/>
  <c r="C3002" s="1"/>
  <c r="C3000" s="1"/>
  <c r="C2996" s="1"/>
  <c r="D3139"/>
  <c r="D2773" l="1"/>
  <c r="C2820"/>
  <c r="D2819"/>
  <c r="D1875"/>
  <c r="C1723"/>
  <c r="D1722"/>
  <c r="C2046"/>
  <c r="C2043" s="1"/>
  <c r="C2042" s="1"/>
  <c r="C2041" s="1"/>
  <c r="C2040" s="1"/>
  <c r="C2039" s="1"/>
  <c r="C2038" s="1"/>
  <c r="C2037" s="1"/>
  <c r="C2036" s="1"/>
  <c r="C2035" s="1"/>
  <c r="C2034" s="1"/>
  <c r="C2033" s="1"/>
  <c r="C2032" s="1"/>
  <c r="C2031" s="1"/>
  <c r="C2030" s="1"/>
  <c r="C2029" s="1"/>
  <c r="C2028" s="1"/>
  <c r="C2027" s="1"/>
  <c r="C2026" s="1"/>
  <c r="C2025" s="1"/>
  <c r="C2024" s="1"/>
  <c r="C2023" s="1"/>
  <c r="C2022" s="1"/>
  <c r="C2021" s="1"/>
  <c r="C2020" s="1"/>
  <c r="C2019" s="1"/>
  <c r="C2018" s="1"/>
  <c r="C2017" s="1"/>
  <c r="C2011" s="1"/>
  <c r="C2010" s="1"/>
  <c r="C2009" s="1"/>
  <c r="C2008" s="1"/>
  <c r="C2007" s="1"/>
  <c r="C2005" s="1"/>
  <c r="C2004" s="1"/>
  <c r="C2003" s="1"/>
  <c r="C2002" s="1"/>
  <c r="C2001" s="1"/>
  <c r="C2000" s="1"/>
  <c r="C1999" s="1"/>
  <c r="C1998" s="1"/>
  <c r="C1997" s="1"/>
  <c r="C1996" s="1"/>
  <c r="C1995" s="1"/>
  <c r="C1994" s="1"/>
  <c r="C1993" s="1"/>
  <c r="C1992" s="1"/>
  <c r="C1991" s="1"/>
  <c r="C1984" s="1"/>
  <c r="C1983" s="1"/>
  <c r="C1982" s="1"/>
  <c r="C1981" s="1"/>
  <c r="C1980" s="1"/>
  <c r="C1979" s="1"/>
  <c r="C1978" s="1"/>
  <c r="C1977" s="1"/>
  <c r="C1976" s="1"/>
  <c r="C1975" s="1"/>
  <c r="C1972" s="1"/>
  <c r="C1971" s="1"/>
  <c r="C1970" s="1"/>
  <c r="C1969" s="1"/>
  <c r="C1968" s="1"/>
  <c r="C1964" s="1"/>
  <c r="C1963" s="1"/>
  <c r="C1962" s="1"/>
  <c r="C1961" s="1"/>
  <c r="C1960" s="1"/>
  <c r="C1959" s="1"/>
  <c r="C1957" s="1"/>
  <c r="C1956" s="1"/>
  <c r="C1955" s="1"/>
  <c r="C1954" s="1"/>
  <c r="C1953" s="1"/>
  <c r="C1952" s="1"/>
  <c r="C1951" s="1"/>
  <c r="C1950" s="1"/>
  <c r="C1947" s="1"/>
  <c r="C1946" s="1"/>
  <c r="C1945" s="1"/>
  <c r="C1944" s="1"/>
  <c r="C1943" s="1"/>
  <c r="C1942" s="1"/>
  <c r="C1941" s="1"/>
  <c r="C1940" s="1"/>
  <c r="C1939" s="1"/>
  <c r="C1938" s="1"/>
  <c r="C1937" s="1"/>
  <c r="C1936" s="1"/>
  <c r="C1935" s="1"/>
  <c r="C1934" s="1"/>
  <c r="C1933" s="1"/>
  <c r="C1932" s="1"/>
  <c r="C1931" s="1"/>
  <c r="C1930" s="1"/>
  <c r="C1929" s="1"/>
  <c r="C1928" s="1"/>
  <c r="C1927" s="1"/>
  <c r="C1926" s="1"/>
  <c r="D2044"/>
  <c r="D1925"/>
  <c r="D1848"/>
  <c r="C1685"/>
  <c r="D1684"/>
  <c r="C2995"/>
  <c r="D2993"/>
  <c r="C2993" l="1"/>
  <c r="D2992"/>
  <c r="C1684"/>
  <c r="D1683"/>
  <c r="D1847"/>
  <c r="C1925"/>
  <c r="D1924"/>
  <c r="E9"/>
  <c r="C1722"/>
  <c r="D1721"/>
  <c r="D1874"/>
  <c r="C2819"/>
  <c r="D2817"/>
  <c r="D2772"/>
  <c r="D2771" l="1"/>
  <c r="C2817"/>
  <c r="D2816"/>
  <c r="C1721"/>
  <c r="D1720"/>
  <c r="C1924"/>
  <c r="D1922"/>
  <c r="D1846"/>
  <c r="C1683"/>
  <c r="D1682"/>
  <c r="C2992"/>
  <c r="D2991"/>
  <c r="C2991" l="1"/>
  <c r="D2990"/>
  <c r="D1845"/>
  <c r="C1922"/>
  <c r="D1921"/>
  <c r="C1720"/>
  <c r="D1719"/>
  <c r="C2816"/>
  <c r="C2812" s="1"/>
  <c r="C2811" s="1"/>
  <c r="C2810" s="1"/>
  <c r="C2809" s="1"/>
  <c r="C2808" s="1"/>
  <c r="C2807" s="1"/>
  <c r="C2806" s="1"/>
  <c r="C2805" s="1"/>
  <c r="C2803" s="1"/>
  <c r="C2799" s="1"/>
  <c r="C2798" s="1"/>
  <c r="C2797" s="1"/>
  <c r="C2796" s="1"/>
  <c r="C2795" s="1"/>
  <c r="C2794" s="1"/>
  <c r="C2793" s="1"/>
  <c r="C2792" s="1"/>
  <c r="C2791" s="1"/>
  <c r="C2790" s="1"/>
  <c r="C2789" s="1"/>
  <c r="C2788" s="1"/>
  <c r="C2787" s="1"/>
  <c r="C2786" s="1"/>
  <c r="C2785" s="1"/>
  <c r="C2784" s="1"/>
  <c r="C2783" s="1"/>
  <c r="C2782" s="1"/>
  <c r="C2781" s="1"/>
  <c r="C2780" s="1"/>
  <c r="C2779" s="1"/>
  <c r="C2778" s="1"/>
  <c r="C2777" s="1"/>
  <c r="C2776" s="1"/>
  <c r="C2774" s="1"/>
  <c r="C2773" s="1"/>
  <c r="C2772" s="1"/>
  <c r="C2770" s="1"/>
  <c r="C2769" s="1"/>
  <c r="C2768" s="1"/>
  <c r="C2767" s="1"/>
  <c r="C2766" s="1"/>
  <c r="C2765" s="1"/>
  <c r="C2762" s="1"/>
  <c r="C2761" s="1"/>
  <c r="C2756" s="1"/>
  <c r="C2755" s="1"/>
  <c r="C2754" s="1"/>
  <c r="C2753" s="1"/>
  <c r="C2752" s="1"/>
  <c r="C2751" s="1"/>
  <c r="C2750" s="1"/>
  <c r="C2749" s="1"/>
  <c r="C2748" s="1"/>
  <c r="C2747" s="1"/>
  <c r="C2746" s="1"/>
  <c r="C2745" s="1"/>
  <c r="C2744" s="1"/>
  <c r="C2743" s="1"/>
  <c r="C2737" s="1"/>
  <c r="C2736" s="1"/>
  <c r="C2735" s="1"/>
  <c r="C2734" s="1"/>
  <c r="C2733" s="1"/>
  <c r="C2732" s="1"/>
  <c r="C2731" s="1"/>
  <c r="C2730" s="1"/>
  <c r="C2729" s="1"/>
  <c r="C2728" s="1"/>
  <c r="C2727" s="1"/>
  <c r="C2726" s="1"/>
  <c r="C2725" s="1"/>
  <c r="C2724" s="1"/>
  <c r="C2723" s="1"/>
  <c r="C2722" s="1"/>
  <c r="C2721" s="1"/>
  <c r="C2720" s="1"/>
  <c r="C2719" s="1"/>
  <c r="C2718" s="1"/>
  <c r="C2715" s="1"/>
  <c r="C2714" s="1"/>
  <c r="C2713" s="1"/>
  <c r="C2712" s="1"/>
  <c r="C2711" s="1"/>
  <c r="C2710" s="1"/>
  <c r="C2709" s="1"/>
  <c r="C2708" s="1"/>
  <c r="C2707" s="1"/>
  <c r="C2706" s="1"/>
  <c r="C2705" s="1"/>
  <c r="C2704" s="1"/>
  <c r="C2703" s="1"/>
  <c r="C2702" s="1"/>
  <c r="C2701" s="1"/>
  <c r="C2700" s="1"/>
  <c r="C2699" s="1"/>
  <c r="C2698" s="1"/>
  <c r="C2697" s="1"/>
  <c r="C2696" s="1"/>
  <c r="C2695" s="1"/>
  <c r="C2691" s="1"/>
  <c r="C2690" s="1"/>
  <c r="C2689" s="1"/>
  <c r="C2688" s="1"/>
  <c r="C2687" s="1"/>
  <c r="C2686" s="1"/>
  <c r="C2685" s="1"/>
  <c r="C2684" s="1"/>
  <c r="C2683" s="1"/>
  <c r="C2682" s="1"/>
  <c r="C2681" s="1"/>
  <c r="C2680" s="1"/>
  <c r="C2679" s="1"/>
  <c r="C2678" s="1"/>
  <c r="C2677" s="1"/>
  <c r="C2676" s="1"/>
  <c r="C2675" s="1"/>
  <c r="C2674" s="1"/>
  <c r="C2673" s="1"/>
  <c r="C2672" s="1"/>
  <c r="C2671" s="1"/>
  <c r="C2664" s="1"/>
  <c r="C2663" s="1"/>
  <c r="C2662" s="1"/>
  <c r="C2661" s="1"/>
  <c r="C2660" s="1"/>
  <c r="C2659" s="1"/>
  <c r="C2658" s="1"/>
  <c r="C2657" s="1"/>
  <c r="C2656" s="1"/>
  <c r="C2655" s="1"/>
  <c r="C2654" s="1"/>
  <c r="C2651" s="1"/>
  <c r="C2650" s="1"/>
  <c r="C2649" s="1"/>
  <c r="C2648" s="1"/>
  <c r="C2647" s="1"/>
  <c r="C2646" s="1"/>
  <c r="C2645" s="1"/>
  <c r="C2644" s="1"/>
  <c r="C2643" s="1"/>
  <c r="C2642" s="1"/>
  <c r="C2641" s="1"/>
  <c r="C2640" s="1"/>
  <c r="C2639" s="1"/>
  <c r="C2638" s="1"/>
  <c r="C2637" s="1"/>
  <c r="C2636" s="1"/>
  <c r="C2635" s="1"/>
  <c r="C2634" s="1"/>
  <c r="C2633" s="1"/>
  <c r="C2632" s="1"/>
  <c r="C2631" s="1"/>
  <c r="C2627" s="1"/>
  <c r="C2626" s="1"/>
  <c r="C2625" s="1"/>
  <c r="C2624" s="1"/>
  <c r="C2623" s="1"/>
  <c r="C2622" s="1"/>
  <c r="C2621" s="1"/>
  <c r="C2620" s="1"/>
  <c r="C2619" s="1"/>
  <c r="C2618" s="1"/>
  <c r="C2617" s="1"/>
  <c r="C2616" s="1"/>
  <c r="C2615" s="1"/>
  <c r="C2614" s="1"/>
  <c r="C2613" s="1"/>
  <c r="D2815"/>
  <c r="E2610" s="1"/>
  <c r="X2610" s="1"/>
  <c r="C1719" l="1"/>
  <c r="D1718"/>
  <c r="C1921"/>
  <c r="D1920"/>
  <c r="D1844"/>
  <c r="C2990"/>
  <c r="D2989"/>
  <c r="C2989" l="1"/>
  <c r="D2988"/>
  <c r="D1843"/>
  <c r="C1920"/>
  <c r="D1919"/>
  <c r="C1919" l="1"/>
  <c r="D1918"/>
  <c r="D1842"/>
  <c r="C2988"/>
  <c r="D2987"/>
  <c r="C2987" l="1"/>
  <c r="C2985" s="1"/>
  <c r="C2984" s="1"/>
  <c r="C2983" s="1"/>
  <c r="C2982" s="1"/>
  <c r="C2981" s="1"/>
  <c r="C2980" s="1"/>
  <c r="C2979" s="1"/>
  <c r="C2978" s="1"/>
  <c r="C2977" s="1"/>
  <c r="C2976" s="1"/>
  <c r="C2975" s="1"/>
  <c r="C2974" s="1"/>
  <c r="C2973" s="1"/>
  <c r="C2972" s="1"/>
  <c r="C2971" s="1"/>
  <c r="C2970" s="1"/>
  <c r="C2969" s="1"/>
  <c r="C2968" s="1"/>
  <c r="C2967" s="1"/>
  <c r="C2966" s="1"/>
  <c r="C2965" s="1"/>
  <c r="C2963" s="1"/>
  <c r="C2962" s="1"/>
  <c r="C2961" s="1"/>
  <c r="C2960" s="1"/>
  <c r="C2958" s="1"/>
  <c r="C2957" s="1"/>
  <c r="C2955" s="1"/>
  <c r="C2954" s="1"/>
  <c r="C2952" s="1"/>
  <c r="C2951" s="1"/>
  <c r="C2950" s="1"/>
  <c r="C2949" s="1"/>
  <c r="C2948" s="1"/>
  <c r="C2947" s="1"/>
  <c r="C2946" s="1"/>
  <c r="C2945" s="1"/>
  <c r="C2944" s="1"/>
  <c r="C2942" s="1"/>
  <c r="C2941" s="1"/>
  <c r="C2940" s="1"/>
  <c r="C2939" s="1"/>
  <c r="C2938" s="1"/>
  <c r="C2937" s="1"/>
  <c r="C2936" s="1"/>
  <c r="C2935" s="1"/>
  <c r="C2934" s="1"/>
  <c r="C2933" s="1"/>
  <c r="C2932" s="1"/>
  <c r="C2931" s="1"/>
  <c r="C2930" s="1"/>
  <c r="C2929" s="1"/>
  <c r="C2928" s="1"/>
  <c r="C2927" s="1"/>
  <c r="C2926" s="1"/>
  <c r="C2925" s="1"/>
  <c r="C2922" s="1"/>
  <c r="C2921" s="1"/>
  <c r="C2920" s="1"/>
  <c r="C2919" s="1"/>
  <c r="C2918" s="1"/>
  <c r="C2916" s="1"/>
  <c r="C2915" s="1"/>
  <c r="C2914" s="1"/>
  <c r="C2912" s="1"/>
  <c r="C2911" s="1"/>
  <c r="C2910" s="1"/>
  <c r="C2909" s="1"/>
  <c r="C2908" s="1"/>
  <c r="C2907" s="1"/>
  <c r="C2906" s="1"/>
  <c r="C2905" s="1"/>
  <c r="C2904" s="1"/>
  <c r="C2903" s="1"/>
  <c r="C2902" s="1"/>
  <c r="C2901" s="1"/>
  <c r="C2900" s="1"/>
  <c r="C2899" s="1"/>
  <c r="C2898" s="1"/>
  <c r="C2897" s="1"/>
  <c r="C2896" s="1"/>
  <c r="C2894" s="1"/>
  <c r="C2893" s="1"/>
  <c r="C2891" s="1"/>
  <c r="C2890" s="1"/>
  <c r="C2889" s="1"/>
  <c r="C2888" s="1"/>
  <c r="C2887" s="1"/>
  <c r="C2886" s="1"/>
  <c r="C2885" s="1"/>
  <c r="C2884" s="1"/>
  <c r="C2883" s="1"/>
  <c r="C2881" s="1"/>
  <c r="C2879" s="1"/>
  <c r="C2878" s="1"/>
  <c r="C2877" s="1"/>
  <c r="C2876" s="1"/>
  <c r="C2875" s="1"/>
  <c r="C2874" s="1"/>
  <c r="C2873" s="1"/>
  <c r="C2872" s="1"/>
  <c r="C2871" s="1"/>
  <c r="C2869" s="1"/>
  <c r="C2868" s="1"/>
  <c r="C2867" s="1"/>
  <c r="C2866" s="1"/>
  <c r="C2865" s="1"/>
  <c r="C2864" s="1"/>
  <c r="C2863" s="1"/>
  <c r="C2862" s="1"/>
  <c r="C2861" s="1"/>
  <c r="C2860" s="1"/>
  <c r="C2859" s="1"/>
  <c r="C2858" s="1"/>
  <c r="C2857" s="1"/>
  <c r="C2856" s="1"/>
  <c r="C2854" s="1"/>
  <c r="C2853" s="1"/>
  <c r="C2852" s="1"/>
  <c r="C2850" s="1"/>
  <c r="D2986"/>
  <c r="E2848" s="1"/>
  <c r="X2848" s="1"/>
  <c r="C1918"/>
  <c r="D1917"/>
  <c r="C1917" l="1"/>
  <c r="C1913" s="1"/>
  <c r="C1912" s="1"/>
  <c r="C1911" s="1"/>
  <c r="C1910" s="1"/>
  <c r="C1908" s="1"/>
  <c r="C1907" s="1"/>
  <c r="C1903" s="1"/>
  <c r="C1902" s="1"/>
  <c r="C1901" s="1"/>
  <c r="C1900" s="1"/>
  <c r="C1899" s="1"/>
  <c r="C1898" s="1"/>
  <c r="C1897" s="1"/>
  <c r="C1896" s="1"/>
  <c r="C1895" s="1"/>
  <c r="C1894" s="1"/>
  <c r="C1893" s="1"/>
  <c r="C1892" s="1"/>
  <c r="C1891" s="1"/>
  <c r="C1890" s="1"/>
  <c r="C1889" s="1"/>
  <c r="C1888" s="1"/>
  <c r="C1887" s="1"/>
  <c r="C1886" s="1"/>
  <c r="C1885" s="1"/>
  <c r="C1884" s="1"/>
  <c r="C1883" s="1"/>
  <c r="C1882" s="1"/>
  <c r="C1881" s="1"/>
  <c r="C1878" s="1"/>
  <c r="C1877" s="1"/>
  <c r="C1876" s="1"/>
  <c r="C1875" s="1"/>
  <c r="C1873" s="1"/>
  <c r="C1872" s="1"/>
  <c r="C1871" s="1"/>
  <c r="C1870" s="1"/>
  <c r="C1869" s="1"/>
  <c r="C1868" s="1"/>
  <c r="C1867" s="1"/>
  <c r="C1866" s="1"/>
  <c r="C1865" s="1"/>
  <c r="C1864" s="1"/>
  <c r="C1863" s="1"/>
  <c r="C1862" s="1"/>
  <c r="C1861" s="1"/>
  <c r="C1860" s="1"/>
  <c r="C1859" s="1"/>
  <c r="C1858" s="1"/>
  <c r="C1857" s="1"/>
  <c r="C1856" s="1"/>
  <c r="C1855" s="1"/>
  <c r="C1854" s="1"/>
  <c r="C1853" s="1"/>
  <c r="C1852" s="1"/>
  <c r="C1851" s="1"/>
  <c r="C1850" s="1"/>
  <c r="C1849" s="1"/>
  <c r="C1848" s="1"/>
  <c r="C1847" s="1"/>
  <c r="C1846" s="1"/>
  <c r="C1845" s="1"/>
  <c r="C1844" s="1"/>
  <c r="C1843" s="1"/>
  <c r="C1838" s="1"/>
  <c r="C1837" s="1"/>
  <c r="C1836" s="1"/>
  <c r="C1835" s="1"/>
  <c r="C1834" s="1"/>
  <c r="C1831" s="1"/>
  <c r="C1830" s="1"/>
  <c r="C1829" s="1"/>
  <c r="C1828" s="1"/>
  <c r="C1827" s="1"/>
  <c r="C1826" s="1"/>
  <c r="C1825" s="1"/>
  <c r="C1824" s="1"/>
  <c r="C1823" s="1"/>
  <c r="C1822" s="1"/>
  <c r="C1821" s="1"/>
  <c r="C1820" s="1"/>
  <c r="C1819" s="1"/>
  <c r="C1818" s="1"/>
  <c r="C1817" s="1"/>
  <c r="C1816" s="1"/>
  <c r="C1815" s="1"/>
  <c r="C1814" s="1"/>
  <c r="C1813" s="1"/>
  <c r="C1812" s="1"/>
  <c r="C1808" s="1"/>
  <c r="C1807" s="1"/>
  <c r="C1806" s="1"/>
  <c r="C1805" s="1"/>
  <c r="C1804" s="1"/>
  <c r="C1802" s="1"/>
  <c r="C1801" s="1"/>
  <c r="C1800" s="1"/>
  <c r="C1799" s="1"/>
  <c r="C1798" s="1"/>
  <c r="C1797" s="1"/>
  <c r="C1796" s="1"/>
  <c r="C1795" s="1"/>
  <c r="C1794" s="1"/>
  <c r="C1789" s="1"/>
  <c r="C1788" s="1"/>
  <c r="C1787" s="1"/>
  <c r="C1786" s="1"/>
  <c r="C1785" s="1"/>
  <c r="C1784" s="1"/>
  <c r="C1780" s="1"/>
  <c r="C1779" s="1"/>
  <c r="C1778" s="1"/>
  <c r="C1777" s="1"/>
  <c r="C1776" s="1"/>
  <c r="C1775" s="1"/>
  <c r="C1774" s="1"/>
  <c r="C1773" s="1"/>
  <c r="C1772" s="1"/>
  <c r="C1771" s="1"/>
  <c r="C1770" s="1"/>
  <c r="C1768" s="1"/>
  <c r="C1767" s="1"/>
  <c r="C1766" s="1"/>
  <c r="C1765" s="1"/>
  <c r="C1764" s="1"/>
  <c r="C1763" s="1"/>
  <c r="C1762" s="1"/>
  <c r="C1761" s="1"/>
  <c r="C1760" s="1"/>
  <c r="D1759" s="1"/>
  <c r="D1916"/>
  <c r="C1759" l="1"/>
  <c r="D1758"/>
  <c r="E1757" s="1"/>
  <c r="X1757" s="1"/>
  <c r="S3296" l="1"/>
  <c r="T3296" s="1"/>
  <c r="T3297" s="1"/>
  <c r="B180" i="3" l="1"/>
  <c r="B159"/>
  <c r="B160" s="1"/>
  <c r="B161" s="1"/>
  <c r="B162" s="1"/>
  <c r="B386"/>
  <c r="B387" s="1"/>
  <c r="B388" s="1"/>
  <c r="B389" s="1"/>
  <c r="B390" s="1"/>
  <c r="B391" s="1"/>
  <c r="B392" s="1"/>
  <c r="B393" s="1"/>
  <c r="B394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148"/>
  <c r="B149" s="1"/>
  <c r="B150" s="1"/>
  <c r="B151" s="1"/>
  <c r="B152" s="1"/>
  <c r="B153" s="1"/>
  <c r="B154" s="1"/>
  <c r="B368"/>
  <c r="B369" s="1"/>
  <c r="B370" s="1"/>
  <c r="B371" s="1"/>
  <c r="B372" s="1"/>
  <c r="B373" s="1"/>
  <c r="B374" s="1"/>
  <c r="B375" s="1"/>
  <c r="B376" s="1"/>
  <c r="B377" s="1"/>
  <c r="B378" s="1"/>
  <c r="B379" s="1"/>
  <c r="B380" s="1"/>
</calcChain>
</file>

<file path=xl/comments1.xml><?xml version="1.0" encoding="utf-8"?>
<comments xmlns="http://schemas.openxmlformats.org/spreadsheetml/2006/main">
  <authors>
    <author>CesarQ</author>
  </authors>
  <commentList>
    <comment ref="H668" authorId="0">
      <text>
        <r>
          <rPr>
            <sz val="8"/>
            <color indexed="10"/>
            <rFont val="Arial"/>
            <family val="2"/>
          </rPr>
          <t xml:space="preserve">Llanta Soplada, </t>
        </r>
        <r>
          <rPr>
            <sz val="8"/>
            <color indexed="81"/>
            <rFont val="Arial"/>
            <family val="2"/>
          </rPr>
          <t xml:space="preserve">impacto lateral, R-165 J.C.Asmat 18/08/2015 Auxilio x EJMB(ransa)
</t>
        </r>
      </text>
    </comment>
  </commentList>
</comments>
</file>

<file path=xl/sharedStrings.xml><?xml version="1.0" encoding="utf-8"?>
<sst xmlns="http://schemas.openxmlformats.org/spreadsheetml/2006/main" count="40074" uniqueCount="4115">
  <si>
    <t>Desprendimiento de junta en banda 10cm aprox</t>
  </si>
  <si>
    <t>130943</t>
  </si>
  <si>
    <t>0430707</t>
  </si>
  <si>
    <t>130945</t>
  </si>
  <si>
    <t>1521207</t>
  </si>
  <si>
    <t>00250614</t>
  </si>
  <si>
    <t>00240614</t>
  </si>
  <si>
    <t>0120113</t>
  </si>
  <si>
    <t>0350112</t>
  </si>
  <si>
    <t>0100113</t>
  </si>
  <si>
    <t>034912</t>
  </si>
  <si>
    <t>033912</t>
  </si>
  <si>
    <t>0260413</t>
  </si>
  <si>
    <t>0250413</t>
  </si>
  <si>
    <t>0100612</t>
  </si>
  <si>
    <t>225446</t>
  </si>
  <si>
    <t>225447</t>
  </si>
  <si>
    <t>0130207</t>
  </si>
  <si>
    <t>1360805</t>
  </si>
  <si>
    <t>OK</t>
  </si>
  <si>
    <t>1210804</t>
  </si>
  <si>
    <t>130946</t>
  </si>
  <si>
    <t>058082004</t>
  </si>
  <si>
    <t>0461001</t>
  </si>
  <si>
    <t>130602</t>
  </si>
  <si>
    <t>130603</t>
  </si>
  <si>
    <t>0700505</t>
  </si>
  <si>
    <t>0430509</t>
  </si>
  <si>
    <t>1060604</t>
  </si>
  <si>
    <t>F101-00000558</t>
  </si>
  <si>
    <t>Rechazada, Guia 030-0055070</t>
  </si>
  <si>
    <t>0001-005972</t>
  </si>
  <si>
    <t>G0001-001279</t>
  </si>
  <si>
    <t>Rechazada, G0001-001279</t>
  </si>
  <si>
    <t>0001-005973</t>
  </si>
  <si>
    <t>1420207</t>
  </si>
  <si>
    <t>0160114</t>
  </si>
  <si>
    <t>003466</t>
  </si>
  <si>
    <t>0600806</t>
  </si>
  <si>
    <t>000119</t>
  </si>
  <si>
    <t>Reencauchado con banda de 19mm</t>
  </si>
  <si>
    <t xml:space="preserve"> Con banda transplantada de 0590806</t>
  </si>
  <si>
    <t>00019</t>
  </si>
  <si>
    <t>000120</t>
  </si>
  <si>
    <t>Reencauchado con banda de 17mm</t>
  </si>
  <si>
    <t>1841004</t>
  </si>
  <si>
    <t>00120</t>
  </si>
  <si>
    <t>0590806</t>
  </si>
  <si>
    <t xml:space="preserve"> Llanta con casco lateral dañado, banda Ok pasa a desecho</t>
  </si>
  <si>
    <t>129525</t>
  </si>
  <si>
    <t>xx</t>
  </si>
  <si>
    <t>048092003</t>
  </si>
  <si>
    <t>129526</t>
  </si>
  <si>
    <t xml:space="preserve"> Llanta Rechazada, no se facturo, pelada y soplada</t>
  </si>
  <si>
    <t>0200209</t>
  </si>
  <si>
    <t>1801004</t>
  </si>
  <si>
    <t>0730505</t>
  </si>
  <si>
    <t>01776</t>
  </si>
  <si>
    <t>0270305</t>
  </si>
  <si>
    <t>0030306</t>
  </si>
  <si>
    <t>129527</t>
  </si>
  <si>
    <t>0220305</t>
  </si>
  <si>
    <t>0240207</t>
  </si>
  <si>
    <t>000302, 000303</t>
  </si>
  <si>
    <t>0771206</t>
  </si>
  <si>
    <t>1282092</t>
  </si>
  <si>
    <t>0550502</t>
  </si>
  <si>
    <t>1282093</t>
  </si>
  <si>
    <t>005032003</t>
  </si>
  <si>
    <t>1251207</t>
  </si>
  <si>
    <t>0480609</t>
  </si>
  <si>
    <t>1282094</t>
  </si>
  <si>
    <t>0200207</t>
  </si>
  <si>
    <t>000993</t>
  </si>
  <si>
    <t>0871007</t>
  </si>
  <si>
    <t>124549</t>
  </si>
  <si>
    <t>067112002</t>
  </si>
  <si>
    <t>124550</t>
  </si>
  <si>
    <t xml:space="preserve"> Llanta soplada al 31/05/10, se sacara banda Rem_14mm (Reenc Espinoza)</t>
  </si>
  <si>
    <t>0710405</t>
  </si>
  <si>
    <t>Estadistica de trabajos realizados en Llantas durante el  2010</t>
  </si>
  <si>
    <t>Tipo de Trabajo</t>
  </si>
  <si>
    <t>Cantidad</t>
  </si>
  <si>
    <t>Proveedor</t>
  </si>
  <si>
    <t>Costo Cero</t>
  </si>
  <si>
    <t>Acumulado de Llantas Utiles</t>
  </si>
  <si>
    <t>TOTAL Enviados</t>
  </si>
  <si>
    <t>ACUM_2012</t>
  </si>
  <si>
    <t xml:space="preserve"> x Reclamo a Reenc RENOVA 18/04/2013 Falta Entregar</t>
  </si>
  <si>
    <t>Obs</t>
  </si>
  <si>
    <t xml:space="preserve"> Condic de Proveed</t>
  </si>
  <si>
    <t>Rechazado</t>
  </si>
  <si>
    <t xml:space="preserve"> x Reclamo a Reenc Espinoza 18/03/2013 Falta Entregar</t>
  </si>
  <si>
    <t>G 030-0008887</t>
  </si>
  <si>
    <t>002230</t>
  </si>
  <si>
    <t>030-0005518</t>
  </si>
  <si>
    <r>
      <t>Llnt_Orig - Rencauche sin garantia</t>
    </r>
    <r>
      <rPr>
        <sz val="9"/>
        <color indexed="20"/>
        <rFont val="Arial"/>
        <family val="2"/>
      </rPr>
      <t xml:space="preserve"> X exposicion d banda </t>
    </r>
  </si>
  <si>
    <t>F101-00006005</t>
  </si>
  <si>
    <t>G030-0061278</t>
  </si>
  <si>
    <t>Rechazada, G030-0061278</t>
  </si>
  <si>
    <t>8231116</t>
  </si>
  <si>
    <t>Llanta de 2da Reenc</t>
  </si>
  <si>
    <t>G0001-002049</t>
  </si>
  <si>
    <t>(DOT2707)  Reempl a Aeolus 0180612</t>
  </si>
  <si>
    <t>004282</t>
  </si>
  <si>
    <r>
      <t>R-116</t>
    </r>
    <r>
      <rPr>
        <sz val="9"/>
        <rFont val="Arial"/>
        <family val="2"/>
      </rPr>
      <t xml:space="preserve">  Curado por perforacion por piedra, exposicion d banda</t>
    </r>
  </si>
  <si>
    <r>
      <t>R-165</t>
    </r>
    <r>
      <rPr>
        <sz val="9"/>
        <rFont val="Arial"/>
        <family val="2"/>
      </rPr>
      <t xml:space="preserve"> Curado por perforacion por piedra, exposicion d banda</t>
    </r>
  </si>
  <si>
    <r>
      <t>R-166</t>
    </r>
    <r>
      <rPr>
        <sz val="9"/>
        <rFont val="Arial"/>
        <family val="2"/>
      </rPr>
      <t xml:space="preserve"> Curado por perforacion por piedra, exposicion d banda</t>
    </r>
  </si>
  <si>
    <r>
      <t xml:space="preserve">RECLAMO </t>
    </r>
    <r>
      <rPr>
        <i/>
        <sz val="9"/>
        <color indexed="10"/>
        <rFont val="Arial"/>
        <family val="2"/>
      </rPr>
      <t>- Casco soplado/volado, banda 15mm, desechada</t>
    </r>
  </si>
  <si>
    <t>0001-006191</t>
  </si>
  <si>
    <r>
      <t xml:space="preserve"> Llanta Rechazada, no se facturo, </t>
    </r>
    <r>
      <rPr>
        <b/>
        <sz val="9"/>
        <color indexed="12"/>
        <rFont val="Arial"/>
        <family val="2"/>
      </rPr>
      <t>PASA A DESECHO</t>
    </r>
  </si>
  <si>
    <r>
      <t xml:space="preserve">   No olvidar crear en la columna [ R ]  la formula </t>
    </r>
    <r>
      <rPr>
        <b/>
        <i/>
        <sz val="9.5"/>
        <color indexed="10"/>
        <rFont val="Arial"/>
        <family val="2"/>
      </rPr>
      <t>KEY_Filtro</t>
    </r>
  </si>
  <si>
    <t>Reencauchadas - Radial</t>
  </si>
  <si>
    <t>Mes</t>
  </si>
  <si>
    <t>Marca</t>
  </si>
  <si>
    <t>Modelo</t>
  </si>
  <si>
    <t>Código</t>
  </si>
  <si>
    <t>Tipo</t>
  </si>
  <si>
    <t>PROVEEDOR</t>
  </si>
  <si>
    <t>Ord Comp</t>
  </si>
  <si>
    <t>Unidad</t>
  </si>
  <si>
    <t>Fecha</t>
  </si>
  <si>
    <t>Oct</t>
  </si>
  <si>
    <t>FALKEN</t>
  </si>
  <si>
    <t>S/N</t>
  </si>
  <si>
    <t>0001-004759</t>
  </si>
  <si>
    <t>0800508</t>
  </si>
  <si>
    <t>1807</t>
  </si>
  <si>
    <t>002815</t>
  </si>
  <si>
    <t>Comercio &amp; Cia</t>
  </si>
  <si>
    <t>122</t>
  </si>
  <si>
    <t xml:space="preserve"> 2do reencauche</t>
  </si>
  <si>
    <t>Nov</t>
  </si>
  <si>
    <t>AEOLUS</t>
  </si>
  <si>
    <t>123</t>
  </si>
  <si>
    <t xml:space="preserve"> 1er reencauche</t>
  </si>
  <si>
    <t>Dic</t>
  </si>
  <si>
    <t>101</t>
  </si>
  <si>
    <t>Control de Instalaciones Nuevas</t>
  </si>
  <si>
    <t>2015</t>
  </si>
  <si>
    <t>Año - 2015</t>
  </si>
  <si>
    <t>167</t>
  </si>
  <si>
    <t>F101-00002819</t>
  </si>
  <si>
    <t>00540709</t>
  </si>
  <si>
    <t>G030-0057765</t>
  </si>
  <si>
    <t>Rechazada, Guia 030-0057765</t>
  </si>
  <si>
    <t>223374</t>
  </si>
  <si>
    <t>223373</t>
  </si>
  <si>
    <t>166</t>
  </si>
  <si>
    <t>160</t>
  </si>
  <si>
    <t>153</t>
  </si>
  <si>
    <t>WindPower</t>
  </si>
  <si>
    <t>105</t>
  </si>
  <si>
    <t>158</t>
  </si>
  <si>
    <t>152</t>
  </si>
  <si>
    <t>119</t>
  </si>
  <si>
    <t>111</t>
  </si>
  <si>
    <t>2014</t>
  </si>
  <si>
    <t>Año - 2014</t>
  </si>
  <si>
    <t>165</t>
  </si>
  <si>
    <t>Pasaron al 159, en Abr-2014</t>
  </si>
  <si>
    <t>159</t>
  </si>
  <si>
    <t>Proviene de R-165(taller) pasaron al 114</t>
  </si>
  <si>
    <t>2 direcc nuevas , 8 tracc de 2da.</t>
  </si>
  <si>
    <t>163</t>
  </si>
  <si>
    <t>169</t>
  </si>
  <si>
    <t>2013</t>
  </si>
  <si>
    <t>Año - 2013</t>
  </si>
  <si>
    <t>116</t>
  </si>
  <si>
    <t>Llantas nuev en reempl de llantas Falken</t>
  </si>
  <si>
    <t>2012</t>
  </si>
  <si>
    <t>Año - 2012</t>
  </si>
  <si>
    <t>155</t>
  </si>
  <si>
    <t>156</t>
  </si>
  <si>
    <t>Control de Instalaciones Nuevas - 2011</t>
  </si>
  <si>
    <t>INSTALACION</t>
  </si>
  <si>
    <t>Pos</t>
  </si>
  <si>
    <t>E N E R O</t>
  </si>
  <si>
    <t>Track King</t>
  </si>
  <si>
    <t>Direccional</t>
  </si>
  <si>
    <t>Prueba</t>
  </si>
  <si>
    <t>Proc_Ransa  [MEX]</t>
  </si>
  <si>
    <t>Star Lug</t>
  </si>
  <si>
    <t>Traccion</t>
  </si>
  <si>
    <t>Proc_Ransa [IND]</t>
  </si>
  <si>
    <t>Proc_Ransa [MEX]</t>
  </si>
  <si>
    <t>Base TK [MEX]</t>
  </si>
  <si>
    <t>Base TK [IND]</t>
  </si>
  <si>
    <t>F E B R E R O</t>
  </si>
  <si>
    <t>Extra TD-440</t>
  </si>
  <si>
    <t>S/Oc</t>
  </si>
  <si>
    <t>161</t>
  </si>
  <si>
    <t>Ajuste 80%, Reempl x Llnt volada</t>
  </si>
  <si>
    <t>164</t>
  </si>
  <si>
    <t>Ajuste 100%, Reempl x Llnt volada</t>
  </si>
  <si>
    <t>00661</t>
  </si>
  <si>
    <t>Ajuste 0%, Reempl x Llnt volada</t>
  </si>
  <si>
    <t>00666</t>
  </si>
  <si>
    <t>Base Tk</t>
  </si>
  <si>
    <t xml:space="preserve">A B R I L </t>
  </si>
  <si>
    <t>00715</t>
  </si>
  <si>
    <t>157</t>
  </si>
  <si>
    <t>Inst a cargo Lima Caucho Base-Tc</t>
  </si>
  <si>
    <t>00716</t>
  </si>
  <si>
    <t>JUNIO</t>
  </si>
  <si>
    <t>GI377</t>
  </si>
  <si>
    <t>051-06-11</t>
  </si>
  <si>
    <t>00774</t>
  </si>
  <si>
    <t>Instalado por [ S-10 ]    (YG-6125)</t>
  </si>
  <si>
    <t>052-06-11</t>
  </si>
  <si>
    <t>BI867</t>
  </si>
  <si>
    <t>053-06-11</t>
  </si>
  <si>
    <t>054-06-11</t>
  </si>
  <si>
    <t>055-06-11</t>
  </si>
  <si>
    <t>056-06-11</t>
  </si>
  <si>
    <t>057-06-11</t>
  </si>
  <si>
    <t>058-06-11</t>
  </si>
  <si>
    <t xml:space="preserve"> R-152 [YG-6125 Chof : C. Salas]</t>
  </si>
  <si>
    <t>059-06-11</t>
  </si>
  <si>
    <t>060-06-11</t>
  </si>
  <si>
    <t>Llantas Radiales 11R22.5 (Inc Aros 8.25 x 22.5)</t>
  </si>
  <si>
    <t>Set -  Nov</t>
  </si>
  <si>
    <t>Road Tuf</t>
  </si>
  <si>
    <t>060-09-11</t>
  </si>
  <si>
    <t>TRICORZO S.A.</t>
  </si>
  <si>
    <t>00841</t>
  </si>
  <si>
    <t>170</t>
  </si>
  <si>
    <t>061-09-11</t>
  </si>
  <si>
    <t>Tc-Oquendo</t>
  </si>
  <si>
    <t>062-09-11</t>
  </si>
  <si>
    <t>Tc-Porcino</t>
  </si>
  <si>
    <t>063-09-11</t>
  </si>
  <si>
    <t>064-09-11</t>
  </si>
  <si>
    <t>065-09-11</t>
  </si>
  <si>
    <t>066-09-11</t>
  </si>
  <si>
    <t>067-09-11</t>
  </si>
  <si>
    <r>
      <t xml:space="preserve">Proc_Ransa  [IND] </t>
    </r>
    <r>
      <rPr>
        <sz val="8"/>
        <color indexed="10"/>
        <rFont val="Arial"/>
        <family val="2"/>
      </rPr>
      <t>(Reenc -24/05/12 Rnv)</t>
    </r>
  </si>
  <si>
    <r>
      <t xml:space="preserve">Proc_Ransa [MEX] </t>
    </r>
    <r>
      <rPr>
        <sz val="8"/>
        <color indexed="10"/>
        <rFont val="Arial"/>
        <family val="2"/>
      </rPr>
      <t>(Reenc -20/07/12 Esp)</t>
    </r>
  </si>
  <si>
    <t>0540302</t>
  </si>
  <si>
    <t>219972</t>
  </si>
  <si>
    <t>219973</t>
  </si>
  <si>
    <t>002648</t>
  </si>
  <si>
    <t>F101-00000313</t>
  </si>
  <si>
    <t>G030-0054796</t>
  </si>
  <si>
    <t>Rechazada, Guia 030-0054796</t>
  </si>
  <si>
    <r>
      <t xml:space="preserve">Proc_Ransa [MEX] </t>
    </r>
    <r>
      <rPr>
        <sz val="8"/>
        <color indexed="10"/>
        <rFont val="Arial"/>
        <family val="2"/>
      </rPr>
      <t>(Reenc -20/06/12 Rnv)</t>
    </r>
  </si>
  <si>
    <r>
      <t xml:space="preserve">Proc_Ransa [MEX] </t>
    </r>
    <r>
      <rPr>
        <sz val="8"/>
        <color indexed="10"/>
        <rFont val="Arial"/>
        <family val="2"/>
      </rPr>
      <t>(Reenc -24/07/12 Rnv)</t>
    </r>
  </si>
  <si>
    <t>Double Happines</t>
  </si>
  <si>
    <t>se cambia x banda diferente ex-GOODRIDE</t>
  </si>
  <si>
    <t>8110316</t>
  </si>
  <si>
    <r>
      <t xml:space="preserve">Tc-Oquendo  </t>
    </r>
    <r>
      <rPr>
        <sz val="9"/>
        <color indexed="10"/>
        <rFont val="Arial"/>
        <family val="2"/>
      </rPr>
      <t>(Reenc -20/06/12)</t>
    </r>
  </si>
  <si>
    <t>Control de Instalaciones Nuevas - 2015</t>
  </si>
  <si>
    <t>Enero</t>
  </si>
  <si>
    <t>HN266</t>
  </si>
  <si>
    <t>01428</t>
  </si>
  <si>
    <t>004-000551</t>
  </si>
  <si>
    <t>OD-007654</t>
  </si>
  <si>
    <t>Rechazada, OD - 007654</t>
  </si>
  <si>
    <t xml:space="preserve"> Enllante x C&amp;C</t>
  </si>
  <si>
    <t>HN353</t>
  </si>
  <si>
    <t>Febrero</t>
  </si>
  <si>
    <t>01451</t>
  </si>
  <si>
    <t>Abril</t>
  </si>
  <si>
    <t>01500</t>
  </si>
  <si>
    <t>Junio</t>
  </si>
  <si>
    <t>01528</t>
  </si>
  <si>
    <t>Agosto</t>
  </si>
  <si>
    <t>WINDPOWER</t>
  </si>
  <si>
    <t>HN257</t>
  </si>
  <si>
    <t>01549</t>
  </si>
  <si>
    <t>Setiembre</t>
  </si>
  <si>
    <t>01561</t>
  </si>
  <si>
    <t>Octubre</t>
  </si>
  <si>
    <t>01574</t>
  </si>
  <si>
    <t>Noviembre</t>
  </si>
  <si>
    <t>01589</t>
  </si>
  <si>
    <t>Diciembre</t>
  </si>
  <si>
    <t>Control de Instalaciones Nuevas - 2014</t>
  </si>
  <si>
    <t>01259</t>
  </si>
  <si>
    <t>Base Tk -Enllante e Instalacion x C&amp;C</t>
  </si>
  <si>
    <t>Base Tk -Enllante x C&amp;C</t>
  </si>
  <si>
    <t>Mayo</t>
  </si>
  <si>
    <t>01313-01317</t>
  </si>
  <si>
    <t>Base Tk -Enllante MASTERCAUCHO</t>
  </si>
  <si>
    <t>154</t>
  </si>
  <si>
    <t>Mastercaucho</t>
  </si>
  <si>
    <t>01342</t>
  </si>
  <si>
    <t>G287 MSA Reenc</t>
  </si>
  <si>
    <t>01343</t>
  </si>
  <si>
    <t>Base Tk -Enllante MASTERCAUCHO (4611)</t>
  </si>
  <si>
    <t>Base Tk -Enllante MASTERCAUCHO (0912)</t>
  </si>
  <si>
    <t>Brigestone</t>
  </si>
  <si>
    <t>Base Tk -Enllante MASTERCAUCHO (0213)</t>
  </si>
  <si>
    <t>Banda Traccion</t>
  </si>
  <si>
    <t>Almacen-TK</t>
  </si>
  <si>
    <t>Base Tk - Llanta reenc x Mastercaucho</t>
  </si>
  <si>
    <t>01354</t>
  </si>
  <si>
    <t>01401</t>
  </si>
  <si>
    <t>01423</t>
  </si>
  <si>
    <t>Control de Instalaciones Nuevas - 2013</t>
  </si>
  <si>
    <t>DX-30</t>
  </si>
  <si>
    <t>001-01-13</t>
  </si>
  <si>
    <t>Rechazada, S/G</t>
  </si>
  <si>
    <t>S / G</t>
  </si>
  <si>
    <t>Lima Caucho S.A:</t>
  </si>
  <si>
    <t>01096</t>
  </si>
  <si>
    <t>002-01-13</t>
  </si>
  <si>
    <t>003-01-13</t>
  </si>
  <si>
    <t>004-01-13</t>
  </si>
  <si>
    <t>005-01-13</t>
  </si>
  <si>
    <t>006-01-13</t>
  </si>
  <si>
    <t>007-01-13</t>
  </si>
  <si>
    <t>162</t>
  </si>
  <si>
    <t>008-01-13</t>
  </si>
  <si>
    <t>009-02-13</t>
  </si>
  <si>
    <t>01103</t>
  </si>
  <si>
    <t>010-02-13</t>
  </si>
  <si>
    <t>011-02-13</t>
  </si>
  <si>
    <t>012-02-13</t>
  </si>
  <si>
    <t>013-02-13</t>
  </si>
  <si>
    <t>004286</t>
  </si>
  <si>
    <t>014-02-13</t>
  </si>
  <si>
    <t>015-02-13</t>
  </si>
  <si>
    <t>016-02-13</t>
  </si>
  <si>
    <t>017-02-13</t>
  </si>
  <si>
    <t>018-02-13</t>
  </si>
  <si>
    <t>019-04-13</t>
  </si>
  <si>
    <t>01139</t>
  </si>
  <si>
    <t>020-04-13</t>
  </si>
  <si>
    <t>021-04-13</t>
  </si>
  <si>
    <t>022-04-13</t>
  </si>
  <si>
    <t>023-04-13</t>
  </si>
  <si>
    <t>024-04-13</t>
  </si>
  <si>
    <t>025-04-13</t>
  </si>
  <si>
    <t>026-04-13</t>
  </si>
  <si>
    <t>027-04-13</t>
  </si>
  <si>
    <t>028-04-13</t>
  </si>
  <si>
    <t>029-04-13</t>
  </si>
  <si>
    <t>030-04-13</t>
  </si>
  <si>
    <t>Control de Instalaciones Nuevas - 2012</t>
  </si>
  <si>
    <t>Marzo</t>
  </si>
  <si>
    <t>001-03-12</t>
  </si>
  <si>
    <t>00925</t>
  </si>
  <si>
    <t>Las llantas salientes en buen estado mejoraran a : R-101, R-106, R-111 y R-119</t>
  </si>
  <si>
    <t>000150113</t>
  </si>
  <si>
    <t>0170113</t>
  </si>
  <si>
    <t>0180113</t>
  </si>
  <si>
    <t>0190113</t>
  </si>
  <si>
    <t>0160113</t>
  </si>
  <si>
    <t>00260614</t>
  </si>
  <si>
    <t>0370814</t>
  </si>
  <si>
    <t>003192</t>
  </si>
  <si>
    <t>2016</t>
  </si>
  <si>
    <t>Año - 2016</t>
  </si>
  <si>
    <t>01597</t>
  </si>
  <si>
    <t>002-03-12</t>
  </si>
  <si>
    <t>003-04-12</t>
  </si>
  <si>
    <t>004-04-12</t>
  </si>
  <si>
    <t>005-04-12</t>
  </si>
  <si>
    <t>006-04-12</t>
  </si>
  <si>
    <t>007-04-12</t>
  </si>
  <si>
    <t>151</t>
  </si>
  <si>
    <t>008-04-12</t>
  </si>
  <si>
    <t>009-06-12</t>
  </si>
  <si>
    <t>00968</t>
  </si>
  <si>
    <t>Base Tk -Enllante x C&amp;C,  Instal x Tk</t>
  </si>
  <si>
    <t>010-06-12</t>
  </si>
  <si>
    <t>011-06-12</t>
  </si>
  <si>
    <t>012-06-12</t>
  </si>
  <si>
    <t>013-06-12</t>
  </si>
  <si>
    <t>014-06-12</t>
  </si>
  <si>
    <t>015-06-12</t>
  </si>
  <si>
    <t>016-06-12</t>
  </si>
  <si>
    <t>017-06-12</t>
  </si>
  <si>
    <t>018-06-12</t>
  </si>
  <si>
    <t>Julio</t>
  </si>
  <si>
    <t>VIKRANT</t>
  </si>
  <si>
    <t>019-07-12</t>
  </si>
  <si>
    <t>01007</t>
  </si>
  <si>
    <t>020-07-12</t>
  </si>
  <si>
    <t>021-07-12</t>
  </si>
  <si>
    <t>022-07-12</t>
  </si>
  <si>
    <t>023-07-12</t>
  </si>
  <si>
    <t>024-07-12</t>
  </si>
  <si>
    <t>025-07-12</t>
  </si>
  <si>
    <t>026-07-12</t>
  </si>
  <si>
    <t>027-09-12</t>
  </si>
  <si>
    <t>01029</t>
  </si>
  <si>
    <t>028-09-12</t>
  </si>
  <si>
    <t>029-09-12</t>
  </si>
  <si>
    <t>030-09-12</t>
  </si>
  <si>
    <t>031-09-12</t>
  </si>
  <si>
    <t>032-09-12</t>
  </si>
  <si>
    <t>0001-006372</t>
  </si>
  <si>
    <t>Rechazada, G0001-001505</t>
  </si>
  <si>
    <t>G0001-001505</t>
  </si>
  <si>
    <t>033-09-12</t>
  </si>
  <si>
    <t>034-09-12</t>
  </si>
  <si>
    <t>035-09-12</t>
  </si>
  <si>
    <t>036-06-12</t>
  </si>
  <si>
    <t>Compras - Secc. Llantas del 2016 - Transporte Comercial y Servicio TAKUSHI S.A.C.</t>
  </si>
  <si>
    <t>F027-00015539</t>
  </si>
  <si>
    <r>
      <t xml:space="preserve">LLANTA 11R22.5-16 TL HN267 AEOLUS  </t>
    </r>
    <r>
      <rPr>
        <sz val="8"/>
        <color indexed="10"/>
        <rFont val="Arial"/>
        <family val="2"/>
      </rPr>
      <t>(CHINA)</t>
    </r>
  </si>
  <si>
    <r>
      <t>LLANTA 11R22.5-16 TL HN353 WINDPOWER</t>
    </r>
    <r>
      <rPr>
        <b/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(CHINA)</t>
    </r>
  </si>
  <si>
    <t>ARO 8.25X22.5 ACTIVE ARTILLERO CHINA</t>
  </si>
  <si>
    <t>AEOLUS/Windpower</t>
  </si>
  <si>
    <t>002225</t>
  </si>
  <si>
    <t>002156</t>
  </si>
  <si>
    <t>01056</t>
  </si>
  <si>
    <t>124</t>
  </si>
  <si>
    <r>
      <t>R</t>
    </r>
    <r>
      <rPr>
        <b/>
        <i/>
        <sz val="11"/>
        <color indexed="62"/>
        <rFont val="Arial"/>
        <family val="2"/>
      </rPr>
      <t>r</t>
    </r>
  </si>
  <si>
    <r>
      <t xml:space="preserve"> Enllante x C&amp;C </t>
    </r>
    <r>
      <rPr>
        <b/>
        <sz val="10"/>
        <color indexed="10"/>
        <rFont val="Arial"/>
        <family val="2"/>
      </rPr>
      <t>Cmb R-161 240815</t>
    </r>
  </si>
  <si>
    <r>
      <t xml:space="preserve">Instalado por [ S-10 ]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(YG-6125)</t>
    </r>
  </si>
  <si>
    <t>Compras - Secc. Llantas del 2015 - Transporte Comercial y Servicio TAKUSHI S.A.C.</t>
  </si>
  <si>
    <t>Factura</t>
  </si>
  <si>
    <t>Producto</t>
  </si>
  <si>
    <t>P.U. USS$</t>
  </si>
  <si>
    <t>Total USS$</t>
  </si>
  <si>
    <t>I.G.V.</t>
  </si>
  <si>
    <t xml:space="preserve"> 2% Perecp-cion</t>
  </si>
  <si>
    <t>TOTAL US$</t>
  </si>
  <si>
    <t>0001-006141</t>
  </si>
  <si>
    <t>003489</t>
  </si>
  <si>
    <t>P.U. S/</t>
  </si>
  <si>
    <t>IGV</t>
  </si>
  <si>
    <t>Tot P.U. S/.</t>
  </si>
  <si>
    <t>COMERCIO &amp; CIA.</t>
  </si>
  <si>
    <t>F027-00003129</t>
  </si>
  <si>
    <t>FEBRERO</t>
  </si>
  <si>
    <t>OC-01428</t>
  </si>
  <si>
    <t>0400409</t>
  </si>
  <si>
    <t>1200404</t>
  </si>
  <si>
    <t>1081210</t>
  </si>
  <si>
    <t>004545</t>
  </si>
  <si>
    <t>004546</t>
  </si>
  <si>
    <t>Reclamo por parche lateral</t>
  </si>
  <si>
    <t>ARO 8,25X22.5 ARTILLERO MAMUT CHINA</t>
  </si>
  <si>
    <t>F027-00005380</t>
  </si>
  <si>
    <t>ABRIL</t>
  </si>
  <si>
    <t>OC-01500</t>
  </si>
  <si>
    <t>F027-00007554</t>
  </si>
  <si>
    <t>OC-01528</t>
  </si>
  <si>
    <t>CAMARA 1100-20 TR78A MASTER</t>
  </si>
  <si>
    <t>F027-00008549</t>
  </si>
  <si>
    <t>JULIO</t>
  </si>
  <si>
    <t>OC-01549</t>
  </si>
  <si>
    <t>ARO 8,25X22.5 ARTILLERO ACTIVE CHINA</t>
  </si>
  <si>
    <t>AGOSTO</t>
  </si>
  <si>
    <t>OC-01561</t>
  </si>
  <si>
    <t>F027-00009820</t>
  </si>
  <si>
    <t>F027-00010828</t>
  </si>
  <si>
    <t>SETIEMBRE</t>
  </si>
  <si>
    <t>OC-01574</t>
  </si>
  <si>
    <t xml:space="preserve"> / OCTUBRE</t>
  </si>
  <si>
    <t>F027-00011742</t>
  </si>
  <si>
    <t>OCTUBRE</t>
  </si>
  <si>
    <t>OC-01589</t>
  </si>
  <si>
    <t xml:space="preserve">CAMARA 1100-20 </t>
  </si>
  <si>
    <t>F027-00012809</t>
  </si>
  <si>
    <t>NOVIEMBRE</t>
  </si>
  <si>
    <t>OC-01597</t>
  </si>
  <si>
    <t>F027-00013747</t>
  </si>
  <si>
    <t>OC-01614</t>
  </si>
  <si>
    <t>DICIEMBRE</t>
  </si>
  <si>
    <t>ARO 8.25X22.5 ACTIVE ARTILLERO</t>
  </si>
  <si>
    <t>CAMARA 1100-20</t>
  </si>
  <si>
    <t>Control de Instalaciones Nuevas - 2016</t>
  </si>
  <si>
    <t>01614</t>
  </si>
  <si>
    <t>GUARDACAMARA 1100R20 DONG AH</t>
  </si>
  <si>
    <t>Dr</t>
  </si>
  <si>
    <t>Tr</t>
  </si>
  <si>
    <t>Aro</t>
  </si>
  <si>
    <t>AL 30/09/2015 15:18hrs. Jose Chauca</t>
  </si>
  <si>
    <t>AL 28/10/2015 14:55hrs. Jose Chauca</t>
  </si>
  <si>
    <t>Aro:</t>
  </si>
  <si>
    <t>AL 28/11/2015 14:55hrs. Jose Chauca</t>
  </si>
  <si>
    <t>Compras - Secc. Llantas del 2014 - Transporte Comercial y Servicio TAKUSHI S.A.C.</t>
  </si>
  <si>
    <t>MAYO</t>
  </si>
  <si>
    <t>030-0006633</t>
  </si>
  <si>
    <t>OC-01313</t>
  </si>
  <si>
    <t>GUARDACAMARA 11.00-20 LU HE</t>
  </si>
  <si>
    <t>MasterCaucho Peru</t>
  </si>
  <si>
    <t>0001-001016</t>
  </si>
  <si>
    <t>980 set</t>
  </si>
  <si>
    <t>julio serrano</t>
  </si>
  <si>
    <t>OC-01317</t>
  </si>
  <si>
    <t>027-0077931</t>
  </si>
  <si>
    <t>OC-01354</t>
  </si>
  <si>
    <t>0001-001429</t>
  </si>
  <si>
    <t>OC-01355</t>
  </si>
  <si>
    <t>OC-01401</t>
  </si>
  <si>
    <t>F027-00000205</t>
  </si>
  <si>
    <t>OC-01408</t>
  </si>
  <si>
    <t>DICIEMBRE  - 2014 .  
Ene-15</t>
  </si>
  <si>
    <t>F027-00001313</t>
  </si>
  <si>
    <t>OC-01423</t>
  </si>
  <si>
    <t>F027-00001312</t>
  </si>
  <si>
    <t>F027-00001712</t>
  </si>
  <si>
    <t>F027-00001713</t>
  </si>
  <si>
    <t>Reenc. BRANCO S.R.L.</t>
  </si>
  <si>
    <t>006979</t>
  </si>
  <si>
    <t>103110</t>
  </si>
  <si>
    <t>070810</t>
  </si>
  <si>
    <t>Compras - Secc. Llantas del 2013 - Transporte Comercial y Servicio TAKUSHI S.A.C.</t>
  </si>
  <si>
    <t>ENERO</t>
  </si>
  <si>
    <t>027-0064004</t>
  </si>
  <si>
    <t>OC-01103</t>
  </si>
  <si>
    <t>Lima Caucho S.A.</t>
  </si>
  <si>
    <t>001-0290991 y 001-0290990</t>
  </si>
  <si>
    <t>OC-01096</t>
  </si>
  <si>
    <t>CAMARA IMPORTADA 1100X20 TR-78</t>
  </si>
  <si>
    <t>GUARDACAMARA IMP R-20X8 LONA</t>
  </si>
  <si>
    <t>027-0066150</t>
  </si>
  <si>
    <t>OC-01139</t>
  </si>
  <si>
    <t>CAMARA 1100-20 TR78A MASTER COREA</t>
  </si>
  <si>
    <t>GUARDACAMARA 1200R20 DONG AH COREA</t>
  </si>
  <si>
    <t>Diciembre -2013
Ene-14</t>
  </si>
  <si>
    <t>027-0074379 y 027-0074380</t>
  </si>
  <si>
    <t>HK 802</t>
  </si>
  <si>
    <t>F027-00021958</t>
  </si>
  <si>
    <r>
      <t xml:space="preserve">LLANTA LT245/75R16 120/116Q CROSS ACE AS01 AEOLUS  </t>
    </r>
    <r>
      <rPr>
        <sz val="9"/>
        <color indexed="10"/>
        <rFont val="Arial"/>
        <family val="2"/>
      </rPr>
      <t>[atp]</t>
    </r>
  </si>
  <si>
    <t>OC-01776</t>
  </si>
  <si>
    <t>11R22.5-16 TL ADC53 AEOLUS HENAN  (29/09/16)</t>
  </si>
  <si>
    <t>MASTERCAUCHO</t>
  </si>
  <si>
    <t>0001-006531</t>
  </si>
  <si>
    <t>11R22.5 SUPERHAWK 16PR MIXTA - HK802</t>
  </si>
  <si>
    <t>11R22.5 SUPERHAWK 16PR TRACCION HK859</t>
  </si>
  <si>
    <t>ARO TUBULAR ARTILLERO 22.5 KENO</t>
  </si>
  <si>
    <t>OC-01797</t>
  </si>
  <si>
    <t>OC-1259</t>
  </si>
  <si>
    <t>Compras - Secc. Llantas del 2012 - Transporte Comercial y Servicio TAKUSHI S.A.C.</t>
  </si>
  <si>
    <t>8130516</t>
  </si>
  <si>
    <t>dot-5007</t>
  </si>
  <si>
    <t>0001-005484</t>
  </si>
  <si>
    <t>05303</t>
  </si>
  <si>
    <t>003191</t>
  </si>
  <si>
    <t xml:space="preserve"> -  .  -</t>
  </si>
  <si>
    <t>027-0054441</t>
  </si>
  <si>
    <t>OC-00908</t>
  </si>
  <si>
    <t>LLANTA DELANTERA VIKRANT [Track King] (IN)</t>
  </si>
  <si>
    <t>MARZO</t>
  </si>
  <si>
    <t>027-0055086</t>
  </si>
  <si>
    <t>OC-00925</t>
  </si>
  <si>
    <t>027-0056851</t>
  </si>
  <si>
    <t>OC-00960</t>
  </si>
  <si>
    <t>027-005169</t>
  </si>
  <si>
    <t>OC-00968</t>
  </si>
  <si>
    <t>ARO 8,25X22.5 ARTILLERO CENTURION CHINA</t>
  </si>
  <si>
    <t>DOT3110</t>
  </si>
  <si>
    <t>1900103100Y</t>
  </si>
  <si>
    <t>19010121003</t>
  </si>
  <si>
    <t>MRF</t>
  </si>
  <si>
    <t>16171010</t>
  </si>
  <si>
    <t>77330721102</t>
  </si>
  <si>
    <t>DOT3906</t>
  </si>
  <si>
    <t>10210903709</t>
  </si>
  <si>
    <t>HF16HA1807</t>
  </si>
  <si>
    <t>10256573709</t>
  </si>
  <si>
    <t>458710111207</t>
  </si>
  <si>
    <t>458710111208</t>
  </si>
  <si>
    <t>219955</t>
  </si>
  <si>
    <t>219954</t>
  </si>
  <si>
    <t>027-0058401</t>
  </si>
  <si>
    <t>OC-01007</t>
  </si>
  <si>
    <t>027-0059892</t>
  </si>
  <si>
    <t>OC-01029</t>
  </si>
  <si>
    <t>001-0287158</t>
  </si>
  <si>
    <t>OC-01056</t>
  </si>
  <si>
    <t>D O L A R E S</t>
  </si>
  <si>
    <t>N U E V O S    S O L E S</t>
  </si>
  <si>
    <t>Tot. Venta</t>
  </si>
  <si>
    <t>TOTAL</t>
  </si>
  <si>
    <t>Compras en Llantas del 2011 - Transporte Comercial y Servicio TAKUSHI S.A.C.</t>
  </si>
  <si>
    <t>LIMA CAUCHO S.A.</t>
  </si>
  <si>
    <t>F 001-0254568</t>
  </si>
  <si>
    <t>LLANTA TRACCION EXTRA TD-440 (PE)</t>
  </si>
  <si>
    <t>F102-00002637</t>
  </si>
  <si>
    <t>G031-0019572</t>
  </si>
  <si>
    <t>Rechazada, G031-0019572</t>
  </si>
  <si>
    <t>B 001-0033184</t>
  </si>
  <si>
    <t>F 001-0254945</t>
  </si>
  <si>
    <t>OC-00661</t>
  </si>
  <si>
    <t>F 027-0047120</t>
  </si>
  <si>
    <t>LLANTA TRACCION VIKRANT [Star Lug] (MX)</t>
  </si>
  <si>
    <t>OC-00666</t>
  </si>
  <si>
    <t>LLANTA DELANTERA VIKRANT [Track King] (MX)</t>
  </si>
  <si>
    <t>F 001-0257448</t>
  </si>
  <si>
    <t>OC-00715</t>
  </si>
  <si>
    <t>F 027-0047877</t>
  </si>
  <si>
    <t>JUNIO y JULIO</t>
  </si>
  <si>
    <t>F 001-0261737    y    F 001-0261940</t>
  </si>
  <si>
    <t>LLANTA 11 R22.5 GI377 MIXTA FALKEN JAPON</t>
  </si>
  <si>
    <t>OC-00774</t>
  </si>
  <si>
    <t>LLANTA 11 R22.5 BI867 TRACCION FALKEN JAPON</t>
  </si>
  <si>
    <t>ARO 8,25X22.5 ARTILLERO ACCURIDE MEXICO</t>
  </si>
  <si>
    <t>F 001-0264442</t>
  </si>
  <si>
    <t>OC-00806</t>
  </si>
  <si>
    <t>OC-00841</t>
  </si>
  <si>
    <t>COMERCIO &amp; CIA</t>
  </si>
  <si>
    <t>Sub Total</t>
  </si>
  <si>
    <t>Llantas</t>
  </si>
  <si>
    <t>US$</t>
  </si>
  <si>
    <t>T/C:</t>
  </si>
  <si>
    <t>C &amp; C</t>
  </si>
  <si>
    <t>L.C.</t>
  </si>
  <si>
    <t>JL Neg</t>
  </si>
  <si>
    <t>P.U. S/.</t>
  </si>
  <si>
    <t>Sub-Total S/.</t>
  </si>
  <si>
    <t>TOTAL S/.</t>
  </si>
  <si>
    <t>Cant</t>
  </si>
  <si>
    <t>Prc Unit</t>
  </si>
  <si>
    <t>V. Venta</t>
  </si>
  <si>
    <t>S/.</t>
  </si>
  <si>
    <t>US$ s/igv</t>
  </si>
  <si>
    <t>Reencauchadora ESPINOZA</t>
  </si>
  <si>
    <t>001-001096</t>
  </si>
  <si>
    <t xml:space="preserve">TH-200 Direcc 6.5 x 14 Sin Cámara </t>
  </si>
  <si>
    <t>001-001209</t>
  </si>
  <si>
    <t>Subtotal</t>
  </si>
  <si>
    <t>C &amp; Cia. al 07/04/2011</t>
  </si>
  <si>
    <t>Difer</t>
  </si>
  <si>
    <t>P.Unit s/IGV US$</t>
  </si>
  <si>
    <t>Sub-Total US$</t>
  </si>
  <si>
    <t xml:space="preserve"> Producto</t>
  </si>
  <si>
    <t xml:space="preserve"> Proveedor</t>
  </si>
  <si>
    <t>Dif Cnt LLn</t>
  </si>
  <si>
    <t>Camara</t>
  </si>
  <si>
    <t xml:space="preserve"> Lima Caucho</t>
  </si>
  <si>
    <t>Guardcm</t>
  </si>
  <si>
    <t xml:space="preserve"> Comercio &amp; Cia.</t>
  </si>
  <si>
    <t>LLANTA AUTOPISTA 6.50-13  6PR</t>
  </si>
  <si>
    <t>Toyota Plomo (pendiente)</t>
  </si>
  <si>
    <t xml:space="preserve"> 2%dsct</t>
  </si>
  <si>
    <t>LLANTA TH-200         7.50-16 12PR</t>
  </si>
  <si>
    <t>Movil 02</t>
  </si>
  <si>
    <t>CAMARA 7.5-16 TR177A</t>
  </si>
  <si>
    <t>SubTot</t>
  </si>
  <si>
    <t>OC. 00576</t>
  </si>
  <si>
    <r>
      <t xml:space="preserve">LLANTA 11R22.5-16PR HN266 MIXTA AEOLUS </t>
    </r>
    <r>
      <rPr>
        <sz val="8"/>
        <color indexed="10"/>
        <rFont val="Arial"/>
        <family val="2"/>
      </rPr>
      <t>(CHINA)</t>
    </r>
  </si>
  <si>
    <r>
      <t>LLANTA 11R22.5-16PR HN353 TRACCION AEOLUS</t>
    </r>
    <r>
      <rPr>
        <b/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(CHINA)</t>
    </r>
  </si>
  <si>
    <r>
      <t xml:space="preserve">LLANTA 11R22.5-16PR HN257 MIXTA WINDPOWER </t>
    </r>
    <r>
      <rPr>
        <sz val="8"/>
        <color indexed="10"/>
        <rFont val="Arial"/>
        <family val="2"/>
      </rPr>
      <t>(CHINA)</t>
    </r>
  </si>
  <si>
    <r>
      <t>LLANTA 11R22.5-16PR HN353 TRACCION WINDPOWER</t>
    </r>
    <r>
      <rPr>
        <b/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(CHINA)</t>
    </r>
  </si>
  <si>
    <r>
      <t xml:space="preserve">F027-00009777   </t>
    </r>
    <r>
      <rPr>
        <sz val="8"/>
        <color indexed="62"/>
        <rFont val="Arial"/>
        <family val="2"/>
      </rPr>
      <t>F027-00000767 NC</t>
    </r>
  </si>
  <si>
    <r>
      <t xml:space="preserve">LLANTA 11R22.5-16 TL HN267 AEOLUS </t>
    </r>
    <r>
      <rPr>
        <sz val="8"/>
        <color indexed="10"/>
        <rFont val="Arial"/>
        <family val="2"/>
      </rPr>
      <t>(CHINA)</t>
    </r>
  </si>
  <si>
    <t>0001-005009</t>
  </si>
  <si>
    <r>
      <t>LLANTA 11R22.5-16 PR HN353 TRACCION WINDPOWER</t>
    </r>
    <r>
      <rPr>
        <b/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(CHINA)</t>
    </r>
  </si>
  <si>
    <r>
      <t xml:space="preserve">ARO 8,25X22.5 ARTILLERO  ACTIVE </t>
    </r>
    <r>
      <rPr>
        <sz val="8"/>
        <color indexed="10"/>
        <rFont val="Arial"/>
        <family val="2"/>
      </rPr>
      <t>(CHINA)</t>
    </r>
  </si>
  <si>
    <r>
      <t xml:space="preserve">ARO 8,25X22.5 ARTILLERO MAMUT </t>
    </r>
    <r>
      <rPr>
        <sz val="9"/>
        <color indexed="10"/>
        <rFont val="Arial"/>
        <family val="2"/>
      </rPr>
      <t>(CHINA)</t>
    </r>
  </si>
  <si>
    <r>
      <t xml:space="preserve">CAMARA 1100-20 </t>
    </r>
    <r>
      <rPr>
        <sz val="9"/>
        <color indexed="10"/>
        <rFont val="Arial"/>
        <family val="2"/>
      </rPr>
      <t>(CHINA)</t>
    </r>
  </si>
  <si>
    <r>
      <t xml:space="preserve">LLANTA TH-200 650X14-8 LIMA CAUCHO </t>
    </r>
    <r>
      <rPr>
        <sz val="8"/>
        <color indexed="10"/>
        <rFont val="Arial"/>
        <family val="2"/>
      </rPr>
      <t>(PERU)</t>
    </r>
  </si>
  <si>
    <r>
      <t xml:space="preserve">LLANTA 11R22.5-16PR HN266 MIXTA AEOLUS </t>
    </r>
    <r>
      <rPr>
        <b/>
        <sz val="9"/>
        <color indexed="10"/>
        <rFont val="Arial"/>
        <family val="2"/>
      </rPr>
      <t>(CHINA)</t>
    </r>
  </si>
  <si>
    <r>
      <t>LLANTA 11R22.5-16PR HN353 TRACCION AEOLUS</t>
    </r>
    <r>
      <rPr>
        <b/>
        <sz val="9"/>
        <color indexed="10"/>
        <rFont val="Arial"/>
        <family val="2"/>
      </rPr>
      <t xml:space="preserve"> (CHINA)</t>
    </r>
  </si>
  <si>
    <r>
      <t xml:space="preserve">LLANTA DELANTERA Lima Caucho DX-30  (Set C) </t>
    </r>
    <r>
      <rPr>
        <b/>
        <sz val="8"/>
        <color indexed="10"/>
        <rFont val="Arial"/>
        <family val="2"/>
      </rPr>
      <t>(Peru)</t>
    </r>
  </si>
  <si>
    <r>
      <t xml:space="preserve">LLANTA TRACCION 11.00-20-18PR STAR LUG </t>
    </r>
    <r>
      <rPr>
        <u/>
        <sz val="8"/>
        <color indexed="22"/>
        <rFont val="Arial"/>
        <family val="2"/>
      </rPr>
      <t>SET</t>
    </r>
    <r>
      <rPr>
        <sz val="8"/>
        <color indexed="22"/>
        <rFont val="Arial"/>
        <family val="2"/>
      </rPr>
      <t xml:space="preserve"> VIKRANT</t>
    </r>
    <r>
      <rPr>
        <sz val="9"/>
        <color indexed="22"/>
        <rFont val="Arial"/>
        <family val="2"/>
      </rPr>
      <t xml:space="preserve"> </t>
    </r>
  </si>
  <si>
    <r>
      <t xml:space="preserve">LLANTA DELANTERA VIKRANT [Track King] </t>
    </r>
    <r>
      <rPr>
        <b/>
        <sz val="9"/>
        <color indexed="10"/>
        <rFont val="Arial"/>
        <family val="2"/>
      </rPr>
      <t>(IN)</t>
    </r>
  </si>
  <si>
    <r>
      <t xml:space="preserve">ARO 8,25X22.5 ARTILLERO CENTURION </t>
    </r>
    <r>
      <rPr>
        <sz val="9"/>
        <color indexed="10"/>
        <rFont val="Arial"/>
        <family val="2"/>
      </rPr>
      <t>CHINA</t>
    </r>
  </si>
  <si>
    <r>
      <t xml:space="preserve">Llanta 235/65 R-17 Mod KL21 KUMHO </t>
    </r>
    <r>
      <rPr>
        <sz val="9"/>
        <color indexed="10"/>
        <rFont val="Arial"/>
        <family val="2"/>
      </rPr>
      <t>(Korea)</t>
    </r>
  </si>
  <si>
    <r>
      <t>LLANTA 205/60 R15  ZE 912-91V FALKEN</t>
    </r>
    <r>
      <rPr>
        <b/>
        <sz val="9"/>
        <color indexed="10"/>
        <rFont val="Arial"/>
        <family val="2"/>
      </rPr>
      <t xml:space="preserve"> (Japon) </t>
    </r>
  </si>
  <si>
    <t>0150114</t>
  </si>
  <si>
    <t>0140114</t>
  </si>
  <si>
    <t>004110</t>
  </si>
  <si>
    <t>F027-00000894</t>
  </si>
  <si>
    <r>
      <t xml:space="preserve">ARO 8.25X22.5 ACTIVE ARTILLERO  </t>
    </r>
    <r>
      <rPr>
        <sz val="8"/>
        <color indexed="10"/>
        <rFont val="Arial"/>
        <family val="2"/>
      </rPr>
      <t xml:space="preserve">(027-0136188 </t>
    </r>
    <r>
      <rPr>
        <i/>
        <u/>
        <sz val="8"/>
        <color indexed="10"/>
        <rFont val="Arial"/>
        <family val="2"/>
      </rPr>
      <t>08</t>
    </r>
    <r>
      <rPr>
        <sz val="8"/>
        <color indexed="10"/>
        <rFont val="Arial"/>
        <family val="2"/>
      </rPr>
      <t>)</t>
    </r>
  </si>
  <si>
    <r>
      <t xml:space="preserve">LLANTA 11R22.5-16 TL ADC53 AEOLUS HENAN </t>
    </r>
    <r>
      <rPr>
        <sz val="8"/>
        <color indexed="10"/>
        <rFont val="Arial"/>
        <family val="2"/>
      </rPr>
      <t xml:space="preserve">[CHINA] (G027-0136188 </t>
    </r>
    <r>
      <rPr>
        <i/>
        <u/>
        <sz val="8"/>
        <color indexed="10"/>
        <rFont val="Arial"/>
        <family val="2"/>
      </rPr>
      <t>08</t>
    </r>
    <r>
      <rPr>
        <sz val="8"/>
        <color indexed="10"/>
        <rFont val="Arial"/>
        <family val="2"/>
      </rPr>
      <t>)</t>
    </r>
  </si>
  <si>
    <r>
      <t xml:space="preserve">LLANTA 425/65R22.5-20 TL AGC28 AEOLUS </t>
    </r>
    <r>
      <rPr>
        <sz val="8"/>
        <color indexed="10"/>
        <rFont val="Arial"/>
        <family val="2"/>
      </rPr>
      <t>(G027-0136689 06)</t>
    </r>
  </si>
  <si>
    <r>
      <t xml:space="preserve">ARO 13X22.5 EJE AMERICANO - HUALUN   </t>
    </r>
    <r>
      <rPr>
        <sz val="8"/>
        <color indexed="10"/>
        <rFont val="Arial"/>
        <family val="2"/>
      </rPr>
      <t>(G027-0136689 06)</t>
    </r>
  </si>
  <si>
    <r>
      <t xml:space="preserve">CAMARA 1100-20    </t>
    </r>
    <r>
      <rPr>
        <sz val="9"/>
        <color indexed="10"/>
        <rFont val="Arial"/>
        <family val="2"/>
      </rPr>
      <t>(G027-0013690 18)</t>
    </r>
  </si>
  <si>
    <r>
      <t xml:space="preserve">GUARDACAMARA 1100R20 DONG AH  </t>
    </r>
    <r>
      <rPr>
        <sz val="9"/>
        <color indexed="10"/>
        <rFont val="Arial"/>
        <family val="2"/>
      </rPr>
      <t>(G027-0013690 18)</t>
    </r>
  </si>
  <si>
    <r>
      <t xml:space="preserve">ARO 8.25X22.5 ACTIVE ARTILLERO  </t>
    </r>
    <r>
      <rPr>
        <sz val="7"/>
        <color indexed="10"/>
        <rFont val="Arial"/>
        <family val="2"/>
      </rPr>
      <t>(G027-0136666 02)  (G027-0013690 02)</t>
    </r>
  </si>
  <si>
    <r>
      <t xml:space="preserve">LLANTA 11R22.5-16 TL HN266 AEOLUS </t>
    </r>
    <r>
      <rPr>
        <sz val="8"/>
        <color indexed="10"/>
        <rFont val="Arial"/>
        <family val="2"/>
      </rPr>
      <t xml:space="preserve"> </t>
    </r>
    <r>
      <rPr>
        <sz val="7"/>
        <color indexed="10"/>
        <rFont val="Arial"/>
        <family val="2"/>
      </rPr>
      <t>(G027-0136666 02)  (G027-0013690 02)</t>
    </r>
  </si>
  <si>
    <r>
      <t>Llantas Sin Costo</t>
    </r>
    <r>
      <rPr>
        <i/>
        <sz val="11"/>
        <color indexed="62"/>
        <rFont val="Arial"/>
        <family val="2"/>
      </rPr>
      <t xml:space="preserve"> para Prueba en Camiones         </t>
    </r>
    <r>
      <rPr>
        <b/>
        <i/>
        <sz val="10"/>
        <color indexed="62"/>
        <rFont val="Arial"/>
        <family val="2"/>
      </rPr>
      <t>Guia 027-0065154</t>
    </r>
  </si>
  <si>
    <r>
      <t xml:space="preserve">LLANTA TRACCION VIKRANT </t>
    </r>
    <r>
      <rPr>
        <sz val="9"/>
        <color indexed="62"/>
        <rFont val="Arial"/>
        <family val="2"/>
      </rPr>
      <t>[Star Lug]</t>
    </r>
    <r>
      <rPr>
        <b/>
        <sz val="9"/>
        <color indexed="62"/>
        <rFont val="Arial"/>
        <family val="2"/>
      </rPr>
      <t xml:space="preserve"> (IN)</t>
    </r>
  </si>
  <si>
    <r>
      <t xml:space="preserve">LLANTA DELANTERA VIKRANT </t>
    </r>
    <r>
      <rPr>
        <sz val="9"/>
        <color indexed="62"/>
        <rFont val="Arial"/>
        <family val="2"/>
      </rPr>
      <t>[Tracking]</t>
    </r>
    <r>
      <rPr>
        <b/>
        <sz val="9"/>
        <color indexed="62"/>
        <rFont val="Arial"/>
        <family val="2"/>
      </rPr>
      <t xml:space="preserve"> (IN)</t>
    </r>
  </si>
  <si>
    <r>
      <t xml:space="preserve">LLANTA TRACCION VIKRANT </t>
    </r>
    <r>
      <rPr>
        <sz val="9"/>
        <color indexed="62"/>
        <rFont val="Arial"/>
        <family val="2"/>
      </rPr>
      <t>[Star Lug]</t>
    </r>
    <r>
      <rPr>
        <b/>
        <sz val="9"/>
        <color indexed="62"/>
        <rFont val="Arial"/>
        <family val="2"/>
      </rPr>
      <t xml:space="preserve"> (MX)</t>
    </r>
  </si>
  <si>
    <r>
      <t xml:space="preserve">LLANTA DELANTERA VIKRANT </t>
    </r>
    <r>
      <rPr>
        <sz val="9"/>
        <color indexed="62"/>
        <rFont val="Arial"/>
        <family val="2"/>
      </rPr>
      <t>[Tracking]</t>
    </r>
    <r>
      <rPr>
        <b/>
        <sz val="9"/>
        <color indexed="62"/>
        <rFont val="Arial"/>
        <family val="2"/>
      </rPr>
      <t xml:space="preserve"> (MX)</t>
    </r>
  </si>
  <si>
    <r>
      <t xml:space="preserve">LLANTA TRACCION </t>
    </r>
    <r>
      <rPr>
        <sz val="8"/>
        <color indexed="62"/>
        <rFont val="Arial"/>
        <family val="2"/>
      </rPr>
      <t xml:space="preserve">11.00-20-18PR STAR LUG </t>
    </r>
    <r>
      <rPr>
        <b/>
        <u/>
        <sz val="8"/>
        <color indexed="62"/>
        <rFont val="Arial"/>
        <family val="2"/>
      </rPr>
      <t>SET</t>
    </r>
    <r>
      <rPr>
        <sz val="8"/>
        <color indexed="62"/>
        <rFont val="Arial"/>
        <family val="2"/>
      </rPr>
      <t xml:space="preserve"> VIKRANT</t>
    </r>
    <r>
      <rPr>
        <b/>
        <sz val="9"/>
        <color indexed="62"/>
        <rFont val="Arial"/>
        <family val="2"/>
      </rPr>
      <t xml:space="preserve"> (MX)</t>
    </r>
  </si>
  <si>
    <t>OC-01673</t>
  </si>
  <si>
    <t>F101-00004641</t>
  </si>
  <si>
    <t>G033-0012111</t>
  </si>
  <si>
    <t>Rechazada, G033-0012111</t>
  </si>
  <si>
    <t>LLANTA 11R22.5-16 TL HN266 AEOLUS  (CHINA) X CAMBIO de HN267</t>
  </si>
  <si>
    <t>01673</t>
  </si>
  <si>
    <t>ADC53</t>
  </si>
  <si>
    <r>
      <t xml:space="preserve">LLANTA TH-200 </t>
    </r>
    <r>
      <rPr>
        <sz val="8"/>
        <color indexed="62"/>
        <rFont val="Arial"/>
        <family val="2"/>
      </rPr>
      <t xml:space="preserve">6.50-14 8PR [Sin Camara Mv_01]  </t>
    </r>
    <r>
      <rPr>
        <b/>
        <sz val="9"/>
        <color indexed="62"/>
        <rFont val="Arial"/>
        <family val="2"/>
      </rPr>
      <t>(PE)</t>
    </r>
  </si>
  <si>
    <r>
      <t xml:space="preserve">LLANTA DELANTERA </t>
    </r>
    <r>
      <rPr>
        <sz val="8"/>
        <color indexed="62"/>
        <rFont val="Arial"/>
        <family val="2"/>
      </rPr>
      <t xml:space="preserve">11.00-20-18PR ROAD TUF </t>
    </r>
    <r>
      <rPr>
        <b/>
        <u/>
        <sz val="8"/>
        <color indexed="62"/>
        <rFont val="Arial"/>
        <family val="2"/>
      </rPr>
      <t>SET</t>
    </r>
    <r>
      <rPr>
        <sz val="8"/>
        <color indexed="62"/>
        <rFont val="Arial"/>
        <family val="2"/>
      </rPr>
      <t xml:space="preserve"> ALTURA</t>
    </r>
    <r>
      <rPr>
        <b/>
        <sz val="9"/>
        <color indexed="62"/>
        <rFont val="Arial"/>
        <family val="2"/>
      </rPr>
      <t xml:space="preserve"> (IN)</t>
    </r>
  </si>
  <si>
    <r>
      <t xml:space="preserve">  Aro Artillero 8.00" x 20 </t>
    </r>
    <r>
      <rPr>
        <i/>
        <u/>
        <sz val="9"/>
        <color indexed="10"/>
        <rFont val="Arial"/>
        <family val="2"/>
      </rPr>
      <t>Usado</t>
    </r>
  </si>
  <si>
    <r>
      <t xml:space="preserve">  Petaña de aro R- 20 </t>
    </r>
    <r>
      <rPr>
        <i/>
        <u/>
        <sz val="9"/>
        <color indexed="10"/>
        <rFont val="Arial"/>
        <family val="2"/>
      </rPr>
      <t>Usado</t>
    </r>
  </si>
  <si>
    <r>
      <t xml:space="preserve">  Aro Artillero 7.50" x 20 </t>
    </r>
    <r>
      <rPr>
        <i/>
        <u/>
        <sz val="9"/>
        <color indexed="10"/>
        <rFont val="Arial"/>
        <family val="2"/>
      </rPr>
      <t>Usado</t>
    </r>
  </si>
  <si>
    <r>
      <t xml:space="preserve"> LLANTA TRACCION EXTRA TD-440 </t>
    </r>
    <r>
      <rPr>
        <sz val="7.5"/>
        <color indexed="10"/>
        <rFont val="Arial"/>
        <family val="2"/>
      </rPr>
      <t>(PE)</t>
    </r>
  </si>
  <si>
    <t>01710</t>
  </si>
  <si>
    <r>
      <t xml:space="preserve"> LLANTA TRACCION VIKRANT [Star Lug]</t>
    </r>
    <r>
      <rPr>
        <sz val="7.5"/>
        <color indexed="10"/>
        <rFont val="Arial"/>
        <family val="2"/>
      </rPr>
      <t xml:space="preserve"> (MX)</t>
    </r>
  </si>
  <si>
    <r>
      <t xml:space="preserve">LLANTA TRACCION </t>
    </r>
    <r>
      <rPr>
        <sz val="8"/>
        <rFont val="Arial"/>
        <family val="2"/>
      </rPr>
      <t xml:space="preserve">11.00-20-18PR STAR LUG </t>
    </r>
    <r>
      <rPr>
        <b/>
        <u/>
        <sz val="8"/>
        <rFont val="Arial"/>
        <family val="2"/>
      </rPr>
      <t>SET</t>
    </r>
    <r>
      <rPr>
        <sz val="8"/>
        <rFont val="Arial"/>
        <family val="2"/>
      </rPr>
      <t xml:space="preserve"> VIKRANT</t>
    </r>
    <r>
      <rPr>
        <b/>
        <sz val="9"/>
        <rFont val="Arial"/>
        <family val="2"/>
      </rPr>
      <t xml:space="preserve"> (MX)</t>
    </r>
  </si>
  <si>
    <t>Medida</t>
  </si>
  <si>
    <t>1100-20</t>
  </si>
  <si>
    <t>11R22.5</t>
  </si>
  <si>
    <t>1200-20</t>
  </si>
  <si>
    <t xml:space="preserve">                                  No olvidar crear en la columna V KEY_Filtro</t>
  </si>
  <si>
    <t>Cadena para acumulados (trabajo x empresa)</t>
  </si>
  <si>
    <t>Key_de_filtro</t>
  </si>
  <si>
    <t xml:space="preserve">M E N S U A L </t>
  </si>
  <si>
    <t>Acum ANUAL</t>
  </si>
  <si>
    <t>Acum MENSUAL</t>
  </si>
  <si>
    <t>Renova SAC - Estado de nuematicos  - Srta. Rosario  Telf 485-4075 anx 120</t>
  </si>
  <si>
    <t xml:space="preserve">Control de Reencauches </t>
  </si>
  <si>
    <t>Itm</t>
  </si>
  <si>
    <t>Tp</t>
  </si>
  <si>
    <t xml:space="preserve"> MARCA</t>
  </si>
  <si>
    <t>CODIGO</t>
  </si>
  <si>
    <t xml:space="preserve"> TRABAJO</t>
  </si>
  <si>
    <t xml:space="preserve"> PROVEEDOR</t>
  </si>
  <si>
    <t xml:space="preserve"> DOCUMENTO</t>
  </si>
  <si>
    <t>Enviado</t>
  </si>
  <si>
    <t>Reg</t>
  </si>
  <si>
    <t>Recibido</t>
  </si>
  <si>
    <t>Año</t>
  </si>
  <si>
    <t>FACTURA</t>
  </si>
  <si>
    <t>Precio US $</t>
  </si>
  <si>
    <t>Precio S/.</t>
  </si>
  <si>
    <t xml:space="preserve"> Condic </t>
  </si>
  <si>
    <t>Observaciones</t>
  </si>
  <si>
    <t>Descripcion - ORDEN DE COMPRA</t>
  </si>
  <si>
    <t>Año 2014</t>
  </si>
  <si>
    <t>Pendiente</t>
  </si>
  <si>
    <t>R</t>
  </si>
  <si>
    <t>Aeolus</t>
  </si>
  <si>
    <t>028912</t>
  </si>
  <si>
    <t>Reencauche</t>
  </si>
  <si>
    <t>Reenc. MASTERCAUCHO</t>
  </si>
  <si>
    <t>002636</t>
  </si>
  <si>
    <t>Ok</t>
  </si>
  <si>
    <t>0001-004666</t>
  </si>
  <si>
    <t>Entregado</t>
  </si>
  <si>
    <t>C</t>
  </si>
  <si>
    <t>Lima Caucho</t>
  </si>
  <si>
    <t>0121210</t>
  </si>
  <si>
    <t>F101-00001249</t>
  </si>
  <si>
    <t>G030-0056026</t>
  </si>
  <si>
    <t>Vikrant</t>
  </si>
  <si>
    <t>0200712</t>
  </si>
  <si>
    <t>0610808</t>
  </si>
  <si>
    <t>Transpl Banda</t>
  </si>
  <si>
    <t>0560708</t>
  </si>
  <si>
    <t>Banda de 2ª usada</t>
  </si>
  <si>
    <t>0811007</t>
  </si>
  <si>
    <t>Sacar_Banda</t>
  </si>
  <si>
    <t>0290413</t>
  </si>
  <si>
    <t>002536</t>
  </si>
  <si>
    <t>0001-004593</t>
  </si>
  <si>
    <t>00010115</t>
  </si>
  <si>
    <t>0200413</t>
  </si>
  <si>
    <t>0270912</t>
  </si>
  <si>
    <t>0870908</t>
  </si>
  <si>
    <t>002535</t>
  </si>
  <si>
    <t>0950908</t>
  </si>
  <si>
    <t>0390510</t>
  </si>
  <si>
    <t>0771007</t>
  </si>
  <si>
    <t>1191210</t>
  </si>
  <si>
    <t>Goodyear</t>
  </si>
  <si>
    <t>0650404</t>
  </si>
  <si>
    <t>0460707</t>
  </si>
  <si>
    <t>Reencauchadora RENOVA</t>
  </si>
  <si>
    <t>219314</t>
  </si>
  <si>
    <t>0270814</t>
  </si>
  <si>
    <t>0431114</t>
  </si>
  <si>
    <t>0280814</t>
  </si>
  <si>
    <t>230196</t>
  </si>
  <si>
    <t>1101210</t>
  </si>
  <si>
    <t>230195</t>
  </si>
  <si>
    <t>F101-00000135</t>
  </si>
  <si>
    <t>Lu He</t>
  </si>
  <si>
    <t>031029</t>
  </si>
  <si>
    <t>0471112</t>
  </si>
  <si>
    <t>1181210</t>
  </si>
  <si>
    <t>0440707</t>
  </si>
  <si>
    <t>0050113</t>
  </si>
  <si>
    <t>0110109</t>
  </si>
  <si>
    <t>Altura</t>
  </si>
  <si>
    <t>0670911</t>
  </si>
  <si>
    <t>Riverstone</t>
  </si>
  <si>
    <t>1490904</t>
  </si>
  <si>
    <t>G030-0054623</t>
  </si>
  <si>
    <t>Rechazada, Guia 030-0054623</t>
  </si>
  <si>
    <t>1011210</t>
  </si>
  <si>
    <t>0350410</t>
  </si>
  <si>
    <t>002608</t>
  </si>
  <si>
    <t>0001-004559</t>
  </si>
  <si>
    <t>0210310</t>
  </si>
  <si>
    <t>0801007</t>
  </si>
  <si>
    <t>0370707</t>
  </si>
  <si>
    <t>00120108</t>
  </si>
  <si>
    <t>1011107</t>
  </si>
  <si>
    <t>0580709</t>
  </si>
  <si>
    <t>218737</t>
  </si>
  <si>
    <t>0030-0044857</t>
  </si>
  <si>
    <t>0570709</t>
  </si>
  <si>
    <t>0981210</t>
  </si>
  <si>
    <t>0810910</t>
  </si>
  <si>
    <t>0840910</t>
  </si>
  <si>
    <t>218738</t>
  </si>
  <si>
    <t>0740908</t>
  </si>
  <si>
    <t>0450411</t>
  </si>
  <si>
    <t>0260712</t>
  </si>
  <si>
    <t>Rechazada, Guia 030-00????</t>
  </si>
  <si>
    <t>1700310</t>
  </si>
  <si>
    <t>1141107</t>
  </si>
  <si>
    <t>0330908</t>
  </si>
  <si>
    <t>0840908</t>
  </si>
  <si>
    <t>0160612</t>
  </si>
  <si>
    <t>002502</t>
  </si>
  <si>
    <t>0001-004475</t>
  </si>
  <si>
    <t>0260507</t>
  </si>
  <si>
    <t>Vulcanizado (curación)</t>
  </si>
  <si>
    <t>0070111</t>
  </si>
  <si>
    <t>0971210</t>
  </si>
  <si>
    <t>Birla</t>
  </si>
  <si>
    <t>0570806</t>
  </si>
  <si>
    <t>RECLAMO</t>
  </si>
  <si>
    <t>Rechazada, Falla en Carcasa, No se Facturo</t>
  </si>
  <si>
    <t>0590708</t>
  </si>
  <si>
    <t>Reclamo en Carcasa, No se Facturo</t>
  </si>
  <si>
    <t>0140612</t>
  </si>
  <si>
    <t>001594</t>
  </si>
  <si>
    <t>0001-004272</t>
  </si>
  <si>
    <t>0180612</t>
  </si>
  <si>
    <t>0170612</t>
  </si>
  <si>
    <t>Falken</t>
  </si>
  <si>
    <t>0570611</t>
  </si>
  <si>
    <t>170812</t>
  </si>
  <si>
    <t>0150612</t>
  </si>
  <si>
    <t>0530611</t>
  </si>
  <si>
    <t>G0001-000729</t>
  </si>
  <si>
    <t>Kumho</t>
  </si>
  <si>
    <t>0230305</t>
  </si>
  <si>
    <t>SUPERHAWK</t>
  </si>
  <si>
    <t>Mixto</t>
  </si>
  <si>
    <t>MasterCaucho</t>
  </si>
  <si>
    <t xml:space="preserve"> Enllante x Takushi</t>
  </si>
  <si>
    <t>217504</t>
  </si>
  <si>
    <t>030-0053153</t>
  </si>
  <si>
    <t>0380510</t>
  </si>
  <si>
    <t>1601004</t>
  </si>
  <si>
    <t>1410904</t>
  </si>
  <si>
    <t>0841007</t>
  </si>
  <si>
    <t>0260211</t>
  </si>
  <si>
    <t>217503</t>
  </si>
  <si>
    <t>1010705</t>
  </si>
  <si>
    <t>0150111</t>
  </si>
  <si>
    <t>1061208</t>
  </si>
  <si>
    <t>0530807</t>
  </si>
  <si>
    <t>0441112</t>
  </si>
  <si>
    <t>0710808</t>
  </si>
  <si>
    <t>1211207</t>
  </si>
  <si>
    <t>1890920</t>
  </si>
  <si>
    <t>Rechazada, Guia 030-0053151</t>
  </si>
  <si>
    <t>0340508</t>
  </si>
  <si>
    <t>0660808</t>
  </si>
  <si>
    <t>0020115</t>
  </si>
  <si>
    <t>S/D</t>
  </si>
  <si>
    <t>0001-004225</t>
  </si>
  <si>
    <t>0510611</t>
  </si>
  <si>
    <t>001584</t>
  </si>
  <si>
    <t>0560611</t>
  </si>
  <si>
    <t>0540611</t>
  </si>
  <si>
    <t>0580611</t>
  </si>
  <si>
    <t>0600611</t>
  </si>
  <si>
    <t>0550611</t>
  </si>
  <si>
    <t>0270413</t>
  </si>
  <si>
    <t>0220611</t>
  </si>
  <si>
    <t>001438</t>
  </si>
  <si>
    <t>0001-004093</t>
  </si>
  <si>
    <t>0240413</t>
  </si>
  <si>
    <t>001426</t>
  </si>
  <si>
    <t>0001-004040</t>
  </si>
  <si>
    <t>0190514</t>
  </si>
  <si>
    <t>0300413</t>
  </si>
  <si>
    <t>0220413</t>
  </si>
  <si>
    <t>0230413</t>
  </si>
  <si>
    <t>0210413</t>
  </si>
  <si>
    <t>0280413</t>
  </si>
  <si>
    <t>0520611</t>
  </si>
  <si>
    <t>0590611</t>
  </si>
  <si>
    <t>0300912</t>
  </si>
  <si>
    <t>Rechazada, Falla en Casco perforado Grnd, No se Facturo</t>
  </si>
  <si>
    <t>1091210</t>
  </si>
  <si>
    <t>216578</t>
  </si>
  <si>
    <t>030-0043537</t>
  </si>
  <si>
    <t>0800910</t>
  </si>
  <si>
    <t>1001210</t>
  </si>
  <si>
    <t>0780908</t>
  </si>
  <si>
    <t>0390411</t>
  </si>
  <si>
    <t>0470707</t>
  </si>
  <si>
    <t>1171210</t>
  </si>
  <si>
    <t>0190310</t>
  </si>
  <si>
    <t>011022010</t>
  </si>
  <si>
    <t>0470506</t>
  </si>
  <si>
    <t>070808</t>
  </si>
  <si>
    <t>040411</t>
  </si>
  <si>
    <t>0401112</t>
  </si>
  <si>
    <t>0020209</t>
  </si>
  <si>
    <t>220488</t>
  </si>
  <si>
    <t>220489</t>
  </si>
  <si>
    <t>0760906</t>
  </si>
  <si>
    <t>002149</t>
  </si>
  <si>
    <t>216579</t>
  </si>
  <si>
    <t>0660809</t>
  </si>
  <si>
    <t>0050111</t>
  </si>
  <si>
    <t>0710907</t>
  </si>
  <si>
    <t>Rechazada, Guia 030-005170</t>
  </si>
  <si>
    <t>0830910</t>
  </si>
  <si>
    <t>001410</t>
  </si>
  <si>
    <t>001-004010</t>
  </si>
  <si>
    <t>0630808</t>
  </si>
  <si>
    <t>0150205</t>
  </si>
  <si>
    <t>001-004015</t>
  </si>
  <si>
    <t>039082003</t>
  </si>
  <si>
    <t>0720906</t>
  </si>
  <si>
    <t>0821007</t>
  </si>
  <si>
    <t>0340302</t>
  </si>
  <si>
    <t>001454</t>
  </si>
  <si>
    <t>001-003955</t>
  </si>
  <si>
    <t>0821002</t>
  </si>
  <si>
    <t>Devuelta por Falta de Carcasa, No se Facturo</t>
  </si>
  <si>
    <t>0440506</t>
  </si>
  <si>
    <t>Rechazada, Casco soplado, No se Facturo</t>
  </si>
  <si>
    <t>06211202</t>
  </si>
  <si>
    <t>001967</t>
  </si>
  <si>
    <t>001-003896</t>
  </si>
  <si>
    <t>4104</t>
  </si>
  <si>
    <t>0750906</t>
  </si>
  <si>
    <t>G 001-000557</t>
  </si>
  <si>
    <t>0210211</t>
  </si>
  <si>
    <t>214950</t>
  </si>
  <si>
    <t>030-0043096</t>
  </si>
  <si>
    <t>037112</t>
  </si>
  <si>
    <t>050032004</t>
  </si>
  <si>
    <t>0290211</t>
  </si>
  <si>
    <t>0490411</t>
  </si>
  <si>
    <t>0170205</t>
  </si>
  <si>
    <t>GOODRIDE</t>
  </si>
  <si>
    <t>4913</t>
  </si>
  <si>
    <t>Llanta de 2da Org</t>
  </si>
  <si>
    <t>S/F</t>
  </si>
  <si>
    <t>001-003815</t>
  </si>
  <si>
    <t>Reemplz  AEOLUS 0210614(165)</t>
  </si>
  <si>
    <t>0210614</t>
  </si>
  <si>
    <t>001232</t>
  </si>
  <si>
    <t>G 001-000529</t>
  </si>
  <si>
    <t>0020113</t>
  </si>
  <si>
    <t>0050312</t>
  </si>
  <si>
    <t>1241207</t>
  </si>
  <si>
    <t>001267</t>
  </si>
  <si>
    <t>001-003750</t>
  </si>
  <si>
    <t>1511207</t>
  </si>
  <si>
    <t>0110108</t>
  </si>
  <si>
    <t>0400707</t>
  </si>
  <si>
    <t>0810908</t>
  </si>
  <si>
    <t>214331</t>
  </si>
  <si>
    <t>030-0042435</t>
  </si>
  <si>
    <t>0600709</t>
  </si>
  <si>
    <t>1060705</t>
  </si>
  <si>
    <t>0800505</t>
  </si>
  <si>
    <t>0650911</t>
  </si>
  <si>
    <t>214332</t>
  </si>
  <si>
    <t>Rechazada, Guia 030-0050735</t>
  </si>
  <si>
    <t>1281207</t>
  </si>
  <si>
    <t>0290508</t>
  </si>
  <si>
    <t>0390509</t>
  </si>
  <si>
    <t>0170114</t>
  </si>
  <si>
    <t>001201</t>
  </si>
  <si>
    <t>001-003667</t>
  </si>
  <si>
    <t>0951010</t>
  </si>
  <si>
    <t>0790910</t>
  </si>
  <si>
    <t>1971204</t>
  </si>
  <si>
    <t>0110612</t>
  </si>
  <si>
    <t>001128</t>
  </si>
  <si>
    <t>001-003545</t>
  </si>
  <si>
    <t>0090113</t>
  </si>
  <si>
    <t>001110</t>
  </si>
  <si>
    <t>001-003503</t>
  </si>
  <si>
    <t>038030</t>
  </si>
  <si>
    <t>003988</t>
  </si>
  <si>
    <t>0001-005766</t>
  </si>
  <si>
    <t>G0001-001226</t>
  </si>
  <si>
    <t>1211210</t>
  </si>
  <si>
    <t xml:space="preserve"> - Misma Banda</t>
  </si>
  <si>
    <t>0890908</t>
  </si>
  <si>
    <t>1181107</t>
  </si>
  <si>
    <t>1451207</t>
  </si>
  <si>
    <t>000933</t>
  </si>
  <si>
    <t>001-003441</t>
  </si>
  <si>
    <t>0220207</t>
  </si>
  <si>
    <t>062112002</t>
  </si>
  <si>
    <t>1191107</t>
  </si>
  <si>
    <t>0260508</t>
  </si>
  <si>
    <t>0180207</t>
  </si>
  <si>
    <t>212766</t>
  </si>
  <si>
    <t>030-0041698</t>
  </si>
  <si>
    <t>0230108</t>
  </si>
  <si>
    <t>0090111</t>
  </si>
  <si>
    <t>0851007</t>
  </si>
  <si>
    <t>0430411</t>
  </si>
  <si>
    <t>0460411</t>
  </si>
  <si>
    <t>Rechazada, Guia 030-0049609</t>
  </si>
  <si>
    <t>1451105</t>
  </si>
  <si>
    <t>0360912</t>
  </si>
  <si>
    <t>000914</t>
  </si>
  <si>
    <t>001-003322</t>
  </si>
  <si>
    <t>Llanta C/Corte en Banda - R-1156. 11/06/15</t>
  </si>
  <si>
    <t>170812-4</t>
  </si>
  <si>
    <t>000905</t>
  </si>
  <si>
    <t>001-003310</t>
  </si>
  <si>
    <t>Llanta Volada - R1-23 A.Jacobo rem:7mm 08/06/15</t>
  </si>
  <si>
    <t>0500708</t>
  </si>
  <si>
    <t>000875</t>
  </si>
  <si>
    <t>001-003360</t>
  </si>
  <si>
    <t>0450510</t>
  </si>
  <si>
    <t>0210207</t>
  </si>
  <si>
    <t>0110114</t>
  </si>
  <si>
    <t>1491207</t>
  </si>
  <si>
    <t>211100</t>
  </si>
  <si>
    <t>030-0048969</t>
  </si>
  <si>
    <t>0820910</t>
  </si>
  <si>
    <t>10650808</t>
  </si>
  <si>
    <t>0100702</t>
  </si>
  <si>
    <t>0791007</t>
  </si>
  <si>
    <t>1130704</t>
  </si>
  <si>
    <t>0250508</t>
  </si>
  <si>
    <t>F101-00005266</t>
  </si>
  <si>
    <t>G031-0020075</t>
  </si>
  <si>
    <t>Rechazada, G031-0020075</t>
  </si>
  <si>
    <t>Rechazada, Guia 030-0048970</t>
  </si>
  <si>
    <t>0840505</t>
  </si>
  <si>
    <t>030-0041527</t>
  </si>
  <si>
    <t>000771</t>
  </si>
  <si>
    <t>001-003115</t>
  </si>
  <si>
    <t>0170812</t>
  </si>
  <si>
    <t>003485</t>
  </si>
  <si>
    <t>1561004</t>
  </si>
  <si>
    <t>1391207</t>
  </si>
  <si>
    <t>0781009</t>
  </si>
  <si>
    <t>0320211</t>
  </si>
  <si>
    <t>1041208</t>
  </si>
  <si>
    <t>210509</t>
  </si>
  <si>
    <t>030-0040614</t>
  </si>
  <si>
    <t>075109</t>
  </si>
  <si>
    <t>0500706</t>
  </si>
  <si>
    <t>0220712</t>
  </si>
  <si>
    <t>0040312</t>
  </si>
  <si>
    <t>0100111</t>
  </si>
  <si>
    <t>1001107</t>
  </si>
  <si>
    <t>210510</t>
  </si>
  <si>
    <t>310305</t>
  </si>
  <si>
    <t>0470608</t>
  </si>
  <si>
    <t>Rechazada, Guia 030-0048049</t>
  </si>
  <si>
    <t>0020102</t>
  </si>
  <si>
    <t>0330302</t>
  </si>
  <si>
    <t>000674</t>
  </si>
  <si>
    <t>0001-002885</t>
  </si>
  <si>
    <t>050805208</t>
  </si>
  <si>
    <t>0750910</t>
  </si>
  <si>
    <t>0801009</t>
  </si>
  <si>
    <t>209279</t>
  </si>
  <si>
    <t>030-0040007</t>
  </si>
  <si>
    <t>0230211</t>
  </si>
  <si>
    <t>0920908</t>
  </si>
  <si>
    <t>209278</t>
  </si>
  <si>
    <t>0670809</t>
  </si>
  <si>
    <t>1300904</t>
  </si>
  <si>
    <t>010022010</t>
  </si>
  <si>
    <t>1131210</t>
  </si>
  <si>
    <t>0700404</t>
  </si>
  <si>
    <t>0540706</t>
  </si>
  <si>
    <t>Rechazada, Guia 030-0047146</t>
  </si>
  <si>
    <t>0220108</t>
  </si>
  <si>
    <t>000472</t>
  </si>
  <si>
    <t>0001-002735</t>
  </si>
  <si>
    <t>0861010</t>
  </si>
  <si>
    <t>0360410</t>
  </si>
  <si>
    <t>000470</t>
  </si>
  <si>
    <t>0001-002685</t>
  </si>
  <si>
    <t>1180704</t>
  </si>
  <si>
    <t>0941206</t>
  </si>
  <si>
    <t>Rechazada, F 0001-002685</t>
  </si>
  <si>
    <t>1271207</t>
  </si>
  <si>
    <t>0480411</t>
  </si>
  <si>
    <t>209767</t>
  </si>
  <si>
    <t>209768</t>
  </si>
  <si>
    <t>030-0039705</t>
  </si>
  <si>
    <t>0480510</t>
  </si>
  <si>
    <t>0160111</t>
  </si>
  <si>
    <t>0680809</t>
  </si>
  <si>
    <t>1160704</t>
  </si>
  <si>
    <t>0500610</t>
  </si>
  <si>
    <t>1021210</t>
  </si>
  <si>
    <t>Rechazada, Guia 030-0046746</t>
  </si>
  <si>
    <t>F027-00017290 
F027-00017313</t>
  </si>
  <si>
    <r>
      <t xml:space="preserve">LLANTA 11R22.5-16 TL HN266 AEOLUS  </t>
    </r>
    <r>
      <rPr>
        <sz val="8"/>
        <color indexed="10"/>
        <rFont val="Arial"/>
        <family val="2"/>
      </rPr>
      <t>(CHINA)</t>
    </r>
  </si>
  <si>
    <r>
      <t>LLANTA 11R22.5-16 TL ADC53 TRACCION AEOLUS</t>
    </r>
    <r>
      <rPr>
        <b/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(CHINA)</t>
    </r>
  </si>
  <si>
    <t>0030113</t>
  </si>
  <si>
    <t>003173</t>
  </si>
  <si>
    <t>0001-005409</t>
  </si>
  <si>
    <t>0821215</t>
  </si>
  <si>
    <t>002495</t>
  </si>
  <si>
    <t>0700907</t>
  </si>
  <si>
    <t>1901204</t>
  </si>
  <si>
    <t>000546</t>
  </si>
  <si>
    <t>0001-002589</t>
  </si>
  <si>
    <t>0740505</t>
  </si>
  <si>
    <t>Hankook</t>
  </si>
  <si>
    <t>0380305</t>
  </si>
  <si>
    <t>020107</t>
  </si>
  <si>
    <t>0660906</t>
  </si>
  <si>
    <t>208864</t>
  </si>
  <si>
    <t>Rechazada, Guia 030-0047466  al 16/04/15</t>
  </si>
  <si>
    <t>0070109</t>
  </si>
  <si>
    <t>1031208</t>
  </si>
  <si>
    <t>208865</t>
  </si>
  <si>
    <t>030-0039372</t>
  </si>
  <si>
    <t>012022010</t>
  </si>
  <si>
    <t>0340211</t>
  </si>
  <si>
    <t>05022010</t>
  </si>
  <si>
    <t>0280211</t>
  </si>
  <si>
    <t>0210108</t>
  </si>
  <si>
    <t>0411112</t>
  </si>
  <si>
    <t>1000908</t>
  </si>
  <si>
    <t>000246</t>
  </si>
  <si>
    <t>0001-002559</t>
  </si>
  <si>
    <t>0280508</t>
  </si>
  <si>
    <t>1361207</t>
  </si>
  <si>
    <t>0630407</t>
  </si>
  <si>
    <t>000239</t>
  </si>
  <si>
    <t>0001-002480</t>
  </si>
  <si>
    <t>0620808</t>
  </si>
  <si>
    <t>0110107</t>
  </si>
  <si>
    <t>0380608</t>
  </si>
  <si>
    <t>F027-00019581</t>
  </si>
  <si>
    <r>
      <t xml:space="preserve">LLANTA 425/65R22.5-20 TL AGC28 AEOLUS  </t>
    </r>
    <r>
      <rPr>
        <sz val="8"/>
        <color indexed="10"/>
        <rFont val="Arial"/>
        <family val="2"/>
      </rPr>
      <t>(CHINA)</t>
    </r>
  </si>
  <si>
    <t>OC-01729</t>
  </si>
  <si>
    <t>F027-00018980</t>
  </si>
  <si>
    <t xml:space="preserve">GUARDACAMARA 1100R20 DONG AH </t>
  </si>
  <si>
    <t>OC-01710</t>
  </si>
  <si>
    <r>
      <t xml:space="preserve">Entrg - FUFABRI   -   </t>
    </r>
    <r>
      <rPr>
        <sz val="9"/>
        <color indexed="10"/>
        <rFont val="Arial"/>
        <family val="2"/>
      </rPr>
      <t>425/65R22.5-20 TL</t>
    </r>
  </si>
  <si>
    <r>
      <t xml:space="preserve">Entrg - FUFABRI   -  </t>
    </r>
    <r>
      <rPr>
        <sz val="9"/>
        <color indexed="10"/>
        <rFont val="Arial"/>
        <family val="2"/>
      </rPr>
      <t>425/65R22.5-20 TL</t>
    </r>
  </si>
  <si>
    <t>003461</t>
  </si>
  <si>
    <t>000234</t>
  </si>
  <si>
    <t>0410509</t>
  </si>
  <si>
    <t>1441105</t>
  </si>
  <si>
    <t>0160310</t>
  </si>
  <si>
    <t>1051107</t>
  </si>
  <si>
    <t>1761004</t>
  </si>
  <si>
    <t>0590807</t>
  </si>
  <si>
    <t>207192</t>
  </si>
  <si>
    <t>030-038896</t>
  </si>
  <si>
    <t>1031107</t>
  </si>
  <si>
    <t>0380411</t>
  </si>
  <si>
    <t>1140704</t>
  </si>
  <si>
    <t>207193</t>
  </si>
  <si>
    <t>0140111</t>
  </si>
  <si>
    <t>Rechazada, Guia 030-0045543</t>
  </si>
  <si>
    <t>030-0038807</t>
  </si>
  <si>
    <t>0931010</t>
  </si>
  <si>
    <t>1110704</t>
  </si>
  <si>
    <t>1090704</t>
  </si>
  <si>
    <t>072112002</t>
  </si>
  <si>
    <t>1090705</t>
  </si>
  <si>
    <t>0831009</t>
  </si>
  <si>
    <t>0120109</t>
  </si>
  <si>
    <t>0270410</t>
  </si>
  <si>
    <t>0730209</t>
  </si>
  <si>
    <t>0600911</t>
  </si>
  <si>
    <t>000225</t>
  </si>
  <si>
    <t>0001-002382</t>
  </si>
  <si>
    <t>0300508</t>
  </si>
  <si>
    <t>0750410</t>
  </si>
  <si>
    <t>000285</t>
  </si>
  <si>
    <t>0001-002299</t>
  </si>
  <si>
    <t>0501214</t>
  </si>
  <si>
    <t>Parchado, curado</t>
  </si>
  <si>
    <t>0250712</t>
  </si>
  <si>
    <t>043032004</t>
  </si>
  <si>
    <t>03022010</t>
  </si>
  <si>
    <t>Pendiente de instalar en otro casco</t>
  </si>
  <si>
    <t>0410510</t>
  </si>
  <si>
    <t>206730</t>
  </si>
  <si>
    <t>030-003895</t>
  </si>
  <si>
    <t>1200805</t>
  </si>
  <si>
    <t>0220312</t>
  </si>
  <si>
    <t>1501105</t>
  </si>
  <si>
    <t>0550610</t>
  </si>
  <si>
    <t>206731</t>
  </si>
  <si>
    <t>1240805</t>
  </si>
  <si>
    <t>Rechazada, Guia 030-0044840</t>
  </si>
  <si>
    <t>0050108</t>
  </si>
  <si>
    <t>0981107</t>
  </si>
  <si>
    <t>000266</t>
  </si>
  <si>
    <t>0001-002240</t>
  </si>
  <si>
    <t>0360305</t>
  </si>
  <si>
    <t>011032003</t>
  </si>
  <si>
    <t>0090107</t>
  </si>
  <si>
    <t>0040109</t>
  </si>
  <si>
    <t>1390805</t>
  </si>
  <si>
    <t>0630911</t>
  </si>
  <si>
    <t>000217</t>
  </si>
  <si>
    <t>22/1214</t>
  </si>
  <si>
    <t>0001-002210</t>
  </si>
  <si>
    <t>1120704</t>
  </si>
  <si>
    <t>0530305</t>
  </si>
  <si>
    <t>0471206</t>
  </si>
  <si>
    <t>0150113</t>
  </si>
  <si>
    <t xml:space="preserve">Band n Casco 2ª Usado  </t>
  </si>
  <si>
    <t>0610404</t>
  </si>
  <si>
    <t>000263</t>
  </si>
  <si>
    <t>0001-002144</t>
  </si>
  <si>
    <t>1881204</t>
  </si>
  <si>
    <t>068007</t>
  </si>
  <si>
    <t>0840102</t>
  </si>
  <si>
    <t xml:space="preserve">Rechazada, S/Guia </t>
  </si>
  <si>
    <t>0900908</t>
  </si>
  <si>
    <t>000252</t>
  </si>
  <si>
    <t>0001-002110</t>
  </si>
  <si>
    <t>1421207</t>
  </si>
  <si>
    <t>203495</t>
  </si>
  <si>
    <t>030-0037948</t>
  </si>
  <si>
    <t>1340805</t>
  </si>
  <si>
    <t>007022010</t>
  </si>
  <si>
    <t>0310508</t>
  </si>
  <si>
    <t>0010113</t>
  </si>
  <si>
    <t>0220211</t>
  </si>
  <si>
    <t>0140205</t>
  </si>
  <si>
    <t>203496</t>
  </si>
  <si>
    <t>0090108</t>
  </si>
  <si>
    <t>Rechazada, Guia 030-0044185</t>
  </si>
  <si>
    <t>0680907</t>
  </si>
  <si>
    <t>Saratoga</t>
  </si>
  <si>
    <t>0090306</t>
  </si>
  <si>
    <t>000045</t>
  </si>
  <si>
    <t>0001-002047</t>
  </si>
  <si>
    <t>0970980</t>
  </si>
  <si>
    <t>0980908</t>
  </si>
  <si>
    <t>0080107</t>
  </si>
  <si>
    <t>Rechazada por falla en casco</t>
  </si>
  <si>
    <t>0260206</t>
  </si>
  <si>
    <t>0080109</t>
  </si>
  <si>
    <t>1290805</t>
  </si>
  <si>
    <t>1201210</t>
  </si>
  <si>
    <t>000265</t>
  </si>
  <si>
    <t>0001-001897</t>
  </si>
  <si>
    <t>0390207</t>
  </si>
  <si>
    <t>0120107</t>
  </si>
  <si>
    <t>1651004</t>
  </si>
  <si>
    <t>1631004</t>
  </si>
  <si>
    <t>Remmplz LmCch-DOT_4308</t>
  </si>
  <si>
    <t>0001-006507</t>
  </si>
  <si>
    <t>G0001-002005</t>
  </si>
  <si>
    <t>Rechazada, G0001-002005</t>
  </si>
  <si>
    <t>0214 6.5R14</t>
  </si>
  <si>
    <t>004265</t>
  </si>
  <si>
    <t>0170111</t>
  </si>
  <si>
    <t>0001-001884</t>
  </si>
  <si>
    <t>0370411</t>
  </si>
  <si>
    <t>203529</t>
  </si>
  <si>
    <t>0730906</t>
  </si>
  <si>
    <t>203527</t>
  </si>
  <si>
    <t>0120111</t>
  </si>
  <si>
    <t>030-0037560</t>
  </si>
  <si>
    <t>06022010</t>
  </si>
  <si>
    <t>0990908</t>
  </si>
  <si>
    <t>203528</t>
  </si>
  <si>
    <t>0540610</t>
  </si>
  <si>
    <t>0710810</t>
  </si>
  <si>
    <t>Rechazada, Guia 030-0043599</t>
  </si>
  <si>
    <t>0030312</t>
  </si>
  <si>
    <t>030-0037457</t>
  </si>
  <si>
    <t>0370510</t>
  </si>
  <si>
    <t>0250211</t>
  </si>
  <si>
    <t>0760908</t>
  </si>
  <si>
    <t>0070107</t>
  </si>
  <si>
    <t>1070705</t>
  </si>
  <si>
    <t>030-0043336</t>
  </si>
  <si>
    <t>0190111</t>
  </si>
  <si>
    <t>0410506</t>
  </si>
  <si>
    <t>0650810</t>
  </si>
  <si>
    <t>0140310</t>
  </si>
  <si>
    <t>F101-00003472</t>
  </si>
  <si>
    <t>0560807</t>
  </si>
  <si>
    <t>0540807</t>
  </si>
  <si>
    <t>000052</t>
  </si>
  <si>
    <t>0001-001882</t>
  </si>
  <si>
    <t>0200205</t>
  </si>
  <si>
    <t>0420506</t>
  </si>
  <si>
    <t>0471001</t>
  </si>
  <si>
    <t>0871206</t>
  </si>
  <si>
    <t>000015</t>
  </si>
  <si>
    <t>0120215</t>
  </si>
  <si>
    <t>004275</t>
  </si>
  <si>
    <t>0001-006582</t>
  </si>
  <si>
    <t>0001-001823</t>
  </si>
  <si>
    <t>0620911</t>
  </si>
  <si>
    <t>000001</t>
  </si>
  <si>
    <t>0001-001804</t>
  </si>
  <si>
    <t>0330209</t>
  </si>
  <si>
    <t>F027-00023977</t>
  </si>
  <si>
    <r>
      <t xml:space="preserve">ARO 8.25X22.5 ACTIVE ARTILLERO  </t>
    </r>
    <r>
      <rPr>
        <sz val="8"/>
        <color indexed="10"/>
        <rFont val="Arial"/>
        <family val="2"/>
      </rPr>
      <t>((G027-0137353 12)</t>
    </r>
  </si>
  <si>
    <r>
      <t xml:space="preserve">LLANTA 11R22.5/16 PR VIKRANT VALIANT VUH </t>
    </r>
    <r>
      <rPr>
        <sz val="8"/>
        <color indexed="10"/>
        <rFont val="Arial"/>
        <family val="2"/>
      </rPr>
      <t>[CHINA] (G027-0137353 12)</t>
    </r>
  </si>
  <si>
    <t>OC-01823</t>
  </si>
  <si>
    <t>????</t>
  </si>
  <si>
    <t>Falla en carcasa x corte, INSERVIBLE</t>
  </si>
  <si>
    <t>Prueba-Gratis</t>
  </si>
  <si>
    <t>1001206</t>
  </si>
  <si>
    <t>1061106</t>
  </si>
  <si>
    <t>0871010</t>
  </si>
  <si>
    <t>0960705</t>
  </si>
  <si>
    <t>202365</t>
  </si>
  <si>
    <t>030-0036393</t>
  </si>
  <si>
    <t>0400510</t>
  </si>
  <si>
    <t>0610709</t>
  </si>
  <si>
    <t>0310211</t>
  </si>
  <si>
    <t>0310410</t>
  </si>
  <si>
    <t>0330410</t>
  </si>
  <si>
    <t>0831206</t>
  </si>
  <si>
    <t>0010109</t>
  </si>
  <si>
    <t>004011</t>
  </si>
  <si>
    <t>0100107</t>
  </si>
  <si>
    <t>202366</t>
  </si>
  <si>
    <t>0060113</t>
  </si>
  <si>
    <t>0080312</t>
  </si>
  <si>
    <t>030-0036156</t>
  </si>
  <si>
    <t>0030109</t>
  </si>
  <si>
    <t>0180111</t>
  </si>
  <si>
    <t>0080111</t>
  </si>
  <si>
    <t>0831007</t>
  </si>
  <si>
    <t>0150310</t>
  </si>
  <si>
    <t>0421112</t>
  </si>
  <si>
    <t>0881010</t>
  </si>
  <si>
    <t>202367</t>
  </si>
  <si>
    <t>0070108</t>
  </si>
  <si>
    <t>0001-001613</t>
  </si>
  <si>
    <t>0821009</t>
  </si>
  <si>
    <t>000172</t>
  </si>
  <si>
    <t>0390310</t>
  </si>
  <si>
    <t>0060111</t>
  </si>
  <si>
    <t>000163</t>
  </si>
  <si>
    <t>0001-001577</t>
  </si>
  <si>
    <t xml:space="preserve"> - - </t>
  </si>
  <si>
    <t>048077</t>
  </si>
  <si>
    <t>0310305</t>
  </si>
  <si>
    <t>Nexen</t>
  </si>
  <si>
    <t>1531004</t>
  </si>
  <si>
    <t>0220614</t>
  </si>
  <si>
    <t>000150</t>
  </si>
  <si>
    <t>0001-001497</t>
  </si>
  <si>
    <t>Reclamo por desprendimiento de banda</t>
  </si>
  <si>
    <t>070310</t>
  </si>
  <si>
    <t>0570708</t>
  </si>
  <si>
    <t>0670808</t>
  </si>
  <si>
    <t>0390608</t>
  </si>
  <si>
    <t>200815</t>
  </si>
  <si>
    <t>030-0035725</t>
  </si>
  <si>
    <t>1431207</t>
  </si>
  <si>
    <t>0350507</t>
  </si>
  <si>
    <t>0941010</t>
  </si>
  <si>
    <t>0570610</t>
  </si>
  <si>
    <t>0020109</t>
  </si>
  <si>
    <t>200816</t>
  </si>
  <si>
    <t>0391112</t>
  </si>
  <si>
    <t>1131107</t>
  </si>
  <si>
    <t>0150108</t>
  </si>
  <si>
    <t>0480506</t>
  </si>
  <si>
    <t>200817</t>
  </si>
  <si>
    <t>030-0035584</t>
  </si>
  <si>
    <t>0180108</t>
  </si>
  <si>
    <t>0740910</t>
  </si>
  <si>
    <t>0891010</t>
  </si>
  <si>
    <t>0770910</t>
  </si>
  <si>
    <t>0440411</t>
  </si>
  <si>
    <t>0620404</t>
  </si>
  <si>
    <t>BFGoodrich</t>
  </si>
  <si>
    <t>0540502</t>
  </si>
  <si>
    <t>Rechazada, Guia 030-0040809</t>
  </si>
  <si>
    <t>0580502</t>
  </si>
  <si>
    <t>0190413</t>
  </si>
  <si>
    <t>000136</t>
  </si>
  <si>
    <t>0001-001428</t>
  </si>
  <si>
    <t>0030610</t>
  </si>
  <si>
    <t>000133</t>
  </si>
  <si>
    <t>0001-001401</t>
  </si>
  <si>
    <t>0460305</t>
  </si>
  <si>
    <t>0490610</t>
  </si>
  <si>
    <t>0720810</t>
  </si>
  <si>
    <t>0060109</t>
  </si>
  <si>
    <t>0001-004973</t>
  </si>
  <si>
    <t>001-004973</t>
  </si>
  <si>
    <t>1330805</t>
  </si>
  <si>
    <t>000126</t>
  </si>
  <si>
    <t>0001-001263</t>
  </si>
  <si>
    <t>1091208</t>
  </si>
  <si>
    <t>0001-001208</t>
  </si>
  <si>
    <t>044092003</t>
  </si>
  <si>
    <t>121207</t>
  </si>
  <si>
    <t>0860908</t>
  </si>
  <si>
    <t>197577</t>
  </si>
  <si>
    <t>030-0039443</t>
  </si>
  <si>
    <t>0440608</t>
  </si>
  <si>
    <t>0400411</t>
  </si>
  <si>
    <t>0871009</t>
  </si>
  <si>
    <t>197576</t>
  </si>
  <si>
    <t>0540708</t>
  </si>
  <si>
    <t>0400608</t>
  </si>
  <si>
    <t>0970908</t>
  </si>
  <si>
    <t>0020312</t>
  </si>
  <si>
    <t>0100114</t>
  </si>
  <si>
    <t>0090114</t>
  </si>
  <si>
    <t>227452</t>
  </si>
  <si>
    <t>227451</t>
  </si>
  <si>
    <t>226350</t>
  </si>
  <si>
    <t>0670810</t>
  </si>
  <si>
    <t>0780910</t>
  </si>
  <si>
    <t>0450707</t>
  </si>
  <si>
    <t>0570807</t>
  </si>
  <si>
    <t>0811009</t>
  </si>
  <si>
    <t>197575</t>
  </si>
  <si>
    <t>0010312</t>
  </si>
  <si>
    <t>0240310</t>
  </si>
  <si>
    <t>0440510</t>
  </si>
  <si>
    <t>0720505</t>
  </si>
  <si>
    <t>0020111</t>
  </si>
  <si>
    <t>0670906</t>
  </si>
  <si>
    <t>0230712</t>
  </si>
  <si>
    <t>0100108</t>
  </si>
  <si>
    <t>Rechazada, entregada pelada //  Guia 030-0039444</t>
  </si>
  <si>
    <t>0280410</t>
  </si>
  <si>
    <t>132120</t>
  </si>
  <si>
    <t>000108</t>
  </si>
  <si>
    <t>0001-001183</t>
  </si>
  <si>
    <t>1581105</t>
  </si>
  <si>
    <t>0490510</t>
  </si>
  <si>
    <t>1691205</t>
  </si>
  <si>
    <t>0610911</t>
  </si>
  <si>
    <t>0060114</t>
  </si>
  <si>
    <t>0040114</t>
  </si>
  <si>
    <t>0070114</t>
  </si>
  <si>
    <t>0080114</t>
  </si>
  <si>
    <t>0030114</t>
  </si>
  <si>
    <t>0451214</t>
  </si>
  <si>
    <t>228162</t>
  </si>
  <si>
    <t>228163</t>
  </si>
  <si>
    <t>1231207</t>
  </si>
  <si>
    <t>0240712</t>
  </si>
  <si>
    <t>000838</t>
  </si>
  <si>
    <t>0001-001103</t>
  </si>
  <si>
    <t>150011207</t>
  </si>
  <si>
    <t>0330709</t>
  </si>
  <si>
    <t>0200108</t>
  </si>
  <si>
    <t>000826</t>
  </si>
  <si>
    <t>0001-001010</t>
  </si>
  <si>
    <t>0010107</t>
  </si>
  <si>
    <t>0090612</t>
  </si>
  <si>
    <t>0100610</t>
  </si>
  <si>
    <t>0381112</t>
  </si>
  <si>
    <t>000569</t>
  </si>
  <si>
    <t>001-000945</t>
  </si>
  <si>
    <t>0420707</t>
  </si>
  <si>
    <t>0220310</t>
  </si>
  <si>
    <t>0510610</t>
  </si>
  <si>
    <t>0020107</t>
  </si>
  <si>
    <t>196002</t>
  </si>
  <si>
    <t>030-0033918</t>
  </si>
  <si>
    <t>0360411</t>
  </si>
  <si>
    <t>Rechazada, entregada pelada //  Guia 031-0012770</t>
  </si>
  <si>
    <t>0160207</t>
  </si>
  <si>
    <t>0850908</t>
  </si>
  <si>
    <t>0170207</t>
  </si>
  <si>
    <t>196003</t>
  </si>
  <si>
    <t>1051208</t>
  </si>
  <si>
    <t>0110111</t>
  </si>
  <si>
    <t>0100109</t>
  </si>
  <si>
    <t>0050109</t>
  </si>
  <si>
    <t>196004</t>
  </si>
  <si>
    <t>080505</t>
  </si>
  <si>
    <t>0730809</t>
  </si>
  <si>
    <t>0510706</t>
  </si>
  <si>
    <t>000557</t>
  </si>
  <si>
    <t>001-000789</t>
  </si>
  <si>
    <t>04540707</t>
  </si>
  <si>
    <t>1261207</t>
  </si>
  <si>
    <t>0660911</t>
  </si>
  <si>
    <t>1041210</t>
  </si>
  <si>
    <t>1571105</t>
  </si>
  <si>
    <t>1941204</t>
  </si>
  <si>
    <t>0650906</t>
  </si>
  <si>
    <t>0371112</t>
  </si>
  <si>
    <t>195659</t>
  </si>
  <si>
    <t>030-033336</t>
  </si>
  <si>
    <t>030022010</t>
  </si>
  <si>
    <t>0690906</t>
  </si>
  <si>
    <t>0210712</t>
  </si>
  <si>
    <t>740505</t>
  </si>
  <si>
    <t>195660</t>
  </si>
  <si>
    <t>066112002</t>
  </si>
  <si>
    <t>0440509</t>
  </si>
  <si>
    <t>0630806</t>
  </si>
  <si>
    <t>195661</t>
  </si>
  <si>
    <t>032082003</t>
  </si>
  <si>
    <t>000528</t>
  </si>
  <si>
    <t>RECHAZADO Falla en casco, no transpl (desecho)</t>
  </si>
  <si>
    <t>001-00592</t>
  </si>
  <si>
    <t>0330506</t>
  </si>
  <si>
    <t>0370302</t>
  </si>
  <si>
    <t>0320508</t>
  </si>
  <si>
    <t>0670404</t>
  </si>
  <si>
    <t>046092003</t>
  </si>
  <si>
    <t>1911204</t>
  </si>
  <si>
    <t>193265</t>
  </si>
  <si>
    <t>1041107</t>
  </si>
  <si>
    <t>226227</t>
  </si>
  <si>
    <t>003452</t>
  </si>
  <si>
    <t>Rechazada, Guia 030-0059359</t>
  </si>
  <si>
    <t>F101-00004090</t>
  </si>
  <si>
    <t>030-032595</t>
  </si>
  <si>
    <t>0630907</t>
  </si>
  <si>
    <t>0901010</t>
  </si>
  <si>
    <t>0250507</t>
  </si>
  <si>
    <t>1501209</t>
  </si>
  <si>
    <t>0550807</t>
  </si>
  <si>
    <t>1621205</t>
  </si>
  <si>
    <t>193266</t>
  </si>
  <si>
    <t>0340410</t>
  </si>
  <si>
    <t>0270211</t>
  </si>
  <si>
    <t>0500411</t>
  </si>
  <si>
    <t>0060108</t>
  </si>
  <si>
    <t>09022010</t>
  </si>
  <si>
    <t>0190205</t>
  </si>
  <si>
    <t>193267</t>
  </si>
  <si>
    <t>000512</t>
  </si>
  <si>
    <t>001-000353</t>
  </si>
  <si>
    <t>002032003</t>
  </si>
  <si>
    <t>0620610</t>
  </si>
  <si>
    <t>0660810</t>
  </si>
  <si>
    <t>0130306</t>
  </si>
  <si>
    <t>1230805</t>
  </si>
  <si>
    <t>0120612</t>
  </si>
  <si>
    <t>Año 2013</t>
  </si>
  <si>
    <t>Dic
2013</t>
  </si>
  <si>
    <t>Reencauchadora Espinoza</t>
  </si>
  <si>
    <t>001408</t>
  </si>
  <si>
    <t>001-000253</t>
  </si>
  <si>
    <t>189992</t>
  </si>
  <si>
    <t>030-0031276</t>
  </si>
  <si>
    <t>1061107</t>
  </si>
  <si>
    <t>030-003295</t>
  </si>
  <si>
    <t>0790908</t>
  </si>
  <si>
    <t>0590610</t>
  </si>
  <si>
    <t>189991</t>
  </si>
  <si>
    <t>0640610</t>
  </si>
  <si>
    <t>0010111</t>
  </si>
  <si>
    <t>189990</t>
  </si>
  <si>
    <t>0180310</t>
  </si>
  <si>
    <t>0300211</t>
  </si>
  <si>
    <t>000740</t>
  </si>
  <si>
    <t>001-000105</t>
  </si>
  <si>
    <t>Usado Dot-4811</t>
  </si>
  <si>
    <t>F001-000105</t>
  </si>
  <si>
    <t>001-004224</t>
  </si>
  <si>
    <t>001-004529</t>
  </si>
  <si>
    <t>1751004</t>
  </si>
  <si>
    <t>0001-005345</t>
  </si>
  <si>
    <t>Jinyu</t>
  </si>
  <si>
    <t>8120416</t>
  </si>
  <si>
    <t>dot-2912</t>
  </si>
  <si>
    <t>002156 dot-0215</t>
  </si>
  <si>
    <t>0250306</t>
  </si>
  <si>
    <t>0960908</t>
  </si>
  <si>
    <t>0570502</t>
  </si>
  <si>
    <t>0560305</t>
  </si>
  <si>
    <t>181617</t>
  </si>
  <si>
    <t>031-0015953</t>
  </si>
  <si>
    <t>0630610</t>
  </si>
  <si>
    <t>0410707</t>
  </si>
  <si>
    <t>0150207</t>
  </si>
  <si>
    <t>1081208</t>
  </si>
  <si>
    <t>0520610</t>
  </si>
  <si>
    <t>0700810</t>
  </si>
  <si>
    <t>181618</t>
  </si>
  <si>
    <t>0260410</t>
  </si>
  <si>
    <t>0640809</t>
  </si>
  <si>
    <t>0861009</t>
  </si>
  <si>
    <t>0050306</t>
  </si>
  <si>
    <t>187210</t>
  </si>
  <si>
    <t>0210215</t>
  </si>
  <si>
    <t>8220616</t>
  </si>
  <si>
    <t>003982</t>
  </si>
  <si>
    <t>GOODYEAR 0612</t>
  </si>
  <si>
    <t>0001-05720</t>
  </si>
  <si>
    <t>8140616</t>
  </si>
  <si>
    <t>8150616</t>
  </si>
  <si>
    <t>8160616</t>
  </si>
  <si>
    <t>8170616</t>
  </si>
  <si>
    <t>8180616</t>
  </si>
  <si>
    <t>8190616</t>
  </si>
  <si>
    <t>8200616</t>
  </si>
  <si>
    <t>8210616</t>
  </si>
  <si>
    <t>Roadshine</t>
  </si>
  <si>
    <t>Dunlop</t>
  </si>
  <si>
    <t>Otani</t>
  </si>
  <si>
    <t>Reempl a Aeolus 0360912</t>
  </si>
  <si>
    <t>Reempl a Goodyear 0001500113</t>
  </si>
  <si>
    <t>Reempl a Aeolus 0170113</t>
  </si>
  <si>
    <t>Reempl a Aeolus 0180113</t>
  </si>
  <si>
    <t>Reempl a Aeolus 0190113</t>
  </si>
  <si>
    <t>Reempl a Aeolus 0160113</t>
  </si>
  <si>
    <t>Reempl a Goodyear 00260614</t>
  </si>
  <si>
    <t>Reempl a Aeolus 0370814</t>
  </si>
  <si>
    <t>0650808</t>
  </si>
  <si>
    <t>1311207</t>
  </si>
  <si>
    <t>0510807</t>
  </si>
  <si>
    <t>0531001</t>
  </si>
  <si>
    <t>g030-0033772</t>
  </si>
  <si>
    <t xml:space="preserve"> Llanta Rechazada, no se facturo</t>
  </si>
  <si>
    <t>188002</t>
  </si>
  <si>
    <t>030-0033054</t>
  </si>
  <si>
    <t>0260306</t>
  </si>
  <si>
    <t>0600610</t>
  </si>
  <si>
    <t>188001</t>
  </si>
  <si>
    <t>0751009</t>
  </si>
  <si>
    <t>0200111</t>
  </si>
  <si>
    <t>0320410</t>
  </si>
  <si>
    <t>189050</t>
  </si>
  <si>
    <t>0350411</t>
  </si>
  <si>
    <t>1441207</t>
  </si>
  <si>
    <t>0580610</t>
  </si>
  <si>
    <t>0961010</t>
  </si>
  <si>
    <t>0240102</t>
  </si>
  <si>
    <t>183049</t>
  </si>
  <si>
    <t>030-0029427</t>
  </si>
  <si>
    <t>0570305</t>
  </si>
  <si>
    <t>0430510</t>
  </si>
  <si>
    <t>01002201</t>
  </si>
  <si>
    <t>184532</t>
  </si>
  <si>
    <t>0490708</t>
  </si>
  <si>
    <t>00120107</t>
  </si>
  <si>
    <t>0831200</t>
  </si>
  <si>
    <t>001-000749</t>
  </si>
  <si>
    <t>001-003717</t>
  </si>
  <si>
    <t>0240209</t>
  </si>
  <si>
    <t>068112002</t>
  </si>
  <si>
    <t>0481112</t>
  </si>
  <si>
    <t>Rep x corte en banda (R-160)</t>
  </si>
  <si>
    <t>001-000735</t>
  </si>
  <si>
    <t>001-003659</t>
  </si>
  <si>
    <t>001-003657</t>
  </si>
  <si>
    <t>Codicionada, por falla . Corte profundo</t>
  </si>
  <si>
    <t>1461207</t>
  </si>
  <si>
    <t>182402</t>
  </si>
  <si>
    <t>030-0026693</t>
  </si>
  <si>
    <t>0490807</t>
  </si>
  <si>
    <t>182403</t>
  </si>
  <si>
    <t>1491105</t>
  </si>
  <si>
    <t>0500709</t>
  </si>
  <si>
    <t>182404</t>
  </si>
  <si>
    <t>0330508</t>
  </si>
  <si>
    <t>030-0026692</t>
  </si>
  <si>
    <t>0730910</t>
  </si>
  <si>
    <t>0170108</t>
  </si>
  <si>
    <t>0290410</t>
  </si>
  <si>
    <t>0130111</t>
  </si>
  <si>
    <t>0160108</t>
  </si>
  <si>
    <t>0360508</t>
  </si>
  <si>
    <t>022072003</t>
  </si>
  <si>
    <t>030-0026818</t>
  </si>
  <si>
    <t>0240211</t>
  </si>
  <si>
    <t>0350506</t>
  </si>
  <si>
    <t>001-009090</t>
  </si>
  <si>
    <t>001-003581</t>
  </si>
  <si>
    <t>0330211</t>
  </si>
  <si>
    <t>058032004</t>
  </si>
  <si>
    <t>180259</t>
  </si>
  <si>
    <t>030-0025900</t>
  </si>
  <si>
    <t>030-0025899</t>
  </si>
  <si>
    <t>029082003</t>
  </si>
  <si>
    <t>0260302</t>
  </si>
  <si>
    <t>g033-0011399</t>
  </si>
  <si>
    <t>180258</t>
  </si>
  <si>
    <t>0040111</t>
  </si>
  <si>
    <t>0460510</t>
  </si>
  <si>
    <t>180257</t>
  </si>
  <si>
    <t>0140108</t>
  </si>
  <si>
    <t>0040108</t>
  </si>
  <si>
    <t>0580708</t>
  </si>
  <si>
    <t>0260608</t>
  </si>
  <si>
    <t>0690808</t>
  </si>
  <si>
    <t>0650610</t>
  </si>
  <si>
    <t>000050</t>
  </si>
  <si>
    <t>001-003419</t>
  </si>
  <si>
    <t>0700809</t>
  </si>
  <si>
    <t xml:space="preserve"> ---   .   ---</t>
  </si>
  <si>
    <t>000031</t>
  </si>
  <si>
    <t>001-003418</t>
  </si>
  <si>
    <t>0711201</t>
  </si>
  <si>
    <t>055032004</t>
  </si>
  <si>
    <t>0560610</t>
  </si>
  <si>
    <t>177641</t>
  </si>
  <si>
    <t>030-0024580</t>
  </si>
  <si>
    <t>1461105</t>
  </si>
  <si>
    <t>177639</t>
  </si>
  <si>
    <t>177638</t>
  </si>
  <si>
    <t>0690809</t>
  </si>
  <si>
    <t>030-0024578</t>
  </si>
  <si>
    <t>177640</t>
  </si>
  <si>
    <t>0050107</t>
  </si>
  <si>
    <t>0760910</t>
  </si>
  <si>
    <t>09070908</t>
  </si>
  <si>
    <t>0550709</t>
  </si>
  <si>
    <t>0030111</t>
  </si>
  <si>
    <t>030-0024579</t>
  </si>
  <si>
    <t>0800908</t>
  </si>
  <si>
    <t>0700808</t>
  </si>
  <si>
    <t>000155</t>
  </si>
  <si>
    <t>F101-00005687</t>
  </si>
  <si>
    <t>001-000318</t>
  </si>
  <si>
    <t>0330507</t>
  </si>
  <si>
    <t>0880908</t>
  </si>
  <si>
    <t>000149</t>
  </si>
  <si>
    <t>001-003260</t>
  </si>
  <si>
    <t>1021208</t>
  </si>
  <si>
    <t>000147</t>
  </si>
  <si>
    <t>0820505</t>
  </si>
  <si>
    <t>0690907</t>
  </si>
  <si>
    <t>02022010</t>
  </si>
  <si>
    <t>000148</t>
  </si>
  <si>
    <t>001-003261</t>
  </si>
  <si>
    <t>Año 2012</t>
  </si>
  <si>
    <t>174828</t>
  </si>
  <si>
    <t>030-0022517</t>
  </si>
  <si>
    <t>1101208</t>
  </si>
  <si>
    <t>0720808</t>
  </si>
  <si>
    <t>174829</t>
  </si>
  <si>
    <t>030-0022518</t>
  </si>
  <si>
    <t>0280507</t>
  </si>
  <si>
    <t>0540709</t>
  </si>
  <si>
    <t>001136</t>
  </si>
  <si>
    <t>001-002953</t>
  </si>
  <si>
    <t>001117</t>
  </si>
  <si>
    <t>001-002907</t>
  </si>
  <si>
    <t>1001205</t>
  </si>
  <si>
    <t>001118</t>
  </si>
  <si>
    <t>1500904</t>
  </si>
  <si>
    <t>0730908</t>
  </si>
  <si>
    <t>29912</t>
  </si>
  <si>
    <t>1100704</t>
  </si>
  <si>
    <t>002152</t>
  </si>
  <si>
    <t>0611201</t>
  </si>
  <si>
    <t>001119</t>
  </si>
  <si>
    <t>0430402</t>
  </si>
  <si>
    <t>0730908C</t>
  </si>
  <si>
    <t>001-002917</t>
  </si>
  <si>
    <t>001105</t>
  </si>
  <si>
    <t>1190805</t>
  </si>
  <si>
    <t>001106</t>
  </si>
  <si>
    <t>019072003</t>
  </si>
  <si>
    <t>1260805</t>
  </si>
  <si>
    <t>173169</t>
  </si>
  <si>
    <t>030-0021190</t>
  </si>
  <si>
    <t>0070312</t>
  </si>
  <si>
    <t>0881007</t>
  </si>
  <si>
    <t>173170</t>
  </si>
  <si>
    <t>0530709</t>
  </si>
  <si>
    <t>030-0021191</t>
  </si>
  <si>
    <t>0640404</t>
  </si>
  <si>
    <t>1931204</t>
  </si>
  <si>
    <t>1400805</t>
  </si>
  <si>
    <t>1391202</t>
  </si>
  <si>
    <t>173171</t>
  </si>
  <si>
    <t>0750908</t>
  </si>
  <si>
    <t>171607</t>
  </si>
  <si>
    <t>030-0020257</t>
  </si>
  <si>
    <t>0770908</t>
  </si>
  <si>
    <t>171608</t>
  </si>
  <si>
    <t>0530708</t>
  </si>
  <si>
    <t>171609</t>
  </si>
  <si>
    <t>030-0020258</t>
  </si>
  <si>
    <t>1041206</t>
  </si>
  <si>
    <t>0220209</t>
  </si>
  <si>
    <t>030-0020259</t>
  </si>
  <si>
    <t>0450509</t>
  </si>
  <si>
    <t>0670907</t>
  </si>
  <si>
    <t>001246</t>
  </si>
  <si>
    <t>001-002571</t>
  </si>
  <si>
    <t>0881206</t>
  </si>
  <si>
    <t>001247</t>
  </si>
  <si>
    <t>1141210</t>
  </si>
  <si>
    <t>1581004</t>
  </si>
  <si>
    <t>169935</t>
  </si>
  <si>
    <t>030-0019597</t>
  </si>
  <si>
    <t>162112004</t>
  </si>
  <si>
    <t>4311</t>
  </si>
  <si>
    <t>GoodYear</t>
  </si>
  <si>
    <t>G661 HSA</t>
  </si>
  <si>
    <t>G296 MSA</t>
  </si>
  <si>
    <t>Tracto Camiones USA</t>
  </si>
  <si>
    <t>171</t>
  </si>
  <si>
    <r>
      <t xml:space="preserve">Entrg - TRACTO C - </t>
    </r>
    <r>
      <rPr>
        <sz val="9"/>
        <color indexed="10"/>
        <rFont val="Arial"/>
        <family val="2"/>
      </rPr>
      <t>12R 22.5 DOT 2715</t>
    </r>
  </si>
  <si>
    <r>
      <t xml:space="preserve">Entrg -TRACTO C - </t>
    </r>
    <r>
      <rPr>
        <sz val="9"/>
        <color indexed="10"/>
        <rFont val="Arial"/>
        <family val="2"/>
      </rPr>
      <t>425/65R22.5 DOT 3615</t>
    </r>
  </si>
  <si>
    <t>0001-06559</t>
  </si>
  <si>
    <t>Rechazada, G0001-002025</t>
  </si>
  <si>
    <t>G0001-002025</t>
  </si>
  <si>
    <t>FA-FF04-726</t>
  </si>
  <si>
    <t>236</t>
  </si>
  <si>
    <t>0250215</t>
  </si>
  <si>
    <t>002458</t>
  </si>
  <si>
    <t>030-0019598</t>
  </si>
  <si>
    <t>0390707</t>
  </si>
  <si>
    <t>0470706</t>
  </si>
  <si>
    <t>169937</t>
  </si>
  <si>
    <t>0931007</t>
  </si>
  <si>
    <t>009032003</t>
  </si>
  <si>
    <t>Rch</t>
  </si>
  <si>
    <t>G-033-0009378</t>
  </si>
  <si>
    <t>001238</t>
  </si>
  <si>
    <t>001-002519</t>
  </si>
  <si>
    <t>1301207</t>
  </si>
  <si>
    <t>001236</t>
  </si>
  <si>
    <t>0650305</t>
  </si>
  <si>
    <t>001237</t>
  </si>
  <si>
    <t>0380707</t>
  </si>
  <si>
    <t>167350</t>
  </si>
  <si>
    <t>030-0018804</t>
  </si>
  <si>
    <t>030-0018805</t>
  </si>
  <si>
    <t>170310</t>
  </si>
  <si>
    <t>168426</t>
  </si>
  <si>
    <t>1151210</t>
  </si>
  <si>
    <t>1031210</t>
  </si>
  <si>
    <t>0110306</t>
  </si>
  <si>
    <t>168427</t>
  </si>
  <si>
    <t>1111107</t>
  </si>
  <si>
    <t>G033-0009042</t>
  </si>
  <si>
    <t>0010102</t>
  </si>
  <si>
    <t>001214</t>
  </si>
  <si>
    <t>001-002430</t>
  </si>
  <si>
    <t>0470305</t>
  </si>
  <si>
    <t>0270508</t>
  </si>
  <si>
    <t>001215</t>
  </si>
  <si>
    <t>0460506</t>
  </si>
  <si>
    <t>1220804</t>
  </si>
  <si>
    <t>052092003</t>
  </si>
  <si>
    <t>0911206</t>
  </si>
  <si>
    <t>0100205</t>
  </si>
  <si>
    <t>167578</t>
  </si>
  <si>
    <t>030-0018028</t>
  </si>
  <si>
    <t>167579</t>
  </si>
  <si>
    <t>167577</t>
  </si>
  <si>
    <t>0020108</t>
  </si>
  <si>
    <t>1210805</t>
  </si>
  <si>
    <t>0290209</t>
  </si>
  <si>
    <t>1541105</t>
  </si>
  <si>
    <t>030-0018027</t>
  </si>
  <si>
    <t>G033-0008783</t>
  </si>
  <si>
    <t>Eval x Reclamo</t>
  </si>
  <si>
    <t>165509</t>
  </si>
  <si>
    <t>G-031-0007732</t>
  </si>
  <si>
    <t>AGC28</t>
  </si>
  <si>
    <t>Super Single</t>
  </si>
  <si>
    <t>0001-006277</t>
  </si>
  <si>
    <t>G_0001-001257</t>
  </si>
  <si>
    <t>Rechazada, G0001-001357</t>
  </si>
  <si>
    <t>01729</t>
  </si>
  <si>
    <t>Rpst</t>
  </si>
  <si>
    <t>Rodada Baja,  No Procede despred de banda</t>
  </si>
  <si>
    <t>343</t>
  </si>
  <si>
    <t xml:space="preserve"> Enllante x C&amp;C (Ex_124)</t>
  </si>
  <si>
    <t>0040107</t>
  </si>
  <si>
    <t>165506</t>
  </si>
  <si>
    <t>031-0008539</t>
  </si>
  <si>
    <t>1161210</t>
  </si>
  <si>
    <t>010210</t>
  </si>
  <si>
    <t>165507</t>
  </si>
  <si>
    <t>038082003</t>
  </si>
  <si>
    <t>165508</t>
  </si>
  <si>
    <t>031-0008540</t>
  </si>
  <si>
    <t>0740809</t>
  </si>
  <si>
    <t>1641205</t>
  </si>
  <si>
    <t>0620907</t>
  </si>
  <si>
    <t>163918</t>
  </si>
  <si>
    <t>031-0008541</t>
  </si>
  <si>
    <t>0440901</t>
  </si>
  <si>
    <t>031-0008542</t>
  </si>
  <si>
    <t>0320507</t>
  </si>
  <si>
    <t>1501207</t>
  </si>
  <si>
    <t>163919</t>
  </si>
  <si>
    <t>030-0016043</t>
  </si>
  <si>
    <t>030-0016041</t>
  </si>
  <si>
    <t>0190209</t>
  </si>
  <si>
    <t>030-0016042</t>
  </si>
  <si>
    <t>G0001-001201</t>
  </si>
  <si>
    <t>F0001-005697</t>
  </si>
  <si>
    <t>AEOLUS 3510</t>
  </si>
  <si>
    <t>AEOLUS 3511</t>
  </si>
  <si>
    <t>AEOLUS 3710</t>
  </si>
  <si>
    <t>ROADSHINE 4814</t>
  </si>
  <si>
    <t>FALKEN 4513</t>
  </si>
  <si>
    <t>DUNLOP 2312</t>
  </si>
  <si>
    <t>OTANI 2812</t>
  </si>
  <si>
    <t>KUMHO 5011</t>
  </si>
  <si>
    <t>1551105</t>
  </si>
  <si>
    <t>0761009</t>
  </si>
  <si>
    <t>0230310</t>
  </si>
  <si>
    <t>0240305</t>
  </si>
  <si>
    <t>6082003</t>
  </si>
  <si>
    <t>049032004</t>
  </si>
  <si>
    <t>000123</t>
  </si>
  <si>
    <t>001-002139</t>
  </si>
  <si>
    <t>000124</t>
  </si>
  <si>
    <t>1071107</t>
  </si>
  <si>
    <t>01022010</t>
  </si>
  <si>
    <t>000405</t>
  </si>
  <si>
    <t>0491001</t>
  </si>
  <si>
    <t>1381207</t>
  </si>
  <si>
    <t>000122</t>
  </si>
  <si>
    <t>1370805</t>
  </si>
  <si>
    <t>0741007</t>
  </si>
  <si>
    <t>0911010</t>
  </si>
  <si>
    <t>0991210</t>
  </si>
  <si>
    <t>0360507</t>
  </si>
  <si>
    <t>162795</t>
  </si>
  <si>
    <t>031-0007681</t>
  </si>
  <si>
    <t>162084</t>
  </si>
  <si>
    <t>033-0007995</t>
  </si>
  <si>
    <t>0380302</t>
  </si>
  <si>
    <t>162085</t>
  </si>
  <si>
    <t>031-0007682</t>
  </si>
  <si>
    <t>031-0007683</t>
  </si>
  <si>
    <t>0110205</t>
  </si>
  <si>
    <t>162086</t>
  </si>
  <si>
    <t>Año 2011</t>
  </si>
  <si>
    <t>159829</t>
  </si>
  <si>
    <t>033-0005907</t>
  </si>
  <si>
    <t>159830</t>
  </si>
  <si>
    <t>0250410</t>
  </si>
  <si>
    <t>0981206</t>
  </si>
  <si>
    <t>0001-004906</t>
  </si>
  <si>
    <t>155432</t>
  </si>
  <si>
    <t>033-0005120</t>
  </si>
  <si>
    <t>0680810</t>
  </si>
  <si>
    <t>154882</t>
  </si>
  <si>
    <t>033-0004696</t>
  </si>
  <si>
    <t>0030107</t>
  </si>
  <si>
    <t>1291207</t>
  </si>
  <si>
    <t>154883</t>
  </si>
  <si>
    <t>0360506</t>
  </si>
  <si>
    <t>0910505</t>
  </si>
  <si>
    <t>0370901</t>
  </si>
  <si>
    <t>153876</t>
  </si>
  <si>
    <t>031-0002689</t>
  </si>
  <si>
    <t>0130108</t>
  </si>
  <si>
    <t>0320306</t>
  </si>
  <si>
    <t>153877</t>
  </si>
  <si>
    <t>0791009</t>
  </si>
  <si>
    <t>0731201</t>
  </si>
  <si>
    <t>0090102</t>
  </si>
  <si>
    <t>0510708</t>
  </si>
  <si>
    <t>0690810</t>
  </si>
  <si>
    <t>1420805</t>
  </si>
  <si>
    <t>AMC Llantas</t>
  </si>
  <si>
    <t>000694</t>
  </si>
  <si>
    <t>002-001502</t>
  </si>
  <si>
    <t>0590709</t>
  </si>
  <si>
    <t>0830908</t>
  </si>
  <si>
    <t>0120108</t>
  </si>
  <si>
    <t>000693</t>
  </si>
  <si>
    <t>002-001501</t>
  </si>
  <si>
    <t>0740208</t>
  </si>
  <si>
    <t>1641004</t>
  </si>
  <si>
    <t>0230207</t>
  </si>
  <si>
    <t>0380506</t>
  </si>
  <si>
    <t xml:space="preserve"> Curado por deprendimiento de banda</t>
  </si>
  <si>
    <t>000007</t>
  </si>
  <si>
    <t>001-1371</t>
  </si>
  <si>
    <t>000008</t>
  </si>
  <si>
    <t>001-001372</t>
  </si>
  <si>
    <t>000009</t>
  </si>
  <si>
    <t>2304</t>
  </si>
  <si>
    <t>179020</t>
  </si>
  <si>
    <t>1480904</t>
  </si>
  <si>
    <t>000675</t>
  </si>
  <si>
    <t>002-001490</t>
  </si>
  <si>
    <t>1021107</t>
  </si>
  <si>
    <t>0620806</t>
  </si>
  <si>
    <t>0971107</t>
  </si>
  <si>
    <t>000672</t>
  </si>
  <si>
    <t>0190306</t>
  </si>
  <si>
    <t>1051210</t>
  </si>
  <si>
    <t>Lima Caucho - Servicio 10</t>
  </si>
  <si>
    <t>M-01965</t>
  </si>
  <si>
    <t>G-460-00271</t>
  </si>
  <si>
    <t>04022010</t>
  </si>
  <si>
    <t xml:space="preserve"> [Llnt 15mm]Corte en banda 05cm x  impto de objeto atravz carcsa</t>
  </si>
  <si>
    <t>1521103</t>
  </si>
  <si>
    <t>000508</t>
  </si>
  <si>
    <t>001-001253</t>
  </si>
  <si>
    <t>0450506</t>
  </si>
  <si>
    <t>1450107</t>
  </si>
  <si>
    <t>000507</t>
  </si>
  <si>
    <t>1271007</t>
  </si>
  <si>
    <t>0940908</t>
  </si>
  <si>
    <t>000506</t>
  </si>
  <si>
    <t>Dañado x golpe en casco, banda 11mm, desechada</t>
  </si>
  <si>
    <t>0150209</t>
  </si>
  <si>
    <t>Dañado sopladura en casco, banda 12mm, desechada</t>
  </si>
  <si>
    <t>0850520</t>
  </si>
  <si>
    <t>000581</t>
  </si>
  <si>
    <t>HN267</t>
  </si>
  <si>
    <t>001-001228</t>
  </si>
  <si>
    <t>0811201</t>
  </si>
  <si>
    <t>0680808</t>
  </si>
  <si>
    <t>0650804</t>
  </si>
  <si>
    <t>010109</t>
  </si>
  <si>
    <t>000580</t>
  </si>
  <si>
    <t xml:space="preserve"> Con banda transplantada  en 14mm  [ Goodyear 1150704]</t>
  </si>
  <si>
    <t>000665</t>
  </si>
  <si>
    <t>002-001483</t>
  </si>
  <si>
    <t>0430506</t>
  </si>
  <si>
    <t>0120306</t>
  </si>
  <si>
    <t>1190804</t>
  </si>
  <si>
    <t>002-001482</t>
  </si>
  <si>
    <t>1551004</t>
  </si>
  <si>
    <t>1250804</t>
  </si>
  <si>
    <t>001-001216</t>
  </si>
  <si>
    <t xml:space="preserve"> Con banda transplantada  en 15mm  [ Lima Caucho 0660907] </t>
  </si>
  <si>
    <t xml:space="preserve"> Con banda transplantada  en 14mm  [ Birla 0690405] </t>
  </si>
  <si>
    <t>0320302</t>
  </si>
  <si>
    <t>0690405</t>
  </si>
  <si>
    <t>000570</t>
  </si>
  <si>
    <t>Casco soplado, banda 14mm, desechada</t>
  </si>
  <si>
    <t>0660907</t>
  </si>
  <si>
    <t>Dañado x golpe en casco, banda 15mm, desechada</t>
  </si>
  <si>
    <t>1150704</t>
  </si>
  <si>
    <t>Casco soplado falla en casco, banda 14mm, desechada</t>
  </si>
  <si>
    <t>000642</t>
  </si>
  <si>
    <t>002-001470</t>
  </si>
  <si>
    <t>090908</t>
  </si>
  <si>
    <t>0230506</t>
  </si>
  <si>
    <t>1951204</t>
  </si>
  <si>
    <t>0080306</t>
  </si>
  <si>
    <t>G001-001248</t>
  </si>
  <si>
    <t>Curacion en parte lateral, cortesia de AMC</t>
  </si>
  <si>
    <t>000616</t>
  </si>
  <si>
    <t>001-001166</t>
  </si>
  <si>
    <t xml:space="preserve"> Con banda transplantada  en 20mm  [ Lima Cacho - 1231210] </t>
  </si>
  <si>
    <t>0460608</t>
  </si>
  <si>
    <t xml:space="preserve"> Con banda transplantada  en 20mm  [ Lima Cacho - 1241210] </t>
  </si>
  <si>
    <t>10204587</t>
  </si>
  <si>
    <t xml:space="preserve"> Con banda transplantada  en 14mm  [ Lu He - 0270209] </t>
  </si>
  <si>
    <t>1231210</t>
  </si>
  <si>
    <t>Casco Volado x golpe en casco, banda 20mm, desechada</t>
  </si>
  <si>
    <t>1241210</t>
  </si>
  <si>
    <t>Lu  He</t>
  </si>
  <si>
    <t>0270209</t>
  </si>
  <si>
    <t>1351207</t>
  </si>
  <si>
    <t>000601</t>
  </si>
  <si>
    <t xml:space="preserve"> Con banda transplantada  en 14mm  [ Lima Caucho - 0580808] </t>
  </si>
  <si>
    <t xml:space="preserve"> Con banda transplantada  en 12mm  [ Vikrant - 0560709] </t>
  </si>
  <si>
    <t>0560709</t>
  </si>
  <si>
    <t>Casco soplado falla en casco, banda 10mm, desechada</t>
  </si>
  <si>
    <t>1531105</t>
  </si>
  <si>
    <t>0580808</t>
  </si>
  <si>
    <t>1221210</t>
  </si>
  <si>
    <t>M-01942</t>
  </si>
  <si>
    <t>460-0001234</t>
  </si>
  <si>
    <t>Corte Lateral 10cm x objt punzocortante atravieza carcasa</t>
  </si>
  <si>
    <t>000208</t>
  </si>
  <si>
    <t>001-001094</t>
  </si>
  <si>
    <t>0900520</t>
  </si>
  <si>
    <t>000198</t>
  </si>
  <si>
    <t>001-001052</t>
  </si>
  <si>
    <t>0731007</t>
  </si>
  <si>
    <t>2001204</t>
  </si>
  <si>
    <t>Con protuberancia lateral, se pone protector a la medida (RECLAMO)</t>
  </si>
  <si>
    <t>146190</t>
  </si>
  <si>
    <t>030-0010478</t>
  </si>
  <si>
    <t>0991206</t>
  </si>
  <si>
    <t>0190108</t>
  </si>
  <si>
    <t>1321207</t>
  </si>
  <si>
    <t>0350508</t>
  </si>
  <si>
    <t>1700920</t>
  </si>
  <si>
    <t>146189</t>
  </si>
  <si>
    <t>056032004</t>
  </si>
  <si>
    <t>146192</t>
  </si>
  <si>
    <t>1081107</t>
  </si>
  <si>
    <t>0600708</t>
  </si>
  <si>
    <t>0430608</t>
  </si>
  <si>
    <t>1481207</t>
  </si>
  <si>
    <t>0370209</t>
  </si>
  <si>
    <t>037082003</t>
  </si>
  <si>
    <t>0320803</t>
  </si>
  <si>
    <t>000596</t>
  </si>
  <si>
    <t>002-001458</t>
  </si>
  <si>
    <t>229003</t>
  </si>
  <si>
    <t>229004</t>
  </si>
  <si>
    <t>0330814</t>
  </si>
  <si>
    <t>0360814</t>
  </si>
  <si>
    <t>0350814</t>
  </si>
  <si>
    <t>0340814</t>
  </si>
  <si>
    <t>004246</t>
  </si>
  <si>
    <t>0001-006454</t>
  </si>
  <si>
    <t>Rechazada, G0001-001537</t>
  </si>
  <si>
    <t>G0001-001537</t>
  </si>
  <si>
    <t>004255</t>
  </si>
  <si>
    <t>224438</t>
  </si>
  <si>
    <t>224439</t>
  </si>
  <si>
    <t>018072003</t>
  </si>
  <si>
    <t>237</t>
  </si>
  <si>
    <r>
      <t>Entrg - SACH IMPLEMENTOS S.A.C</t>
    </r>
    <r>
      <rPr>
        <sz val="9"/>
        <rFont val="Arial"/>
        <family val="2"/>
      </rPr>
      <t xml:space="preserve"> - </t>
    </r>
    <r>
      <rPr>
        <sz val="8"/>
        <color indexed="10"/>
        <rFont val="Arial"/>
        <family val="2"/>
      </rPr>
      <t>425/65R22.5-20 TL</t>
    </r>
  </si>
  <si>
    <t>0001-006702</t>
  </si>
  <si>
    <t>TDY3 Bamdasol rem: 22mm</t>
  </si>
  <si>
    <t>0500807</t>
  </si>
  <si>
    <t>000593</t>
  </si>
  <si>
    <t>0991107</t>
  </si>
  <si>
    <t>0410608</t>
  </si>
  <si>
    <t>0771009</t>
  </si>
  <si>
    <t>1161107</t>
  </si>
  <si>
    <t>0001-006020</t>
  </si>
  <si>
    <t>000440</t>
  </si>
  <si>
    <t>001-000982</t>
  </si>
  <si>
    <t>0841206</t>
  </si>
  <si>
    <t>Casco soplado/volado, banda 12mm, desechada</t>
  </si>
  <si>
    <t>0820908</t>
  </si>
  <si>
    <t xml:space="preserve"> Con banda transplantada  en 12mm  [ Vikrant - 0841206]</t>
  </si>
  <si>
    <t>145108</t>
  </si>
  <si>
    <t>030-0009899</t>
  </si>
  <si>
    <t>1961204</t>
  </si>
  <si>
    <t>0190207</t>
  </si>
  <si>
    <t>0480707</t>
  </si>
  <si>
    <t>0851009</t>
  </si>
  <si>
    <t>145109</t>
  </si>
  <si>
    <t>0060306</t>
  </si>
  <si>
    <t>0550706</t>
  </si>
  <si>
    <t>00568</t>
  </si>
  <si>
    <t>002-001448</t>
  </si>
  <si>
    <t>1260804</t>
  </si>
  <si>
    <t>0710809</t>
  </si>
  <si>
    <t>0720809</t>
  </si>
  <si>
    <t>0390305</t>
  </si>
  <si>
    <t>0100306</t>
  </si>
  <si>
    <t>0480608</t>
  </si>
  <si>
    <t>Año 2010</t>
  </si>
  <si>
    <t>0350901</t>
  </si>
  <si>
    <t>000012</t>
  </si>
  <si>
    <t>0260209</t>
  </si>
  <si>
    <t>Casco volado/soplado, banda 11mm, desechada</t>
  </si>
  <si>
    <t>1371207</t>
  </si>
  <si>
    <t xml:space="preserve"> Con banda transplantada  en 11mm  [ LU HE - 0260209 ]</t>
  </si>
  <si>
    <t>1981204</t>
  </si>
  <si>
    <t>000240</t>
  </si>
  <si>
    <t>049092003</t>
  </si>
  <si>
    <t>1420904</t>
  </si>
  <si>
    <t>Bf Goodrich</t>
  </si>
  <si>
    <t xml:space="preserve"> Con banda transplantada  en 15mm  [ Riverstone - 1420904 ]</t>
  </si>
  <si>
    <t>0690404</t>
  </si>
  <si>
    <t>000555</t>
  </si>
  <si>
    <t>054032004</t>
  </si>
  <si>
    <t>1171107</t>
  </si>
  <si>
    <t>000228</t>
  </si>
  <si>
    <t>0951206</t>
  </si>
  <si>
    <t>002101</t>
  </si>
  <si>
    <t>Por abertura diagonal en banda de rodamiento (Transpl Bnd)</t>
  </si>
  <si>
    <t>0971206</t>
  </si>
  <si>
    <t>142645</t>
  </si>
  <si>
    <t>0600807</t>
  </si>
  <si>
    <t>1481105</t>
  </si>
  <si>
    <t>142646</t>
  </si>
  <si>
    <t>1831004</t>
  </si>
  <si>
    <t>1011208</t>
  </si>
  <si>
    <t>1310904</t>
  </si>
  <si>
    <t>0520807</t>
  </si>
  <si>
    <t>0520708</t>
  </si>
  <si>
    <t>0160306</t>
  </si>
  <si>
    <t>142647</t>
  </si>
  <si>
    <t>0200509</t>
  </si>
  <si>
    <t>000220</t>
  </si>
  <si>
    <t>0950705</t>
  </si>
  <si>
    <t xml:space="preserve"> Con banda transplantada  en 11mm  [ LU HE - 0380209 ]</t>
  </si>
  <si>
    <t>0380209</t>
  </si>
  <si>
    <t>Casco soplado, banda 11mm, desechada (factura 001-001052 02/03/11)</t>
  </si>
  <si>
    <t>227490</t>
  </si>
  <si>
    <t>0900404</t>
  </si>
  <si>
    <t>109128</t>
  </si>
  <si>
    <t>004204</t>
  </si>
  <si>
    <t>0001-006254</t>
  </si>
  <si>
    <t>000912</t>
  </si>
  <si>
    <t>corte profundo de 3cm aprox entre banda y lateral</t>
  </si>
  <si>
    <t>1091107</t>
  </si>
  <si>
    <t>000908</t>
  </si>
  <si>
    <t>000904</t>
  </si>
  <si>
    <t>0730404</t>
  </si>
  <si>
    <t>000525</t>
  </si>
  <si>
    <t>0230306</t>
  </si>
  <si>
    <t>OC-01801</t>
  </si>
  <si>
    <t>11R22.5-16 TL HN266 AEOLUS (27/10/16)</t>
  </si>
  <si>
    <t>11R22.5-16 TL HN353 WINDPOWER AL 29/02/2016 15 15hrs. Jose Chauca</t>
  </si>
  <si>
    <t>ARO 13X22.5 ACTIVE ARTILLERO CHINA</t>
  </si>
  <si>
    <t>01801</t>
  </si>
  <si>
    <t>01797</t>
  </si>
  <si>
    <t>229026</t>
  </si>
  <si>
    <t>229025</t>
  </si>
  <si>
    <t>0110113</t>
  </si>
  <si>
    <t>0120114</t>
  </si>
  <si>
    <t>032912</t>
  </si>
  <si>
    <t>0140113</t>
  </si>
  <si>
    <t>1331207</t>
  </si>
  <si>
    <t>0830520</t>
  </si>
  <si>
    <t>000204</t>
  </si>
  <si>
    <t>1471207</t>
  </si>
  <si>
    <t>0417</t>
  </si>
  <si>
    <t xml:space="preserve"> Con pedazo de 20cm de banda transplantada  en 07mm aprox</t>
  </si>
  <si>
    <t>8291</t>
  </si>
  <si>
    <t xml:space="preserve"> Con banda transplantada  en 07mm  [ Nexen - 035032004 ]</t>
  </si>
  <si>
    <t>035032004</t>
  </si>
  <si>
    <t>Casco dañado x rajaduras, banda 07Mm, desechada</t>
  </si>
  <si>
    <t>otra llanta entregada (Vikrant)</t>
  </si>
  <si>
    <t>0416</t>
  </si>
  <si>
    <t>0414</t>
  </si>
  <si>
    <t>0413</t>
  </si>
  <si>
    <t>069112002</t>
  </si>
  <si>
    <t>140905</t>
  </si>
  <si>
    <t xml:space="preserve"> Se reenc como TRANSCOSTA en Ene-2009, Nota Debito a TC ($22.94)</t>
  </si>
  <si>
    <t>1870920</t>
  </si>
  <si>
    <t>000487</t>
  </si>
  <si>
    <t>0420509</t>
  </si>
  <si>
    <t>0510709</t>
  </si>
  <si>
    <t>140269</t>
  </si>
  <si>
    <t>140268</t>
  </si>
  <si>
    <t>1270804</t>
  </si>
  <si>
    <t>000478</t>
  </si>
  <si>
    <t>1040705</t>
  </si>
  <si>
    <t xml:space="preserve"> Con banda transplantada  en 15mm  [ 008022010 - 170 ]</t>
  </si>
  <si>
    <t>llanta soplada, al 14/02/2011 banda en 17mm</t>
  </si>
  <si>
    <t>1220805</t>
  </si>
  <si>
    <t>1201107</t>
  </si>
  <si>
    <t>008022010</t>
  </si>
  <si>
    <t>Casco dañado-voladura(170), banda 15Mm, desechada</t>
  </si>
  <si>
    <t>010032003</t>
  </si>
  <si>
    <t>000365</t>
  </si>
  <si>
    <t>REPARACION</t>
  </si>
  <si>
    <t>138476</t>
  </si>
  <si>
    <t>0841009</t>
  </si>
  <si>
    <t>1710920</t>
  </si>
  <si>
    <t>138477</t>
  </si>
  <si>
    <t>6723</t>
  </si>
  <si>
    <t>0050102</t>
  </si>
  <si>
    <t>0140207</t>
  </si>
  <si>
    <t>000461</t>
  </si>
  <si>
    <t>1401207</t>
  </si>
  <si>
    <t>0910908</t>
  </si>
  <si>
    <t>0340305</t>
  </si>
  <si>
    <t>Fab_Protector</t>
  </si>
  <si>
    <t>000063</t>
  </si>
  <si>
    <t>Casco dañado-soplado, banda 02Mm, desechada antiguo</t>
  </si>
  <si>
    <t>0640808</t>
  </si>
  <si>
    <t>Casco dañado-voladura(164), banda 12Mm, desechada</t>
  </si>
  <si>
    <t>0160209</t>
  </si>
  <si>
    <t>Casco dañado-soplado, banda 13Mm, desechada</t>
  </si>
  <si>
    <t>otra llanta entregada (china)</t>
  </si>
  <si>
    <t>0180102</t>
  </si>
  <si>
    <t xml:space="preserve"> Llanta Rechazada, no se facturo, pasa a desecho</t>
  </si>
  <si>
    <t>000064</t>
  </si>
  <si>
    <t xml:space="preserve"> Con banda transplantada  en 13mm</t>
  </si>
  <si>
    <t>138162</t>
  </si>
  <si>
    <t>0980520</t>
  </si>
  <si>
    <t>0860505</t>
  </si>
  <si>
    <t>138163</t>
  </si>
  <si>
    <t>000450</t>
  </si>
  <si>
    <t>1030705</t>
  </si>
  <si>
    <t>0680906</t>
  </si>
  <si>
    <t>0891206</t>
  </si>
  <si>
    <t>136969</t>
  </si>
  <si>
    <t>0480509</t>
  </si>
  <si>
    <t>0300209</t>
  </si>
  <si>
    <t xml:space="preserve"> Rch x AMC</t>
  </si>
  <si>
    <t>136970</t>
  </si>
  <si>
    <t>0520709</t>
  </si>
  <si>
    <t>0650809</t>
  </si>
  <si>
    <t>000434</t>
  </si>
  <si>
    <t>0090109</t>
  </si>
  <si>
    <t>0001-004833</t>
  </si>
  <si>
    <t>00001-004833</t>
  </si>
  <si>
    <t>1420704</t>
  </si>
  <si>
    <t>000060</t>
  </si>
  <si>
    <t xml:space="preserve"> Rch x RENOVA</t>
  </si>
  <si>
    <t>VALIANT VUH</t>
  </si>
  <si>
    <t>01823</t>
  </si>
  <si>
    <t>0420305</t>
  </si>
  <si>
    <t>0000060</t>
  </si>
  <si>
    <t xml:space="preserve"> Cortada en banda y costado, llanta en 13mm [T-214 (01 vida)]</t>
  </si>
  <si>
    <t>136301</t>
  </si>
  <si>
    <t>0060107</t>
  </si>
  <si>
    <t>0550708</t>
  </si>
  <si>
    <t>0420608</t>
  </si>
  <si>
    <t>136302</t>
  </si>
  <si>
    <t>0680404</t>
  </si>
  <si>
    <t>135709</t>
  </si>
  <si>
    <t>0230209</t>
  </si>
  <si>
    <t>135710</t>
  </si>
  <si>
    <t>1820920</t>
  </si>
  <si>
    <t>000419</t>
  </si>
  <si>
    <t>0080304</t>
  </si>
  <si>
    <t xml:space="preserve"> Llanta Rechazada, no se facturo, enviada a RENOVA</t>
  </si>
  <si>
    <t>1080520</t>
  </si>
  <si>
    <t>008032003</t>
  </si>
  <si>
    <t>000040</t>
  </si>
  <si>
    <t>0130102</t>
  </si>
  <si>
    <t>034082003</t>
  </si>
  <si>
    <t>036082003</t>
  </si>
  <si>
    <t>134926</t>
  </si>
  <si>
    <t>0140102</t>
  </si>
  <si>
    <t>210010153</t>
  </si>
  <si>
    <t>0460509</t>
  </si>
  <si>
    <t>1071208</t>
  </si>
  <si>
    <t>134927</t>
  </si>
  <si>
    <t>134219</t>
  </si>
  <si>
    <t>0001-005101</t>
  </si>
  <si>
    <t>0001-005153</t>
  </si>
  <si>
    <t xml:space="preserve"> Cortada en costado, llanta en 13mm [R-170 (01 vida)]</t>
  </si>
  <si>
    <t>000030</t>
  </si>
  <si>
    <t xml:space="preserve"> Con banda transplantada </t>
  </si>
  <si>
    <t>1671205</t>
  </si>
  <si>
    <t>0751007</t>
  </si>
  <si>
    <t>Pld</t>
  </si>
  <si>
    <t xml:space="preserve"> Llanta casco dañado-soplado, banda 12Mm, desechada</t>
  </si>
  <si>
    <t>0700906</t>
  </si>
  <si>
    <t>133276</t>
  </si>
  <si>
    <t xml:space="preserve"> Llanta Rechazada, no se facturo, SE PONE TRANSPL_BANDA (R_Espinoza)</t>
  </si>
  <si>
    <t>003032003</t>
  </si>
  <si>
    <t>0260901</t>
  </si>
  <si>
    <t>0610201</t>
  </si>
  <si>
    <t>1491204</t>
  </si>
  <si>
    <t>133277</t>
  </si>
  <si>
    <t>0921206</t>
  </si>
  <si>
    <t>0450608</t>
  </si>
  <si>
    <t>000381</t>
  </si>
  <si>
    <t>053022004</t>
  </si>
  <si>
    <t>065112002</t>
  </si>
  <si>
    <t>000006</t>
  </si>
  <si>
    <t>Cortada en costado, llanta de desecho recuperado (01 vida)</t>
  </si>
  <si>
    <t>Huaquing</t>
  </si>
  <si>
    <t>0781206</t>
  </si>
  <si>
    <t>0470509</t>
  </si>
  <si>
    <t xml:space="preserve"> Llanta casco dañado, fabr de protec para 0781206 Hua Quing cortada</t>
  </si>
  <si>
    <t>000429</t>
  </si>
  <si>
    <t>0840508</t>
  </si>
  <si>
    <t>1310700</t>
  </si>
  <si>
    <t>132374</t>
  </si>
  <si>
    <t>0270302</t>
  </si>
  <si>
    <t>0390402</t>
  </si>
  <si>
    <t>0540305</t>
  </si>
  <si>
    <t>0640305</t>
  </si>
  <si>
    <t>0580807</t>
  </si>
  <si>
    <t>132375</t>
  </si>
  <si>
    <t>0710505</t>
  </si>
  <si>
    <t>132376</t>
  </si>
  <si>
    <t>Daños en casco y banda, se curo ok</t>
  </si>
  <si>
    <t>0030102</t>
  </si>
  <si>
    <t>000338</t>
  </si>
  <si>
    <t xml:space="preserve"> Con banda transplantada</t>
  </si>
  <si>
    <t>1790920</t>
  </si>
  <si>
    <t>0190104</t>
  </si>
  <si>
    <t>000339</t>
  </si>
  <si>
    <t xml:space="preserve"> Llanta casco dañado, banda 13Mm, desechada (J,Castañeda 343volada)</t>
  </si>
  <si>
    <t>027072003</t>
  </si>
  <si>
    <t xml:space="preserve"> Llanta casco dañado, banda 14Mm, desechada (L,Cabrera  227volada)</t>
  </si>
  <si>
    <t>000355</t>
  </si>
  <si>
    <t>021072003</t>
  </si>
  <si>
    <t>0520502</t>
  </si>
  <si>
    <t xml:space="preserve"> Llanta casco dañado, banda 11Mm, desechada (N,Bobbio  222volada)</t>
  </si>
  <si>
    <t>0960404</t>
  </si>
  <si>
    <t>130947</t>
  </si>
  <si>
    <t>0411114</t>
  </si>
  <si>
    <t>0001-006945</t>
  </si>
  <si>
    <t>Rechazada, G0001-002165</t>
  </si>
  <si>
    <t>G0001-002165</t>
  </si>
  <si>
    <t>Se envio para reencauche</t>
  </si>
  <si>
    <t>G030-0062372</t>
  </si>
  <si>
    <t>Rechazada, G030-0062372</t>
  </si>
  <si>
    <t>F101-00006856</t>
  </si>
  <si>
    <t>Control de Instalaciones Nuevas - 2017</t>
  </si>
  <si>
    <t>332</t>
  </si>
  <si>
    <t>01839</t>
  </si>
  <si>
    <t xml:space="preserve"> Enllante x Base Tk</t>
  </si>
  <si>
    <t>SP398  18pr</t>
  </si>
  <si>
    <t>01849</t>
  </si>
  <si>
    <t>LLANTA 11R22.5/16 PR VIKRANT VALIANT VUH</t>
  </si>
  <si>
    <t>LLANTA 11R22.5-16 TL ADC53 AEOLUS HENAN</t>
  </si>
  <si>
    <t>LLANTA 11R22.5-16 TL HN266 AEOLUS</t>
  </si>
  <si>
    <t>ARO 8.25X22.5 - ARTILLERO - ACERO - GULUN</t>
  </si>
  <si>
    <t xml:space="preserve"> Enllante x C&amp;C  G027-00137958 (04/01/17) </t>
  </si>
  <si>
    <t>01360114</t>
  </si>
  <si>
    <t>0811215</t>
  </si>
  <si>
    <t>0380814</t>
  </si>
  <si>
    <t>0200514</t>
  </si>
  <si>
    <t>0130113</t>
  </si>
  <si>
    <t>0310912</t>
  </si>
  <si>
    <t>0050114</t>
  </si>
  <si>
    <t>00230614</t>
  </si>
  <si>
    <t>231292</t>
  </si>
  <si>
    <t>231293</t>
  </si>
  <si>
    <t>1111210</t>
  </si>
  <si>
    <t>1071210</t>
  </si>
  <si>
    <t>0420510</t>
  </si>
  <si>
    <t>F101-00007171</t>
  </si>
  <si>
    <t>F101-00007271</t>
  </si>
  <si>
    <t>G030-0062775</t>
  </si>
  <si>
    <t>Rechazada, G030-0062775</t>
  </si>
  <si>
    <t>Compras - Secc. Llantas del 2017 - Transporte Comercial y Servicio TAKUSHI S.A.C.</t>
  </si>
  <si>
    <t>LIMA CAUCHO</t>
  </si>
  <si>
    <t>TH-200 8pr</t>
  </si>
  <si>
    <t>Mv01</t>
  </si>
  <si>
    <t>0001-007193</t>
  </si>
  <si>
    <t>LLANTA 7.50 TH-200 8pr LIMACAUCHO</t>
  </si>
  <si>
    <t>OC-01859</t>
  </si>
  <si>
    <t>01859</t>
  </si>
  <si>
    <t>0431112</t>
  </si>
  <si>
    <t>01201009</t>
  </si>
  <si>
    <t>232240</t>
  </si>
  <si>
    <t>232239</t>
  </si>
  <si>
    <t>1441208</t>
  </si>
  <si>
    <t>06200404</t>
  </si>
  <si>
    <t>0040113</t>
  </si>
  <si>
    <t>GUARDACAMARA 1200R20 DONG AH</t>
  </si>
  <si>
    <t>OC-01865</t>
  </si>
  <si>
    <t>T</t>
  </si>
  <si>
    <t>RENOVA</t>
  </si>
  <si>
    <t>01860</t>
  </si>
  <si>
    <t>MARVEMAX</t>
  </si>
  <si>
    <t>MX902</t>
  </si>
  <si>
    <t>RENOVA S.A.C.</t>
  </si>
  <si>
    <t>F101-00007359</t>
  </si>
  <si>
    <t>NEUMATICO MARVEMAX MX902 16PR 11R22.5</t>
  </si>
  <si>
    <t>OC-01860</t>
  </si>
  <si>
    <t>11R22.5 SPORTRAK 18PR SP398 DELANTERA</t>
  </si>
  <si>
    <t>OC-01849</t>
  </si>
  <si>
    <t>00001-007058</t>
  </si>
  <si>
    <t>SPORTRAK</t>
  </si>
  <si>
    <t>F101-00007543</t>
  </si>
  <si>
    <t>G030-0063247</t>
  </si>
  <si>
    <t>Rechazada, G030-0063247</t>
  </si>
  <si>
    <t>359</t>
  </si>
  <si>
    <t xml:space="preserve"> Enllante x C&amp;C  </t>
  </si>
  <si>
    <t>005208</t>
  </si>
  <si>
    <t>OC-01839</t>
  </si>
  <si>
    <t>0001-007446</t>
  </si>
  <si>
    <t>11R22.5 SPORTRAK 18PR 152/149k SP398 DELANTERA</t>
  </si>
  <si>
    <t>12R22.5 SPORTRAK 18PR 152/149k SP398 DELANTERA</t>
  </si>
  <si>
    <t>SP398  12R22.5</t>
  </si>
  <si>
    <t>SP398 12R22.5</t>
  </si>
  <si>
    <t>172</t>
  </si>
  <si>
    <t xml:space="preserve"> Enllante x MasterCaucho</t>
  </si>
  <si>
    <t>Sn/Ord</t>
  </si>
  <si>
    <t>Vino en R-172  A1B-846 (Inter Usado)</t>
  </si>
  <si>
    <t>Corp Rondon SAC</t>
  </si>
  <si>
    <t>Rechazada, G0001-0023600 X</t>
  </si>
  <si>
    <t>0270215</t>
  </si>
  <si>
    <t>LING LONG</t>
  </si>
  <si>
    <t>MICHELLIN</t>
  </si>
  <si>
    <t>2314</t>
  </si>
  <si>
    <t>226</t>
  </si>
  <si>
    <t>005219</t>
  </si>
  <si>
    <t>Año 2017</t>
  </si>
  <si>
    <t>360</t>
  </si>
  <si>
    <t>01865</t>
  </si>
  <si>
    <t>01887</t>
  </si>
  <si>
    <t>OC-01887</t>
  </si>
  <si>
    <t>0001-007461</t>
  </si>
  <si>
    <t>G0001-002370</t>
  </si>
  <si>
    <t>G0001-002366</t>
  </si>
  <si>
    <t>Cod: 803-03-17</t>
  </si>
  <si>
    <t>Cod: 804-03-17</t>
  </si>
  <si>
    <r>
      <t xml:space="preserve">F027-0026038
</t>
    </r>
    <r>
      <rPr>
        <sz val="8"/>
        <color indexed="62"/>
        <rFont val="Arial"/>
        <family val="2"/>
      </rPr>
      <t>G027-0139825(07/03/17</t>
    </r>
  </si>
  <si>
    <t>0070113</t>
  </si>
  <si>
    <t>0451112</t>
  </si>
  <si>
    <t>232926</t>
  </si>
  <si>
    <t>0531214</t>
  </si>
  <si>
    <t>0511214</t>
  </si>
  <si>
    <t>0521214</t>
  </si>
  <si>
    <t>232927</t>
  </si>
  <si>
    <t>005466</t>
  </si>
  <si>
    <t>0406</t>
  </si>
  <si>
    <t>2105</t>
  </si>
  <si>
    <t>00540769</t>
  </si>
  <si>
    <t>030-0064248</t>
  </si>
  <si>
    <t>Rechazada, G0001-002474 X</t>
  </si>
  <si>
    <t>0001-007752</t>
  </si>
  <si>
    <t>Devuelto, G0001-002474 X</t>
  </si>
  <si>
    <t>G0001-002474</t>
  </si>
  <si>
    <t>0010117</t>
  </si>
  <si>
    <t>050805</t>
  </si>
  <si>
    <t>005488</t>
  </si>
  <si>
    <t>0001-007824</t>
  </si>
  <si>
    <t>0490502</t>
  </si>
  <si>
    <t>0010114</t>
  </si>
  <si>
    <t>005652</t>
  </si>
  <si>
    <t>0001-007896</t>
  </si>
  <si>
    <t>020912</t>
  </si>
  <si>
    <t>0020114</t>
  </si>
  <si>
    <t>10912</t>
  </si>
  <si>
    <t>234457</t>
  </si>
  <si>
    <t>234458</t>
  </si>
  <si>
    <t>G030-0064857</t>
  </si>
  <si>
    <t>F101-00008783</t>
  </si>
  <si>
    <t>Rechazada, G030-0064857</t>
  </si>
  <si>
    <t>19683</t>
  </si>
  <si>
    <t>005675</t>
  </si>
  <si>
    <t>0001-007938</t>
  </si>
  <si>
    <t>0001-007995</t>
  </si>
  <si>
    <r>
      <t xml:space="preserve">LLANTA 425/65R22.5-20 LM526 LONGMARCH  </t>
    </r>
    <r>
      <rPr>
        <sz val="8"/>
        <color indexed="10"/>
        <rFont val="Arial"/>
        <family val="2"/>
      </rPr>
      <t>(CHINA)</t>
    </r>
  </si>
  <si>
    <r>
      <t xml:space="preserve">ARO 13X22.5 EJE AMERICANO  </t>
    </r>
    <r>
      <rPr>
        <sz val="8"/>
        <color indexed="10"/>
        <rFont val="Arial"/>
        <family val="2"/>
      </rPr>
      <t>(CHINA)</t>
    </r>
  </si>
  <si>
    <t>OC-01931</t>
  </si>
  <si>
    <t>LONGMARCH</t>
  </si>
  <si>
    <t>LM526</t>
  </si>
  <si>
    <t>043-05-17</t>
  </si>
  <si>
    <t>234484</t>
  </si>
  <si>
    <t>234485</t>
  </si>
  <si>
    <t>G031-0022329</t>
  </si>
  <si>
    <t>Rechazada, G031-0022329</t>
  </si>
  <si>
    <t>F102-00005964</t>
  </si>
  <si>
    <t>KUMHO</t>
  </si>
  <si>
    <t>KETER</t>
  </si>
  <si>
    <t>Aux</t>
  </si>
  <si>
    <t>Transpl_Banda reempl d Aeolus-0110612</t>
  </si>
  <si>
    <t>Transpl_Banda reempl d Aeolus-0140612</t>
  </si>
  <si>
    <t>361</t>
  </si>
  <si>
    <t>Vino e carreta roja(con freightliner)</t>
  </si>
  <si>
    <t>943</t>
  </si>
  <si>
    <t>KTHS5</t>
  </si>
  <si>
    <t>l</t>
  </si>
  <si>
    <t>0001-008035</t>
  </si>
  <si>
    <t>Stellmark</t>
  </si>
  <si>
    <t>CN1W3412</t>
  </si>
  <si>
    <t>CN1W3413</t>
  </si>
  <si>
    <t>CN1W3013</t>
  </si>
  <si>
    <t>CN1W1013</t>
  </si>
  <si>
    <t>ZA080709678</t>
  </si>
  <si>
    <t>0461214</t>
  </si>
  <si>
    <t>3013</t>
  </si>
  <si>
    <t>417309012</t>
  </si>
  <si>
    <t>1711</t>
  </si>
  <si>
    <t>235456</t>
  </si>
  <si>
    <t>235455</t>
  </si>
  <si>
    <t>G030-0065234</t>
  </si>
  <si>
    <t>Rechazada, G030-0065234</t>
  </si>
  <si>
    <t>F101-00009082</t>
  </si>
  <si>
    <t>354166</t>
  </si>
  <si>
    <t>1000-20 3801</t>
  </si>
  <si>
    <t>005699</t>
  </si>
  <si>
    <t>SAILUM</t>
  </si>
  <si>
    <t>Vino e carreta C/freightliner)Goodyear10-20 3801</t>
  </si>
  <si>
    <t>0001-008119</t>
  </si>
  <si>
    <t xml:space="preserve">Rechazado, G0001-002604 </t>
  </si>
  <si>
    <t xml:space="preserve">G0001-002604 </t>
  </si>
  <si>
    <t>13031431110</t>
  </si>
  <si>
    <t>2082214805</t>
  </si>
  <si>
    <t>0310317</t>
  </si>
  <si>
    <t>005907</t>
  </si>
  <si>
    <t>0001-008198</t>
  </si>
  <si>
    <t>G0001-002623</t>
  </si>
  <si>
    <t>Rechazado, G0001-002623</t>
  </si>
  <si>
    <t>Vino e carreta roja(con freightliner) mod:AMS</t>
  </si>
  <si>
    <t>AMS</t>
  </si>
  <si>
    <t>F101-00009287</t>
  </si>
  <si>
    <t>IZB-210</t>
  </si>
  <si>
    <t>G030-0065512</t>
  </si>
  <si>
    <t>Rechazada, G030-0065512</t>
  </si>
  <si>
    <t>IDY3-235</t>
  </si>
  <si>
    <t>IDY3-220</t>
  </si>
  <si>
    <t>Continental</t>
  </si>
  <si>
    <t>DOT2715</t>
  </si>
  <si>
    <t>DOT1312</t>
  </si>
  <si>
    <t>236270</t>
  </si>
  <si>
    <t>236269</t>
  </si>
  <si>
    <t>DOT7212</t>
  </si>
  <si>
    <t>005942</t>
  </si>
  <si>
    <t>0530365</t>
  </si>
  <si>
    <t>Antire</t>
  </si>
  <si>
    <t>8020217</t>
  </si>
  <si>
    <t>Intercnb/Reenc</t>
  </si>
  <si>
    <t>005944</t>
  </si>
  <si>
    <t>0001-008376</t>
  </si>
  <si>
    <t>G0001-002670</t>
  </si>
  <si>
    <t>Rechazado, G0001-002670</t>
  </si>
  <si>
    <t>F027-00028886        G027-0142701</t>
  </si>
  <si>
    <t>01931</t>
  </si>
  <si>
    <t>F101-00009631</t>
  </si>
  <si>
    <t>IDY-220</t>
  </si>
  <si>
    <t>G031-0065963</t>
  </si>
  <si>
    <t>Rechazada, G031-0065963</t>
  </si>
  <si>
    <t>Recuperada Reenc_Renova</t>
  </si>
  <si>
    <t>829-06-17</t>
  </si>
  <si>
    <t>IDY-220   #  8290617</t>
  </si>
  <si>
    <t>0001-008397</t>
  </si>
  <si>
    <t>Rechazado, G0001-002680Antire_8020217-12R22.5</t>
  </si>
  <si>
    <t>Rechazado, G0001-002680</t>
  </si>
  <si>
    <t>G0001-002680</t>
  </si>
  <si>
    <t>DOT-1312</t>
  </si>
  <si>
    <t>DOT-3413</t>
  </si>
  <si>
    <t>006807</t>
  </si>
  <si>
    <t>Rechazado, G0001-002702</t>
  </si>
  <si>
    <t>G0001-002702</t>
  </si>
  <si>
    <t>0001-008425</t>
  </si>
  <si>
    <t>830-06-17</t>
  </si>
  <si>
    <t>006816</t>
  </si>
  <si>
    <t>01977</t>
  </si>
  <si>
    <t>OC-01977</t>
  </si>
  <si>
    <t>315</t>
  </si>
  <si>
    <t>174</t>
  </si>
  <si>
    <t>0001-008522</t>
  </si>
  <si>
    <t>F027-00030840        G027-0143437</t>
  </si>
  <si>
    <t>OC-01988</t>
  </si>
  <si>
    <t>01988</t>
  </si>
  <si>
    <r>
      <t xml:space="preserve"> Enllante x C&amp;C   </t>
    </r>
    <r>
      <rPr>
        <sz val="8"/>
        <color rgb="FFFF0000"/>
        <rFont val="Arial"/>
        <family val="2"/>
      </rPr>
      <t>Volada x O.Guerrero(27/06/17)</t>
    </r>
  </si>
  <si>
    <t>MLX 711 Reenc</t>
  </si>
  <si>
    <t>0001-008550</t>
  </si>
  <si>
    <t>DOT-2715</t>
  </si>
  <si>
    <t>0911215</t>
  </si>
  <si>
    <t>0921215</t>
  </si>
  <si>
    <t>237170</t>
  </si>
  <si>
    <t>218</t>
  </si>
  <si>
    <t>DOT1711</t>
  </si>
  <si>
    <t>831-07-17</t>
  </si>
  <si>
    <t>IDY-210</t>
  </si>
  <si>
    <t>F101-00010108</t>
  </si>
  <si>
    <t>G031-0023067</t>
  </si>
  <si>
    <t>006620</t>
  </si>
  <si>
    <t>0001-008701</t>
  </si>
  <si>
    <t>Aro Artillero</t>
  </si>
  <si>
    <t>8.25x22.5</t>
  </si>
  <si>
    <t>Enderezado</t>
  </si>
  <si>
    <t>0001-008702</t>
  </si>
  <si>
    <t>Rechazado, G0001-002801</t>
  </si>
  <si>
    <r>
      <t xml:space="preserve">LLANTA 11R22.5/16 PR VIKRANT VALIANT VUH  </t>
    </r>
    <r>
      <rPr>
        <sz val="8"/>
        <color indexed="10"/>
        <rFont val="Arial"/>
        <family val="2"/>
      </rPr>
      <t>(CHINA)</t>
    </r>
  </si>
  <si>
    <r>
      <t xml:space="preserve">ARO 8.25X22.5 - ARTILLERO - ACERO - GULUN  </t>
    </r>
    <r>
      <rPr>
        <sz val="8"/>
        <color indexed="10"/>
        <rFont val="Arial"/>
        <family val="2"/>
      </rPr>
      <t>(CHINA)</t>
    </r>
  </si>
  <si>
    <r>
      <t xml:space="preserve">F027-00031851
</t>
    </r>
    <r>
      <rPr>
        <sz val="9"/>
        <color indexed="62"/>
        <rFont val="Arial"/>
        <family val="2"/>
      </rPr>
      <t>G027-0144305 (03/08/17)</t>
    </r>
  </si>
  <si>
    <t>237194</t>
  </si>
  <si>
    <t>0731115</t>
  </si>
  <si>
    <t>237195</t>
  </si>
  <si>
    <t>F101-00010378</t>
  </si>
  <si>
    <t>G030-0067005</t>
  </si>
  <si>
    <t>Rechazada, G030-0067005</t>
  </si>
  <si>
    <t>F101-00010142</t>
  </si>
  <si>
    <t>Rechazada</t>
  </si>
  <si>
    <t>006642</t>
  </si>
  <si>
    <t>0001-008851</t>
  </si>
  <si>
    <t>0001-002845</t>
  </si>
  <si>
    <t>12R22.5 1121211</t>
  </si>
  <si>
    <t>DOT-2413</t>
  </si>
  <si>
    <t>Rechazado, G0001-002845</t>
  </si>
  <si>
    <t xml:space="preserve">HN266 </t>
  </si>
  <si>
    <r>
      <t xml:space="preserve"> Enllante x C&amp;C  </t>
    </r>
    <r>
      <rPr>
        <sz val="8"/>
        <color rgb="FFFF0000"/>
        <rFont val="Arial"/>
        <family val="2"/>
      </rPr>
      <t>reemplz 012-01-17(332JLC)</t>
    </r>
  </si>
  <si>
    <r>
      <t xml:space="preserve"> Enllante x C&amp;C  </t>
    </r>
    <r>
      <rPr>
        <sz val="8"/>
        <color rgb="FFFF0000"/>
        <rFont val="Arial"/>
        <family val="2"/>
      </rPr>
      <t>reemplz 008-01-17(332JLC)</t>
    </r>
  </si>
  <si>
    <r>
      <t xml:space="preserve"> Enllante x C&amp;C  </t>
    </r>
    <r>
      <rPr>
        <sz val="8"/>
        <color rgb="FFFF0000"/>
        <rFont val="Arial"/>
        <family val="2"/>
      </rPr>
      <t>reemplz 0190217(359OGC)</t>
    </r>
  </si>
  <si>
    <r>
      <t xml:space="preserve"> Enllante x C&amp;C  </t>
    </r>
    <r>
      <rPr>
        <sz val="8"/>
        <color rgb="FFFF0000"/>
        <rFont val="Arial"/>
        <family val="2"/>
      </rPr>
      <t>reemplz 0200217(359OGC)   T218 P4 Agrietada</t>
    </r>
  </si>
  <si>
    <r>
      <t xml:space="preserve"> Enllante x C&amp;C  </t>
    </r>
    <r>
      <rPr>
        <sz val="8"/>
        <color rgb="FFFF0000"/>
        <rFont val="Arial"/>
        <family val="2"/>
      </rPr>
      <t>reemplz 084-12-15(trc-111)</t>
    </r>
  </si>
  <si>
    <r>
      <t xml:space="preserve"> Enllante x C&amp;C  </t>
    </r>
    <r>
      <rPr>
        <sz val="8"/>
        <color rgb="FFFF0000"/>
        <rFont val="Arial"/>
        <family val="2"/>
      </rPr>
      <t>reemplz 089-12-16(mxt343)</t>
    </r>
  </si>
  <si>
    <t>02005</t>
  </si>
  <si>
    <t>0030117</t>
  </si>
  <si>
    <t>0040117</t>
  </si>
  <si>
    <t>0110117</t>
  </si>
  <si>
    <t>0100117</t>
  </si>
  <si>
    <t>0410815</t>
  </si>
  <si>
    <t>238343</t>
  </si>
  <si>
    <t>0040411</t>
  </si>
  <si>
    <t>006430</t>
  </si>
  <si>
    <t>OC-02005</t>
  </si>
  <si>
    <t>02019</t>
  </si>
  <si>
    <t>F101-00010910</t>
  </si>
  <si>
    <t xml:space="preserve">IDY-220 </t>
  </si>
  <si>
    <t>G030-0067774</t>
  </si>
  <si>
    <t>RECHAZADA</t>
  </si>
  <si>
    <r>
      <t xml:space="preserve"> Enllante x C&amp;C  </t>
    </r>
    <r>
      <rPr>
        <sz val="8"/>
        <color rgb="FFFF0000"/>
        <rFont val="Arial"/>
        <family val="2"/>
      </rPr>
      <t>reemplz 0420815(158JLC) volada</t>
    </r>
  </si>
  <si>
    <t>0001-009096</t>
  </si>
  <si>
    <t>Sin Guia</t>
  </si>
  <si>
    <t>02037</t>
  </si>
  <si>
    <t>ARO 8.25X22.5 - ARTILLERO - ACERO - GULUN  (CHINA)</t>
  </si>
  <si>
    <t>OC-02037</t>
  </si>
  <si>
    <t>OC-02027</t>
  </si>
  <si>
    <r>
      <t xml:space="preserve">F027-00033172        </t>
    </r>
    <r>
      <rPr>
        <sz val="8"/>
        <color indexed="62"/>
        <rFont val="Arial"/>
        <family val="2"/>
      </rPr>
      <t>G027-0145659(14/09/17)</t>
    </r>
  </si>
  <si>
    <t>006161</t>
  </si>
  <si>
    <t>0330317</t>
  </si>
  <si>
    <t>0320317</t>
  </si>
  <si>
    <t>0180217</t>
  </si>
  <si>
    <t>0170217</t>
  </si>
  <si>
    <t>0010116</t>
  </si>
  <si>
    <t>0020116</t>
  </si>
  <si>
    <t>239309</t>
  </si>
  <si>
    <r>
      <t xml:space="preserve">F027-00030632        </t>
    </r>
    <r>
      <rPr>
        <sz val="7"/>
        <color indexed="62"/>
        <rFont val="Arial"/>
        <family val="2"/>
      </rPr>
      <t>G027-0143213(26/06/17) 10und</t>
    </r>
    <r>
      <rPr>
        <sz val="8"/>
        <color indexed="62"/>
        <rFont val="Arial"/>
        <family val="2"/>
      </rPr>
      <t xml:space="preserve">
</t>
    </r>
    <r>
      <rPr>
        <sz val="7"/>
        <color rgb="FFFF0000"/>
        <rFont val="Arial"/>
        <family val="2"/>
      </rPr>
      <t>G027-0145661(14/09/17)-12und</t>
    </r>
  </si>
  <si>
    <t>01917</t>
  </si>
  <si>
    <t>357</t>
  </si>
  <si>
    <t>0001-009146</t>
  </si>
  <si>
    <t>Llnt Pelada x Transpl</t>
  </si>
  <si>
    <t>8080116</t>
  </si>
  <si>
    <t>8030116</t>
  </si>
  <si>
    <t>8020116</t>
  </si>
  <si>
    <t>8100316</t>
  </si>
  <si>
    <t>006172</t>
  </si>
  <si>
    <r>
      <t xml:space="preserve">F027-0024963 
</t>
    </r>
    <r>
      <rPr>
        <sz val="8"/>
        <color rgb="FF0066FF"/>
        <rFont val="Arial"/>
        <family val="2"/>
      </rPr>
      <t>G027-0142074(20/05/17) 
2D8T10A</t>
    </r>
  </si>
  <si>
    <t>F101-00011215</t>
  </si>
  <si>
    <t>8010116</t>
  </si>
  <si>
    <t>8070116</t>
  </si>
  <si>
    <t>006183</t>
  </si>
  <si>
    <t>0270217</t>
  </si>
  <si>
    <t>0010115</t>
  </si>
  <si>
    <t>0861215</t>
  </si>
  <si>
    <t>239322</t>
  </si>
  <si>
    <t>001-009233</t>
  </si>
  <si>
    <t>Rechazado-pelado</t>
  </si>
  <si>
    <t>1200-20 B:DY3E-235</t>
  </si>
  <si>
    <t>MDY-220</t>
  </si>
  <si>
    <t>G0001-003091</t>
  </si>
  <si>
    <t>12R22.5</t>
  </si>
  <si>
    <t>0340317</t>
  </si>
  <si>
    <t>006195</t>
  </si>
  <si>
    <t>F101-00011492</t>
  </si>
  <si>
    <t>F101-00011261</t>
  </si>
  <si>
    <t>G030-0068529</t>
  </si>
  <si>
    <t>006941</t>
  </si>
  <si>
    <t>0001-009307</t>
  </si>
  <si>
    <t>0190215</t>
  </si>
  <si>
    <t>006950</t>
  </si>
  <si>
    <t>0560716</t>
  </si>
  <si>
    <t>0600716</t>
  </si>
  <si>
    <t>239342</t>
  </si>
  <si>
    <t>F101-00011709</t>
  </si>
  <si>
    <t>LZY3-325 425/65/22.5</t>
  </si>
  <si>
    <t>0001-009389</t>
  </si>
  <si>
    <t>y Enderezado de aro(ok)</t>
  </si>
  <si>
    <r>
      <t xml:space="preserve"> Enllt x Mastercaucho </t>
    </r>
    <r>
      <rPr>
        <sz val="8.5"/>
        <color rgb="FFFF0000"/>
        <rFont val="Arial"/>
        <family val="2"/>
      </rPr>
      <t>0861216(164-AJV/raspada)</t>
    </r>
  </si>
  <si>
    <r>
      <t xml:space="preserve"> Enllt x Mastercaucho </t>
    </r>
    <r>
      <rPr>
        <sz val="8.5"/>
        <color rgb="FFFF0000"/>
        <rFont val="Arial"/>
        <family val="2"/>
      </rPr>
      <t>0871216(164-AJV)/raspada</t>
    </r>
  </si>
  <si>
    <t>OC-02063</t>
  </si>
  <si>
    <t>02063</t>
  </si>
  <si>
    <t>F027-00034117  
G027-0146429</t>
  </si>
  <si>
    <t>0871216</t>
  </si>
  <si>
    <t>0861217</t>
  </si>
  <si>
    <t>007023</t>
  </si>
  <si>
    <t>Direcc</t>
  </si>
  <si>
    <t>DOT1016</t>
  </si>
  <si>
    <t>XZY3</t>
  </si>
  <si>
    <t>Reen</t>
  </si>
  <si>
    <t>Ex 815-05-17</t>
  </si>
  <si>
    <t>Cmp-Rempl C361 Volada_P7 x JcAsmat 29/10/17</t>
  </si>
  <si>
    <t>C361 Volada_P7 x JcAsmat 29/10/17</t>
  </si>
  <si>
    <t>8180517</t>
  </si>
  <si>
    <t>007032</t>
  </si>
  <si>
    <t xml:space="preserve"> Enllante x C&amp;C  Instl-Mastercaucho</t>
  </si>
  <si>
    <t>02066</t>
  </si>
  <si>
    <t>OC-02066</t>
  </si>
  <si>
    <t>0001-009574</t>
  </si>
  <si>
    <t>G0001-003225</t>
  </si>
  <si>
    <t>Casco pelado</t>
  </si>
  <si>
    <t>DOT0216</t>
  </si>
  <si>
    <t>Para Auxilio (ex 16091128)</t>
  </si>
  <si>
    <t>0851215</t>
  </si>
  <si>
    <t>8070817</t>
  </si>
  <si>
    <t>07050</t>
  </si>
  <si>
    <t>0001-009599</t>
  </si>
  <si>
    <r>
      <t xml:space="preserve">F027-00034786  
</t>
    </r>
    <r>
      <rPr>
        <sz val="8"/>
        <color indexed="62"/>
        <rFont val="Arial"/>
        <family val="2"/>
      </rPr>
      <t>G027-0147119(07/11/17)</t>
    </r>
  </si>
  <si>
    <t>Rechazado (SOPLADO)</t>
  </si>
  <si>
    <t>8130517</t>
  </si>
  <si>
    <t>8100517</t>
  </si>
  <si>
    <t>8050517</t>
  </si>
  <si>
    <t>8030517</t>
  </si>
  <si>
    <t>07049</t>
  </si>
  <si>
    <t>07254</t>
  </si>
  <si>
    <t>0001-009602</t>
  </si>
  <si>
    <t>02080</t>
  </si>
  <si>
    <t>XZY 3</t>
  </si>
  <si>
    <t>DOT5015</t>
  </si>
  <si>
    <t>DOT5115</t>
  </si>
  <si>
    <t>Para Auxilio (ex 201606612)</t>
  </si>
  <si>
    <t>Cond</t>
  </si>
  <si>
    <t>Vino en carreta roja(con freightliner)</t>
  </si>
  <si>
    <t>Orig</t>
  </si>
  <si>
    <t>ZY-210</t>
  </si>
  <si>
    <t>8090517</t>
  </si>
  <si>
    <t>8040517</t>
  </si>
  <si>
    <t>8120517</t>
  </si>
  <si>
    <t>8110517</t>
  </si>
  <si>
    <t>8140517</t>
  </si>
  <si>
    <t>0001-009622</t>
  </si>
  <si>
    <t>ZY-220</t>
  </si>
  <si>
    <t>02083</t>
  </si>
  <si>
    <t>Para Auxilio (ex 16091127)</t>
  </si>
  <si>
    <t>Para Auxilio (ex 16101348)</t>
  </si>
  <si>
    <t>02081</t>
  </si>
  <si>
    <t>Para Auxilio (ex 201606534)</t>
  </si>
  <si>
    <t>Para Auxilio (ex 16101360)</t>
  </si>
  <si>
    <t>Para Auxilio (ex 16101366)</t>
  </si>
  <si>
    <t>DOT0916</t>
  </si>
  <si>
    <t>0010813</t>
  </si>
  <si>
    <t>007270</t>
  </si>
  <si>
    <t>007254</t>
  </si>
  <si>
    <t>0020117</t>
  </si>
  <si>
    <t>0881216</t>
  </si>
  <si>
    <t>007285</t>
  </si>
  <si>
    <t>0001-009786</t>
  </si>
  <si>
    <t>F027-00035881  
G027-0147956</t>
  </si>
  <si>
    <t>OC-02098</t>
  </si>
  <si>
    <t>0001-009860</t>
  </si>
  <si>
    <t>DY3E-220</t>
  </si>
  <si>
    <t>02027</t>
  </si>
  <si>
    <t>213</t>
  </si>
  <si>
    <t>X</t>
  </si>
  <si>
    <t xml:space="preserve"> Enllante x C&amp;C  /  MasterCaucho</t>
  </si>
  <si>
    <t>OC-02107</t>
  </si>
  <si>
    <t>F027-00036249  
G027-01?????</t>
  </si>
  <si>
    <t>OC-02108</t>
  </si>
  <si>
    <t>OC-02102</t>
  </si>
  <si>
    <t>LLANTA LT245/75R16 120/116Q CROSS ACE AS01 AEOLUS</t>
  </si>
  <si>
    <t xml:space="preserve">   MOVIL-02</t>
  </si>
  <si>
    <t>0961017</t>
  </si>
  <si>
    <t>8321017</t>
  </si>
  <si>
    <t>0741115</t>
  </si>
  <si>
    <t>0791115</t>
  </si>
  <si>
    <t>007440</t>
  </si>
  <si>
    <t>001-010071</t>
  </si>
  <si>
    <t>BDY3-220</t>
  </si>
  <si>
    <t>0640816</t>
  </si>
  <si>
    <t>0650816</t>
  </si>
  <si>
    <t>007294</t>
  </si>
  <si>
    <t>0001-010135</t>
  </si>
  <si>
    <t>B</t>
  </si>
  <si>
    <t>425/65/22.5</t>
  </si>
  <si>
    <t>0310516</t>
  </si>
  <si>
    <t>0670816</t>
  </si>
  <si>
    <t>0660816</t>
  </si>
  <si>
    <t>007604</t>
  </si>
  <si>
    <t>007608</t>
  </si>
  <si>
    <t>8351117</t>
  </si>
  <si>
    <t>8361117</t>
  </si>
  <si>
    <t>007520</t>
  </si>
  <si>
    <t>0001-010183</t>
  </si>
  <si>
    <t>0851213</t>
  </si>
  <si>
    <t>035912</t>
  </si>
  <si>
    <t>007619</t>
  </si>
  <si>
    <t>000-010240</t>
  </si>
  <si>
    <t>Rechazado, G0001-003472</t>
  </si>
  <si>
    <t xml:space="preserve"> DY3E 220</t>
  </si>
  <si>
    <t>TZY3-330 171 p4  425/65/22.5</t>
  </si>
  <si>
    <t>TZY3-330 171 p3  425/65/22.5</t>
  </si>
  <si>
    <t>TZY3-330 171 p5  425/65/22.5</t>
  </si>
  <si>
    <t>TZY3-330 171 p6  425/65/22.5</t>
  </si>
  <si>
    <t>CROSS ACE AS01</t>
  </si>
  <si>
    <t>02102</t>
  </si>
  <si>
    <t>Mv02</t>
  </si>
  <si>
    <t>363</t>
  </si>
  <si>
    <r>
      <t xml:space="preserve">F027-00032884 
</t>
    </r>
    <r>
      <rPr>
        <sz val="8"/>
        <color indexed="62"/>
        <rFont val="Arial"/>
        <family val="2"/>
      </rPr>
      <t>G027-0147957(05/12)</t>
    </r>
    <r>
      <rPr>
        <b/>
        <sz val="10"/>
        <color rgb="FFFF0000"/>
        <rFont val="Arial"/>
        <family val="2"/>
      </rPr>
      <t xml:space="preserve">
</t>
    </r>
    <r>
      <rPr>
        <sz val="8"/>
        <color rgb="FFFF0000"/>
        <rFont val="Arial"/>
        <family val="2"/>
      </rPr>
      <t>G027-0??????(10/01/18)</t>
    </r>
  </si>
  <si>
    <r>
      <t xml:space="preserve">F027-00036073
</t>
    </r>
    <r>
      <rPr>
        <sz val="8"/>
        <color indexed="62"/>
        <rFont val="Arial"/>
        <family val="2"/>
      </rPr>
      <t>G027-01?????(14/12/17)</t>
    </r>
  </si>
  <si>
    <t>46880114</t>
  </si>
  <si>
    <t>0881215</t>
  </si>
  <si>
    <t>0180114</t>
  </si>
  <si>
    <t>007635</t>
  </si>
  <si>
    <t>0001-010308</t>
  </si>
  <si>
    <t>0001-010311</t>
  </si>
  <si>
    <t>TOYO</t>
  </si>
  <si>
    <t>260</t>
  </si>
  <si>
    <t>8371217</t>
  </si>
  <si>
    <t>8381217</t>
  </si>
  <si>
    <t>0001-010339</t>
  </si>
  <si>
    <t>DY3E-235</t>
  </si>
  <si>
    <t>Rep - 425/65R22.5(super single)</t>
  </si>
  <si>
    <t>02107</t>
  </si>
  <si>
    <t>0370915</t>
  </si>
  <si>
    <t>G0001-003543</t>
  </si>
  <si>
    <t>007640</t>
  </si>
  <si>
    <t>0961216</t>
  </si>
  <si>
    <t>0971216</t>
  </si>
  <si>
    <t>0320615</t>
  </si>
  <si>
    <t>0080108</t>
  </si>
  <si>
    <t>007643</t>
  </si>
  <si>
    <t>0310615</t>
  </si>
  <si>
    <t>007777</t>
  </si>
  <si>
    <t>0001-010468</t>
  </si>
  <si>
    <t>Pirelli</t>
  </si>
  <si>
    <t>0710</t>
  </si>
  <si>
    <t>297</t>
  </si>
  <si>
    <t>Transpl+Casco2da</t>
  </si>
  <si>
    <t>0001-010491</t>
  </si>
  <si>
    <t>0181210</t>
  </si>
  <si>
    <t>0001-010519</t>
  </si>
  <si>
    <t>0510915</t>
  </si>
  <si>
    <t>0891215</t>
  </si>
  <si>
    <t>007901</t>
  </si>
  <si>
    <t>0001-010541</t>
  </si>
  <si>
    <t>8331117</t>
  </si>
  <si>
    <t>0560617</t>
  </si>
  <si>
    <t>0070117</t>
  </si>
  <si>
    <t>0550617</t>
  </si>
  <si>
    <t>007907</t>
  </si>
  <si>
    <t>244818</t>
  </si>
  <si>
    <t>ZZY-210</t>
  </si>
  <si>
    <t>0190712</t>
  </si>
  <si>
    <t>0001-010590</t>
  </si>
  <si>
    <t>3113</t>
  </si>
  <si>
    <t>D O T</t>
  </si>
  <si>
    <t>2715</t>
  </si>
  <si>
    <t>2315</t>
  </si>
  <si>
    <t>XZE2</t>
  </si>
  <si>
    <t>Solo Casco con transpl de Banda</t>
  </si>
  <si>
    <t>DR908</t>
  </si>
  <si>
    <t>R150</t>
  </si>
  <si>
    <t>b</t>
  </si>
  <si>
    <t xml:space="preserve">Control de Instalaciones Usadas y/o  Nuev_Reenc </t>
  </si>
  <si>
    <t>8010218 Mich XZE2 3113 Ita</t>
  </si>
  <si>
    <t>8020218 Doub DR908 2715 Chi</t>
  </si>
  <si>
    <t>8030218 Doub DR908 2315 Chi</t>
  </si>
  <si>
    <t>8040218 Doub DR908 2315 Chi</t>
  </si>
  <si>
    <t>8050218 Brig R150 4015 Tha</t>
  </si>
  <si>
    <t>8060218 Brig R150 4015 Tha</t>
  </si>
  <si>
    <t>02161</t>
  </si>
  <si>
    <t>Control de Instalaciones Nuevas - 2018</t>
  </si>
  <si>
    <t>F101-00013743</t>
  </si>
  <si>
    <t>0711115</t>
  </si>
  <si>
    <t>0721115</t>
  </si>
  <si>
    <t>Rechazada, G030-0071436</t>
  </si>
  <si>
    <t>0250217</t>
  </si>
  <si>
    <t>0260218</t>
  </si>
  <si>
    <t>0210316</t>
  </si>
  <si>
    <t>0220217</t>
  </si>
  <si>
    <t>0210217</t>
  </si>
  <si>
    <t>0230217</t>
  </si>
  <si>
    <t>0060117</t>
  </si>
  <si>
    <t>0110215</t>
  </si>
  <si>
    <t>0660617</t>
  </si>
  <si>
    <t>244840</t>
  </si>
  <si>
    <t>0410317</t>
  </si>
  <si>
    <t>0941216</t>
  </si>
  <si>
    <t>0661015</t>
  </si>
  <si>
    <t>0771016</t>
  </si>
  <si>
    <t>005038</t>
  </si>
  <si>
    <t>8391217</t>
  </si>
  <si>
    <t>0050117</t>
  </si>
  <si>
    <t>0390317</t>
  </si>
  <si>
    <t>0420317</t>
  </si>
  <si>
    <t>0400317</t>
  </si>
  <si>
    <t>245251</t>
  </si>
  <si>
    <t>Rechazada, G030-0071600</t>
  </si>
  <si>
    <t>F101-00013849</t>
  </si>
  <si>
    <t>008049</t>
  </si>
  <si>
    <t>0001-010691</t>
  </si>
  <si>
    <t>Rechazado, G0001-003654</t>
  </si>
  <si>
    <t>0120116</t>
  </si>
  <si>
    <t>0050115</t>
  </si>
  <si>
    <t>Rechazada, G030-0071799</t>
  </si>
  <si>
    <t>F101-00013965</t>
  </si>
  <si>
    <t>0490815</t>
  </si>
  <si>
    <t>0500815</t>
  </si>
  <si>
    <t>0460815</t>
  </si>
  <si>
    <t>245265</t>
  </si>
  <si>
    <t>0001-010772</t>
  </si>
  <si>
    <t>Serv Anillado</t>
  </si>
  <si>
    <t>008125</t>
  </si>
  <si>
    <t>F101-00014071</t>
  </si>
  <si>
    <t>Anillado_DUNHOPE 0116</t>
  </si>
  <si>
    <t>DUNHOPE</t>
  </si>
  <si>
    <t>807-03-18</t>
  </si>
  <si>
    <t>Anillado</t>
  </si>
  <si>
    <t>Solo Casco con Anillado de Banda</t>
  </si>
  <si>
    <t>0116</t>
  </si>
  <si>
    <t>DH678</t>
  </si>
  <si>
    <t>8070318</t>
  </si>
  <si>
    <t>0001-010829</t>
  </si>
  <si>
    <t>G0001-003718</t>
  </si>
  <si>
    <t>8070318 Dunh DH678 0116 Chi</t>
  </si>
  <si>
    <t>324</t>
  </si>
  <si>
    <t xml:space="preserve"> Enllante x C&amp;C  y PHS, JCP</t>
  </si>
  <si>
    <t>0318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</si>
  <si>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</si>
  <si>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</si>
  <si>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</si>
  <si>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</si>
  <si>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</si>
  <si>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</si>
  <si>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</si>
  <si>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</si>
  <si>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</si>
  <si>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</si>
  <si>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REMOLCADOR</t>
  </si>
  <si>
    <t>Tolva, Plataforma, Portacontenedor de 03 Ejes</t>
  </si>
  <si>
    <t>Tolva, Plataforma, Portacontenedor de 02 Ejes</t>
  </si>
  <si>
    <t>P11</t>
  </si>
  <si>
    <t>P12</t>
  </si>
  <si>
    <t>Tolva, Plataforma, Portacontenedor de 03 Ejes  (solo 8 llantas)</t>
  </si>
  <si>
    <t>C -</t>
  </si>
  <si>
    <t>P -</t>
  </si>
  <si>
    <t>R -</t>
  </si>
  <si>
    <t>Compras - Secc. Llantas del 2018 - Transporte Comercial y Servicio TAKUSHI S.A.C.</t>
  </si>
  <si>
    <t xml:space="preserve">F027-00038944
</t>
  </si>
  <si>
    <t>OC-02185</t>
  </si>
  <si>
    <t>0480815</t>
  </si>
  <si>
    <t>0160215</t>
  </si>
  <si>
    <t>046016</t>
  </si>
  <si>
    <t>0801115</t>
  </si>
  <si>
    <t>0611015</t>
  </si>
  <si>
    <t>245287</t>
  </si>
  <si>
    <t>c</t>
  </si>
  <si>
    <t>02183</t>
  </si>
  <si>
    <t>8080418</t>
  </si>
  <si>
    <t>8090418</t>
  </si>
  <si>
    <t>8100418</t>
  </si>
  <si>
    <t>8110418</t>
  </si>
  <si>
    <t>KAPSEN</t>
  </si>
  <si>
    <t>0513</t>
  </si>
  <si>
    <t>HN08</t>
  </si>
  <si>
    <t>HS268</t>
  </si>
  <si>
    <t>HDL</t>
  </si>
  <si>
    <t>Tipo/Banda</t>
  </si>
  <si>
    <t>Proced</t>
  </si>
  <si>
    <t>China</t>
  </si>
  <si>
    <t>U.S:A.</t>
  </si>
  <si>
    <t>8080418 Aeolus HN353 1614 China</t>
  </si>
  <si>
    <t>8090418 Aeolus HN08 1514 China</t>
  </si>
  <si>
    <t>8100418 KAPSEN HS268 4615 China</t>
  </si>
  <si>
    <t>8110418 Continental HDL 0513 U.S:A.</t>
  </si>
  <si>
    <t>02189</t>
  </si>
  <si>
    <t>0001-010908</t>
  </si>
  <si>
    <t>Double Star</t>
  </si>
  <si>
    <t>DSR168</t>
  </si>
  <si>
    <t>2511</t>
  </si>
  <si>
    <t>11.00R20</t>
  </si>
  <si>
    <t>S/Ord</t>
  </si>
  <si>
    <t xml:space="preserve">  -   .   -</t>
  </si>
  <si>
    <t>Llanta recuperada (Carr-Comprd)</t>
  </si>
  <si>
    <t xml:space="preserve"> TALLER</t>
  </si>
  <si>
    <t>IZY2-210</t>
  </si>
  <si>
    <t>Triangle</t>
  </si>
  <si>
    <t>TR668</t>
  </si>
  <si>
    <t>0415</t>
  </si>
  <si>
    <t>Korea</t>
  </si>
  <si>
    <t>4714</t>
  </si>
  <si>
    <t>4312</t>
  </si>
  <si>
    <t>Ornet</t>
  </si>
  <si>
    <t>ORI05</t>
  </si>
  <si>
    <t>AM06</t>
  </si>
  <si>
    <t>8130418 Triangle TR668 0415 China</t>
  </si>
  <si>
    <t>8140418 Triangle TR668 0415 China</t>
  </si>
  <si>
    <t>8150418 Ornet ORI05 4714 China</t>
  </si>
  <si>
    <t>8160418 Hankook AM06 4312 Korea</t>
  </si>
  <si>
    <t>8130418</t>
  </si>
  <si>
    <t>8140418</t>
  </si>
  <si>
    <t>8150418</t>
  </si>
  <si>
    <t>8160418</t>
  </si>
  <si>
    <t>0001-010983</t>
  </si>
  <si>
    <t>0530915</t>
  </si>
  <si>
    <t>008178</t>
  </si>
  <si>
    <t>008177</t>
  </si>
  <si>
    <t>ZB-220</t>
  </si>
  <si>
    <t>G0001-003768</t>
  </si>
  <si>
    <t>Rechazada, G0001-003768</t>
  </si>
  <si>
    <t>02194</t>
  </si>
  <si>
    <t>0040115</t>
  </si>
  <si>
    <t>06208008</t>
  </si>
  <si>
    <t>05108101</t>
  </si>
  <si>
    <t>0020909</t>
  </si>
  <si>
    <t>008196</t>
  </si>
  <si>
    <t>RT59</t>
  </si>
  <si>
    <t>Brasil</t>
  </si>
  <si>
    <t>Trspl</t>
  </si>
  <si>
    <t>a</t>
  </si>
  <si>
    <t>0001-011128</t>
  </si>
  <si>
    <t>G0001-003837</t>
  </si>
  <si>
    <t>Yokohama</t>
  </si>
  <si>
    <t>Roadwing</t>
  </si>
  <si>
    <t>G677</t>
  </si>
  <si>
    <t>RY237</t>
  </si>
  <si>
    <t>WS118</t>
  </si>
  <si>
    <t>1012</t>
  </si>
  <si>
    <t>3512</t>
  </si>
  <si>
    <t>4416</t>
  </si>
  <si>
    <t>4715</t>
  </si>
  <si>
    <t>Tailandia</t>
  </si>
  <si>
    <t>8180418 Goodyear G677 1012 Brasil</t>
  </si>
  <si>
    <t>8190418 Yokohama RY237 3512 Tailandia</t>
  </si>
  <si>
    <t>8200418 Roadwing WS118 4416 China</t>
  </si>
  <si>
    <t>8210418 Triangle TR668 4715 China</t>
  </si>
  <si>
    <t>8180418</t>
  </si>
  <si>
    <t>8190418</t>
  </si>
  <si>
    <t>8200418</t>
  </si>
  <si>
    <t>8210418</t>
  </si>
  <si>
    <t>CT65</t>
  </si>
  <si>
    <t>2408</t>
  </si>
  <si>
    <t>008512</t>
  </si>
  <si>
    <t>G0001-003861</t>
  </si>
  <si>
    <t>0001-011170</t>
  </si>
  <si>
    <t>G030-0072444</t>
  </si>
  <si>
    <t>Rechazada, G030-0072444</t>
  </si>
  <si>
    <t>Rechazada, G030-0072594</t>
  </si>
  <si>
    <t>G030-0072594</t>
  </si>
  <si>
    <t>246567</t>
  </si>
  <si>
    <t>8160577</t>
  </si>
  <si>
    <t>F101-00014472</t>
  </si>
  <si>
    <t>0070115</t>
  </si>
  <si>
    <t>F101-00014564</t>
  </si>
  <si>
    <t>F101-00014594</t>
  </si>
  <si>
    <t>IZB-220</t>
  </si>
  <si>
    <t xml:space="preserve">     HN267</t>
  </si>
  <si>
    <t>al 08/04/18</t>
  </si>
  <si>
    <t>308</t>
  </si>
  <si>
    <t xml:space="preserve"> Enllante x C&amp;C  y PHS, RAR</t>
  </si>
  <si>
    <t>0461112</t>
  </si>
  <si>
    <t>0080113</t>
  </si>
  <si>
    <t>246596</t>
  </si>
  <si>
    <t>F101-00014717</t>
  </si>
  <si>
    <t>IZB-235</t>
  </si>
  <si>
    <t>G030-0072784</t>
  </si>
  <si>
    <t>F101-00014794</t>
  </si>
  <si>
    <t>Rechazada, falla estruct</t>
  </si>
  <si>
    <t>0481214</t>
  </si>
  <si>
    <t>0100115</t>
  </si>
  <si>
    <t>0030115</t>
  </si>
  <si>
    <t>0701015</t>
  </si>
  <si>
    <t>247355</t>
  </si>
  <si>
    <t>247359</t>
  </si>
  <si>
    <t>G030-0072915</t>
  </si>
  <si>
    <t>Rechazada, fatiga/envejecimt</t>
  </si>
  <si>
    <t>0180215</t>
  </si>
  <si>
    <t>1001216</t>
  </si>
  <si>
    <t>8160517</t>
  </si>
  <si>
    <t>008523</t>
  </si>
  <si>
    <t>0001-011215</t>
  </si>
  <si>
    <t>G0001-003881</t>
  </si>
  <si>
    <t xml:space="preserve"> Enllante x C&amp;C   y PHS, RAR</t>
  </si>
  <si>
    <t>006309111</t>
  </si>
  <si>
    <t>008705</t>
  </si>
  <si>
    <t>0001-011372</t>
  </si>
  <si>
    <t>0620617</t>
  </si>
  <si>
    <t>008712</t>
  </si>
  <si>
    <t>0001-011420</t>
  </si>
  <si>
    <t>x corte en flanco</t>
  </si>
  <si>
    <t>247909</t>
  </si>
  <si>
    <t>F101-00014920</t>
  </si>
  <si>
    <t>8341117</t>
  </si>
  <si>
    <t>Reempl d Aeolus-0120612</t>
  </si>
  <si>
    <t>3215</t>
  </si>
  <si>
    <t>8230518 Triangle TR668 3215 China</t>
  </si>
  <si>
    <t>8230518</t>
  </si>
  <si>
    <t>Remplazo Aeolus-0120612</t>
  </si>
  <si>
    <t>0001-011440</t>
  </si>
  <si>
    <t>G030-0073105</t>
  </si>
  <si>
    <t>RECHAZO Fatig/envejecimt estruct</t>
  </si>
  <si>
    <t>RECHAZO Separacion / telas estruct</t>
  </si>
  <si>
    <t>008160517</t>
  </si>
  <si>
    <t>0540617</t>
  </si>
  <si>
    <t>0060115</t>
  </si>
  <si>
    <t>0570617</t>
  </si>
  <si>
    <t>00034912</t>
  </si>
  <si>
    <t>0981216</t>
  </si>
  <si>
    <t>0300215</t>
  </si>
  <si>
    <t>274926</t>
  </si>
  <si>
    <t>0080116</t>
  </si>
  <si>
    <t>0070116</t>
  </si>
  <si>
    <t>008801</t>
  </si>
  <si>
    <t>8230517</t>
  </si>
  <si>
    <t>008727</t>
  </si>
  <si>
    <t>0001-011470</t>
  </si>
  <si>
    <t>Corte Lateral</t>
  </si>
  <si>
    <t>F101-00015050</t>
  </si>
  <si>
    <t>G030-0073286</t>
  </si>
  <si>
    <t>RECHAZO rodada baja/falla estruc</t>
  </si>
  <si>
    <t>0550716</t>
  </si>
  <si>
    <t>0590716</t>
  </si>
  <si>
    <t>248506</t>
  </si>
  <si>
    <t>0001-011521</t>
  </si>
  <si>
    <t>RECHAZO Banda baja/falla estruc</t>
  </si>
  <si>
    <t>G030-0073454</t>
  </si>
  <si>
    <t>008740</t>
  </si>
  <si>
    <t>0520517</t>
  </si>
  <si>
    <t>008818</t>
  </si>
  <si>
    <t>0800917</t>
  </si>
  <si>
    <t>0280217</t>
  </si>
  <si>
    <t>0810917</t>
  </si>
  <si>
    <t>8240618</t>
  </si>
  <si>
    <t>248520</t>
  </si>
  <si>
    <t>02330207</t>
  </si>
  <si>
    <t>8040218</t>
  </si>
  <si>
    <t>8030218</t>
  </si>
  <si>
    <t>008823</t>
  </si>
  <si>
    <t>0600915</t>
  </si>
  <si>
    <t>0590915</t>
  </si>
  <si>
    <t>0150215</t>
  </si>
  <si>
    <t>248532</t>
  </si>
  <si>
    <t>F101-00015202</t>
  </si>
  <si>
    <t>0001-011576</t>
  </si>
  <si>
    <t>G0001-004030</t>
  </si>
  <si>
    <t>RECHAZO X falla estruc</t>
  </si>
  <si>
    <t>0001-011597</t>
  </si>
  <si>
    <t>Banda  Parcial transpl</t>
  </si>
  <si>
    <t>TZY3-330</t>
  </si>
  <si>
    <t>824-06-18</t>
  </si>
  <si>
    <t>3509</t>
  </si>
  <si>
    <t>CT165</t>
  </si>
  <si>
    <t>Peru</t>
  </si>
  <si>
    <t>11T22.5</t>
  </si>
  <si>
    <t>TALLER</t>
  </si>
  <si>
    <t>2714</t>
  </si>
  <si>
    <t>G030-0073639</t>
  </si>
  <si>
    <t>F101-00015300</t>
  </si>
  <si>
    <t>SuperLug78</t>
  </si>
  <si>
    <t>0111</t>
  </si>
  <si>
    <t>India</t>
  </si>
  <si>
    <t>Llanta recuperada (nueva s/marcar)</t>
  </si>
  <si>
    <t>LEAO</t>
  </si>
  <si>
    <t>F816</t>
  </si>
  <si>
    <t>0216</t>
  </si>
  <si>
    <t>Anilldo</t>
  </si>
  <si>
    <t>G0001-004062</t>
  </si>
  <si>
    <t>banda paso a 8230518 (triangle)</t>
  </si>
  <si>
    <t>008835</t>
  </si>
  <si>
    <t>G0001-004061</t>
  </si>
  <si>
    <t>banda paso a 8260618 MRF</t>
  </si>
  <si>
    <t>0390506</t>
  </si>
  <si>
    <t>008746</t>
  </si>
  <si>
    <t>249157</t>
  </si>
  <si>
    <t>0001-011637</t>
  </si>
  <si>
    <t>8250618</t>
  </si>
  <si>
    <t>Goodyear CT165 3509 Peru</t>
  </si>
  <si>
    <t>LEAO F816 0216 China</t>
  </si>
  <si>
    <t>MRF SuperLug78 0111 India</t>
  </si>
  <si>
    <t>8260618</t>
  </si>
  <si>
    <t>8270618</t>
  </si>
  <si>
    <t>Casc 2a trnspl</t>
  </si>
  <si>
    <t>G0001-004102</t>
  </si>
  <si>
    <t>Reparc en Banda  (trajo llanta sola)</t>
  </si>
  <si>
    <t>0430815</t>
  </si>
  <si>
    <t>009210</t>
  </si>
  <si>
    <t>Corte lateral</t>
  </si>
  <si>
    <t>0470815</t>
  </si>
  <si>
    <t>249175</t>
  </si>
  <si>
    <t>G0300073942</t>
  </si>
  <si>
    <t>RECHAZO x rodado a baja presion</t>
  </si>
  <si>
    <t>F101-00015645</t>
  </si>
  <si>
    <t>General</t>
  </si>
  <si>
    <t>MS520</t>
  </si>
  <si>
    <t>3012</t>
  </si>
  <si>
    <t>Ecuador</t>
  </si>
  <si>
    <t>00001-0011768</t>
  </si>
  <si>
    <t>8280718</t>
  </si>
  <si>
    <t>General MS520 3012 Ecuador</t>
  </si>
  <si>
    <t>0290215</t>
  </si>
  <si>
    <t>009224</t>
  </si>
  <si>
    <t>0001-011828</t>
  </si>
  <si>
    <t>0140215</t>
  </si>
  <si>
    <t>0130215</t>
  </si>
  <si>
    <t>0240217</t>
  </si>
  <si>
    <t>1081217</t>
  </si>
  <si>
    <t>1161217</t>
  </si>
  <si>
    <t>1181217</t>
  </si>
  <si>
    <t>1091217</t>
  </si>
  <si>
    <t>1101217</t>
  </si>
  <si>
    <t>1111217</t>
  </si>
  <si>
    <t>0790917</t>
  </si>
  <si>
    <t>249186</t>
  </si>
  <si>
    <t>249187</t>
  </si>
  <si>
    <t>G030-0074355</t>
  </si>
  <si>
    <t>Rechazada x pestaña dañada</t>
  </si>
  <si>
    <t>F101-00015836</t>
  </si>
  <si>
    <t>ZZY-220</t>
  </si>
  <si>
    <t>1171217</t>
  </si>
  <si>
    <t>009230</t>
  </si>
  <si>
    <t>0951216</t>
  </si>
  <si>
    <t>249951</t>
  </si>
  <si>
    <t>0001-011898</t>
  </si>
  <si>
    <t>009037</t>
  </si>
  <si>
    <t>0001-011911</t>
  </si>
  <si>
    <t>02185</t>
  </si>
  <si>
    <t>356</t>
  </si>
  <si>
    <t>Renova S.A.C.</t>
  </si>
  <si>
    <t>LONG MARCH</t>
  </si>
  <si>
    <t>LM211</t>
  </si>
  <si>
    <t>05329</t>
  </si>
  <si>
    <t>NEUMATICO LONG MARCH 11R22.5 16PR 148/145 LM211</t>
  </si>
  <si>
    <t>OC-05329</t>
  </si>
  <si>
    <t xml:space="preserve"> Enllante en Takushi  x PHS, RAR</t>
  </si>
  <si>
    <t>F101-00011737</t>
  </si>
  <si>
    <t>Rechazada x Fatiga estruc</t>
  </si>
  <si>
    <t>G030-0074539</t>
  </si>
  <si>
    <t>F101-00015959</t>
  </si>
  <si>
    <t>Remplz x ZETA-0520517</t>
  </si>
  <si>
    <t>Remplz x ZETA-0080114</t>
  </si>
  <si>
    <t>G0001-004234</t>
  </si>
  <si>
    <t>8270517</t>
  </si>
  <si>
    <t>009263</t>
  </si>
  <si>
    <t>0300814</t>
  </si>
  <si>
    <t>0320814</t>
  </si>
  <si>
    <t>0290814</t>
  </si>
  <si>
    <t>249986</t>
  </si>
  <si>
    <t>F101-00016180</t>
  </si>
  <si>
    <t>IDY3-330</t>
  </si>
  <si>
    <t>G030-0074849</t>
  </si>
  <si>
    <t>Rechazada x separac d telas estruct</t>
  </si>
  <si>
    <t>0850917</t>
  </si>
  <si>
    <t>0840917</t>
  </si>
  <si>
    <t>0860917</t>
  </si>
  <si>
    <t>0870917</t>
  </si>
  <si>
    <t>0761115</t>
  </si>
  <si>
    <t>0220215</t>
  </si>
  <si>
    <t>0580716</t>
  </si>
  <si>
    <t>0570716</t>
  </si>
  <si>
    <t>250656</t>
  </si>
  <si>
    <t>S815</t>
  </si>
  <si>
    <t>M840</t>
  </si>
  <si>
    <t>1914</t>
  </si>
  <si>
    <t>2813</t>
  </si>
  <si>
    <t>España</t>
  </si>
  <si>
    <t>295/80R22.5</t>
  </si>
  <si>
    <t>E001-99</t>
  </si>
  <si>
    <t>G0001-004299</t>
  </si>
  <si>
    <t>009278</t>
  </si>
  <si>
    <t>E001-123</t>
  </si>
  <si>
    <t>SAILUM S815 1914 China</t>
  </si>
  <si>
    <t xml:space="preserve">8290818 </t>
  </si>
  <si>
    <t>Brigestone M840 2813 España</t>
  </si>
  <si>
    <t xml:space="preserve">8300818 </t>
  </si>
  <si>
    <t>E001-128</t>
  </si>
  <si>
    <t>G030-0075096</t>
  </si>
  <si>
    <t>Rechazada, Falla Estructural</t>
  </si>
  <si>
    <t>F01-00016349</t>
  </si>
  <si>
    <t>LZY3-350 425/65/22.5</t>
  </si>
  <si>
    <t>IZY2W-220</t>
  </si>
  <si>
    <t>250671</t>
  </si>
  <si>
    <t>250670</t>
  </si>
  <si>
    <t>0441114</t>
  </si>
  <si>
    <t>0240318</t>
  </si>
  <si>
    <t>009081</t>
  </si>
  <si>
    <t>F101-00016391</t>
  </si>
  <si>
    <t>LLANTA 11R22.5-16PR HF702 FESITE</t>
  </si>
  <si>
    <r>
      <t xml:space="preserve">F027-00036290  
</t>
    </r>
    <r>
      <rPr>
        <sz val="7"/>
        <color indexed="62"/>
        <rFont val="Arial"/>
        <family val="2"/>
      </rPr>
      <t xml:space="preserve">G027-0050108/0149580 _080218 08Lnts/08Aros </t>
    </r>
    <r>
      <rPr>
        <sz val="8"/>
        <color indexed="62"/>
        <rFont val="Arial"/>
        <family val="2"/>
      </rPr>
      <t xml:space="preserve">
</t>
    </r>
    <r>
      <rPr>
        <sz val="7"/>
        <color indexed="62"/>
        <rFont val="Arial"/>
        <family val="2"/>
      </rPr>
      <t>G027-0150813_240318 10Lln10Ar
G027-0155276_290818 12Ar</t>
    </r>
    <r>
      <rPr>
        <sz val="8"/>
        <color indexed="62"/>
        <rFont val="Arial"/>
        <family val="2"/>
      </rPr>
      <t xml:space="preserve">
</t>
    </r>
  </si>
  <si>
    <r>
      <t xml:space="preserve">F027-00043487
</t>
    </r>
    <r>
      <rPr>
        <sz val="8"/>
        <color indexed="62"/>
        <rFont val="Arial"/>
        <family val="2"/>
      </rPr>
      <t>G027-0155315_290818-2Lln/12Ar</t>
    </r>
  </si>
  <si>
    <t>F01-00016388</t>
  </si>
  <si>
    <t>8120410</t>
  </si>
  <si>
    <t>250700</t>
  </si>
  <si>
    <t>E001-298</t>
  </si>
  <si>
    <t>G0001-004370</t>
  </si>
  <si>
    <t>0230215</t>
  </si>
  <si>
    <t>8190517</t>
  </si>
  <si>
    <t>009924</t>
  </si>
  <si>
    <r>
      <t xml:space="preserve">F027-00043487
</t>
    </r>
    <r>
      <rPr>
        <sz val="8"/>
        <color indexed="62"/>
        <rFont val="Arial"/>
        <family val="2"/>
      </rPr>
      <t>G027-0155654_110918-12Lln/12Ar</t>
    </r>
  </si>
  <si>
    <t>G030-0075428</t>
  </si>
  <si>
    <t>F101-00016580</t>
  </si>
  <si>
    <t>RECHAZADA Falla x Fatiga en Casco</t>
  </si>
  <si>
    <t>RECHAZADA Falla x Rodado baja presion</t>
  </si>
  <si>
    <t>YellowSea</t>
  </si>
  <si>
    <t>1216</t>
  </si>
  <si>
    <t>YS08</t>
  </si>
  <si>
    <t>OC-05363</t>
  </si>
  <si>
    <t>05363</t>
  </si>
  <si>
    <t>HF702</t>
  </si>
  <si>
    <t>FESITE</t>
  </si>
  <si>
    <t>229</t>
  </si>
  <si>
    <t>OC-05306</t>
  </si>
  <si>
    <t>05306</t>
  </si>
  <si>
    <t>YellowSea YS08 1216 China</t>
  </si>
  <si>
    <t>8310918</t>
  </si>
  <si>
    <t>E001-387</t>
  </si>
  <si>
    <t>8300617</t>
  </si>
  <si>
    <t>E001-388</t>
  </si>
  <si>
    <t>G0001-004420</t>
  </si>
  <si>
    <t>Devolucion</t>
  </si>
  <si>
    <t>0410518</t>
  </si>
  <si>
    <t>8020218</t>
  </si>
  <si>
    <t>8050218</t>
  </si>
  <si>
    <t>8010218</t>
  </si>
  <si>
    <t>251247</t>
  </si>
  <si>
    <t>009953</t>
  </si>
  <si>
    <t>F101-00016876</t>
  </si>
  <si>
    <t>F001-00000076</t>
  </si>
  <si>
    <t>ZB-210</t>
  </si>
  <si>
    <t>0851116</t>
  </si>
  <si>
    <t>02792</t>
  </si>
  <si>
    <t>0090115</t>
  </si>
  <si>
    <t>0760717</t>
  </si>
  <si>
    <t>0770717</t>
  </si>
  <si>
    <t>252114</t>
  </si>
  <si>
    <t>0841116</t>
  </si>
  <si>
    <t>010402</t>
  </si>
  <si>
    <t>G030-0076040</t>
  </si>
  <si>
    <t>F101-00017091</t>
  </si>
  <si>
    <t>F001-00000166</t>
  </si>
  <si>
    <t>Full Run</t>
  </si>
  <si>
    <t>2816</t>
  </si>
  <si>
    <t>TB875</t>
  </si>
  <si>
    <t>8321018 Full Run TB875 2816 China</t>
  </si>
  <si>
    <t>8321018</t>
  </si>
  <si>
    <t>0930917</t>
  </si>
  <si>
    <t>0280215</t>
  </si>
  <si>
    <t>0240215</t>
  </si>
  <si>
    <t>0940917</t>
  </si>
  <si>
    <t>0950917</t>
  </si>
  <si>
    <t>0920917</t>
  </si>
  <si>
    <t>252130</t>
  </si>
  <si>
    <t>0400516</t>
  </si>
  <si>
    <t>027912</t>
  </si>
  <si>
    <t>009619</t>
  </si>
  <si>
    <t>OC-05362</t>
  </si>
  <si>
    <t>05362</t>
  </si>
  <si>
    <t>342</t>
  </si>
  <si>
    <t xml:space="preserve">  T4P-891</t>
  </si>
  <si>
    <t>1018</t>
  </si>
  <si>
    <t>O</t>
  </si>
  <si>
    <t>Re</t>
  </si>
  <si>
    <t>GN</t>
  </si>
  <si>
    <t>1915</t>
  </si>
  <si>
    <t>Remarcada para reencauche</t>
  </si>
  <si>
    <t>Extraid R-174</t>
  </si>
  <si>
    <t>Remarcada para uso mejorar R-173</t>
  </si>
  <si>
    <t>8361018</t>
  </si>
  <si>
    <t>8351018</t>
  </si>
  <si>
    <t>8341018</t>
  </si>
  <si>
    <t>8331018</t>
  </si>
  <si>
    <t>8411018</t>
  </si>
  <si>
    <t>8421018</t>
  </si>
  <si>
    <t>0590617</t>
  </si>
  <si>
    <t>0600617</t>
  </si>
  <si>
    <t>0671015</t>
  </si>
  <si>
    <t>251751</t>
  </si>
  <si>
    <t>F001-00000229</t>
  </si>
  <si>
    <t>EG01-38</t>
  </si>
  <si>
    <t>F101-00017202</t>
  </si>
  <si>
    <t>F101-00017307</t>
  </si>
  <si>
    <t>Extraid R-173</t>
  </si>
  <si>
    <t>GT Radial</t>
  </si>
  <si>
    <t>GT01</t>
  </si>
  <si>
    <t>2313</t>
  </si>
  <si>
    <t>SC</t>
  </si>
  <si>
    <t>010480</t>
  </si>
  <si>
    <t>0730717</t>
  </si>
  <si>
    <t>010834</t>
  </si>
  <si>
    <t>F001-00000486</t>
  </si>
  <si>
    <t>EG01-140</t>
  </si>
  <si>
    <t>8441118 Full Run TB875 2313 China</t>
  </si>
  <si>
    <t>8451118 GT Radial GT01 2715 China</t>
  </si>
  <si>
    <t>403</t>
  </si>
  <si>
    <r>
      <t xml:space="preserve"> Enllante en C&amp;C  x PHS, RAR </t>
    </r>
    <r>
      <rPr>
        <sz val="8"/>
        <rFont val="Arial"/>
        <family val="2"/>
      </rPr>
      <t>(aro eje americano)</t>
    </r>
  </si>
  <si>
    <t>05436</t>
  </si>
  <si>
    <t>OC-05436</t>
  </si>
  <si>
    <r>
      <t xml:space="preserve">F027-00045966
</t>
    </r>
    <r>
      <rPr>
        <sz val="8"/>
        <color indexed="62"/>
        <rFont val="Arial"/>
        <family val="2"/>
      </rPr>
      <t>G027-0157744_191118-12Lln/12Ar</t>
    </r>
  </si>
  <si>
    <t>0540915</t>
  </si>
  <si>
    <t>0450616</t>
  </si>
  <si>
    <t>0320518</t>
  </si>
  <si>
    <t>8120310</t>
  </si>
  <si>
    <t>060518</t>
  </si>
  <si>
    <t>0290518</t>
  </si>
  <si>
    <t>0310518</t>
  </si>
  <si>
    <t>0880917</t>
  </si>
  <si>
    <t>0030118</t>
  </si>
  <si>
    <t>0020118</t>
  </si>
  <si>
    <t>0010118</t>
  </si>
  <si>
    <t>0040118</t>
  </si>
  <si>
    <t>254234</t>
  </si>
  <si>
    <t>254232</t>
  </si>
  <si>
    <t>F101-00018087</t>
  </si>
  <si>
    <t>009661</t>
  </si>
  <si>
    <t>EG01-237</t>
  </si>
  <si>
    <t>Procedio reclamo, REPARADA</t>
  </si>
  <si>
    <t>Long March</t>
  </si>
  <si>
    <t>0560718</t>
  </si>
  <si>
    <t>0340516</t>
  </si>
  <si>
    <t>F001-00000829</t>
  </si>
  <si>
    <t>0310814</t>
  </si>
  <si>
    <t>010894</t>
  </si>
  <si>
    <t>F001-00000905</t>
  </si>
  <si>
    <t>EG01-296</t>
  </si>
  <si>
    <t>009667</t>
  </si>
  <si>
    <t>F001-00000969</t>
  </si>
  <si>
    <t>0440616</t>
  </si>
  <si>
    <t>254545</t>
  </si>
  <si>
    <t>JINYU</t>
  </si>
  <si>
    <t>8401018</t>
  </si>
  <si>
    <t>0890917</t>
  </si>
  <si>
    <t>0430616</t>
  </si>
  <si>
    <t>1141217</t>
  </si>
  <si>
    <t>0861216</t>
  </si>
  <si>
    <t>254544</t>
  </si>
  <si>
    <t>FR85</t>
  </si>
  <si>
    <t>3414</t>
  </si>
  <si>
    <t>ZETA</t>
  </si>
  <si>
    <t>DR928</t>
  </si>
  <si>
    <t>1114</t>
  </si>
  <si>
    <t>SuperHawk</t>
  </si>
  <si>
    <t>8310717</t>
  </si>
  <si>
    <t>0791016</t>
  </si>
  <si>
    <t>0781016</t>
  </si>
  <si>
    <t>0110118</t>
  </si>
  <si>
    <t>0120118</t>
  </si>
  <si>
    <t>255410</t>
  </si>
  <si>
    <t>255411</t>
  </si>
  <si>
    <t>F001-00001059</t>
  </si>
  <si>
    <t>8010119</t>
  </si>
  <si>
    <t>8020119</t>
  </si>
  <si>
    <t>8010119 Pirelli FR85 3414 Brasil</t>
  </si>
  <si>
    <t>8020119 ZETA DR928 1114 China</t>
  </si>
  <si>
    <t>EG01-351</t>
  </si>
  <si>
    <t>F101-00018425</t>
  </si>
  <si>
    <t>G030-0077906</t>
  </si>
  <si>
    <t>Falla estructural</t>
  </si>
  <si>
    <t>0670617</t>
  </si>
  <si>
    <t>009678</t>
  </si>
  <si>
    <t>G031-0028774</t>
  </si>
  <si>
    <t>F102-00013925</t>
  </si>
  <si>
    <t>Control de Instalaciones Nuevas - 2019</t>
  </si>
  <si>
    <t>05485</t>
  </si>
  <si>
    <t>05478</t>
  </si>
  <si>
    <t>Compras - Secc. Llantas del 2019 - Transporte Comercial y Servicio TAKUSHI S.A.C.</t>
  </si>
  <si>
    <t>OC-05485</t>
  </si>
  <si>
    <t>8120418</t>
  </si>
  <si>
    <t>009695</t>
  </si>
  <si>
    <t>EG01-407</t>
  </si>
  <si>
    <t>F001-00001185</t>
  </si>
  <si>
    <t>MDY-235</t>
  </si>
  <si>
    <t>F001-00001228</t>
  </si>
  <si>
    <t>Banda de 2da. Propia</t>
  </si>
  <si>
    <t>NEUMATICO LONGMARCH 425/65R22.5 20PR LM526</t>
  </si>
  <si>
    <r>
      <t xml:space="preserve">F102-00014201
</t>
    </r>
    <r>
      <rPr>
        <sz val="8"/>
        <color indexed="62"/>
        <rFont val="Arial"/>
        <family val="2"/>
      </rPr>
      <t>G031-0029056_280119 4LlnB</t>
    </r>
  </si>
  <si>
    <r>
      <t xml:space="preserve">F027-00047752
</t>
    </r>
    <r>
      <rPr>
        <sz val="8"/>
        <color indexed="62"/>
        <rFont val="Arial"/>
        <family val="2"/>
      </rPr>
      <t xml:space="preserve">G027-0159581_160119 4Lln
</t>
    </r>
  </si>
  <si>
    <t>OC-05504</t>
  </si>
  <si>
    <t>0580617</t>
  </si>
  <si>
    <t>0610617</t>
  </si>
  <si>
    <t>0360518</t>
  </si>
  <si>
    <t>0090117</t>
  </si>
  <si>
    <t>255963</t>
  </si>
  <si>
    <t>255964</t>
  </si>
  <si>
    <t>0090118</t>
  </si>
  <si>
    <t>1131217</t>
  </si>
  <si>
    <t>1121217</t>
  </si>
  <si>
    <t>F101-00018629</t>
  </si>
  <si>
    <t>0811116</t>
  </si>
  <si>
    <t>0831116</t>
  </si>
  <si>
    <t>0991216</t>
  </si>
  <si>
    <t>1011216</t>
  </si>
  <si>
    <t>256000</t>
  </si>
  <si>
    <t>F1010-00018806</t>
  </si>
  <si>
    <t>IZY3W-3345</t>
  </si>
  <si>
    <t>G030-0078457</t>
  </si>
  <si>
    <t>Falla estructural - pelada</t>
  </si>
  <si>
    <t>011632</t>
  </si>
  <si>
    <t>EG01-608</t>
  </si>
  <si>
    <t>F001-00001598</t>
  </si>
  <si>
    <t>011646</t>
  </si>
  <si>
    <t>8030319</t>
  </si>
  <si>
    <t>8040319</t>
  </si>
  <si>
    <t>Lanvigator</t>
  </si>
  <si>
    <t>S600</t>
  </si>
  <si>
    <t>0118</t>
  </si>
  <si>
    <t>F001-00001668</t>
  </si>
  <si>
    <t>Lanvigator S600 0118 China</t>
  </si>
  <si>
    <t>05504</t>
  </si>
  <si>
    <t>404</t>
  </si>
  <si>
    <t>05536</t>
  </si>
  <si>
    <t>ARO 8.25X22.5 EJE AMERICANO - HUALUN</t>
  </si>
  <si>
    <r>
      <t>F027-00049205</t>
    </r>
    <r>
      <rPr>
        <i/>
        <sz val="8"/>
        <color indexed="62"/>
        <rFont val="Arial"/>
        <family val="2"/>
      </rPr>
      <t>_(299)</t>
    </r>
    <r>
      <rPr>
        <sz val="10"/>
        <color indexed="62"/>
        <rFont val="Arial"/>
        <family val="2"/>
      </rPr>
      <t xml:space="preserve">
</t>
    </r>
    <r>
      <rPr>
        <sz val="8"/>
        <color indexed="62"/>
        <rFont val="Arial"/>
        <family val="2"/>
      </rPr>
      <t>G027-0160966_040319 1
12Llns 12Aros</t>
    </r>
  </si>
  <si>
    <t>OC-05536</t>
  </si>
  <si>
    <t>0319</t>
  </si>
  <si>
    <t>011066</t>
  </si>
  <si>
    <t>0380518</t>
  </si>
  <si>
    <t>0350518</t>
  </si>
  <si>
    <t>257168</t>
  </si>
  <si>
    <t>257169</t>
  </si>
  <si>
    <t>0440815</t>
  </si>
  <si>
    <t>0450815</t>
  </si>
  <si>
    <t>0741016</t>
  </si>
  <si>
    <t>0340518</t>
  </si>
  <si>
    <t>o</t>
  </si>
  <si>
    <t>Actualizacion marcado interno</t>
  </si>
  <si>
    <t>0370518</t>
  </si>
  <si>
    <t>F101-00019215</t>
  </si>
  <si>
    <t>HK859</t>
  </si>
  <si>
    <t>3415</t>
  </si>
  <si>
    <t>SuperHawk HK859 3415 China</t>
  </si>
  <si>
    <t>8060319</t>
  </si>
  <si>
    <t>F001-00001775</t>
  </si>
  <si>
    <t>0820917</t>
  </si>
  <si>
    <t>G-EG01-710</t>
  </si>
  <si>
    <t>0180116</t>
  </si>
  <si>
    <t>8240517</t>
  </si>
  <si>
    <t>0731016</t>
  </si>
  <si>
    <t>0711016</t>
  </si>
  <si>
    <t>0751016</t>
  </si>
  <si>
    <t>0701016</t>
  </si>
  <si>
    <t>257181</t>
  </si>
  <si>
    <t>F101-00019337</t>
  </si>
  <si>
    <t>0210318</t>
  </si>
  <si>
    <t>0220318</t>
  </si>
  <si>
    <t>0270318</t>
  </si>
  <si>
    <t>0230318</t>
  </si>
  <si>
    <t>0330518</t>
  </si>
  <si>
    <t>255947</t>
  </si>
  <si>
    <t xml:space="preserve"> </t>
  </si>
  <si>
    <t>258015</t>
  </si>
  <si>
    <t>8250517</t>
  </si>
  <si>
    <t>8280617</t>
  </si>
  <si>
    <t>258014</t>
  </si>
  <si>
    <t>F101-00019473</t>
  </si>
  <si>
    <t>EG01-823</t>
  </si>
  <si>
    <t>F001-00001971</t>
  </si>
  <si>
    <t>Banda usada mixto</t>
  </si>
  <si>
    <t>011319</t>
  </si>
  <si>
    <t>8260517</t>
  </si>
  <si>
    <t>011157</t>
  </si>
  <si>
    <t>011159</t>
  </si>
  <si>
    <t>0901216</t>
  </si>
  <si>
    <t>0380516</t>
  </si>
  <si>
    <t>0421114</t>
  </si>
  <si>
    <t>0320516</t>
  </si>
  <si>
    <t>257848</t>
  </si>
  <si>
    <t>G030-0079485</t>
  </si>
  <si>
    <t>F101-00019555</t>
  </si>
  <si>
    <t>IZY3W-345</t>
  </si>
  <si>
    <t>LZY3-325</t>
  </si>
  <si>
    <t>RECHAZO No apto para reencauche</t>
  </si>
  <si>
    <t>Kormoran</t>
  </si>
  <si>
    <t>4613</t>
  </si>
  <si>
    <t>4513</t>
  </si>
  <si>
    <t>Rumania</t>
  </si>
  <si>
    <t>8070419</t>
  </si>
  <si>
    <t>8080419</t>
  </si>
  <si>
    <t>F001-0002063</t>
  </si>
  <si>
    <t>Kormoran Kormoran 4613 Rumania</t>
  </si>
  <si>
    <t>Kormoran Kormoran 4513 Rumania</t>
  </si>
  <si>
    <t>0621015</t>
  </si>
  <si>
    <t>0260318</t>
  </si>
  <si>
    <t>0520915</t>
  </si>
  <si>
    <t>258259</t>
  </si>
  <si>
    <t>1191217</t>
  </si>
  <si>
    <t>G030-0079715</t>
  </si>
  <si>
    <t>F001-00019692</t>
  </si>
  <si>
    <t>IDY3-220s/g</t>
  </si>
  <si>
    <t>Rechazo Flanco Averiado</t>
  </si>
  <si>
    <t>F101-00019815</t>
  </si>
  <si>
    <t>S205</t>
  </si>
  <si>
    <t>Sportrak</t>
  </si>
  <si>
    <t>0290217</t>
  </si>
  <si>
    <t>011445</t>
  </si>
  <si>
    <t>F001-00002297</t>
  </si>
  <si>
    <t>Lanvigator S205 0118 China</t>
  </si>
  <si>
    <t>3110</t>
  </si>
  <si>
    <t>8090419</t>
  </si>
  <si>
    <t>Aeolus HN08 3110 China</t>
  </si>
  <si>
    <t>8100519</t>
  </si>
  <si>
    <t>8110519</t>
  </si>
  <si>
    <t>0340615</t>
  </si>
  <si>
    <t>0380615</t>
  </si>
  <si>
    <t>0420518</t>
  </si>
  <si>
    <t>0250318</t>
  </si>
  <si>
    <t>0380317</t>
  </si>
  <si>
    <t>0400615</t>
  </si>
  <si>
    <t>258957</t>
  </si>
  <si>
    <t>012136</t>
  </si>
  <si>
    <r>
      <t xml:space="preserve">F027-00051261
</t>
    </r>
    <r>
      <rPr>
        <sz val="8"/>
        <color indexed="62"/>
        <rFont val="Arial"/>
        <family val="2"/>
      </rPr>
      <t xml:space="preserve">G027-0162811
2Llns </t>
    </r>
  </si>
  <si>
    <t>OC-05605</t>
  </si>
  <si>
    <t>05605</t>
  </si>
  <si>
    <t>F001-00002392</t>
  </si>
  <si>
    <t>EG01-1008</t>
  </si>
  <si>
    <t>F101-00020041</t>
  </si>
  <si>
    <t>8120519</t>
  </si>
  <si>
    <t>8130519</t>
  </si>
  <si>
    <t>Turnpike</t>
  </si>
  <si>
    <t>TB878</t>
  </si>
  <si>
    <t>3116</t>
  </si>
  <si>
    <t>Techking</t>
  </si>
  <si>
    <t>TKDM III</t>
  </si>
  <si>
    <t>1816</t>
  </si>
  <si>
    <t>Turnpike TB878 3116 China</t>
  </si>
  <si>
    <t>Techking TKDM III 1816 China</t>
  </si>
  <si>
    <t>F001-00002414</t>
  </si>
  <si>
    <t>8060115</t>
  </si>
  <si>
    <t>012161</t>
  </si>
  <si>
    <t>0270316</t>
  </si>
  <si>
    <t>0150116</t>
  </si>
  <si>
    <t>0560915</t>
  </si>
  <si>
    <t>0401114</t>
  </si>
  <si>
    <t>0871215</t>
  </si>
  <si>
    <t>258973</t>
  </si>
  <si>
    <t>F101-00020129</t>
  </si>
  <si>
    <t>IDY2-220</t>
  </si>
  <si>
    <t>G030-0080317</t>
  </si>
  <si>
    <t>0050116</t>
  </si>
  <si>
    <t>012192</t>
  </si>
  <si>
    <t>0901215</t>
  </si>
  <si>
    <t>F001-0002529</t>
  </si>
  <si>
    <t>Ovation</t>
  </si>
  <si>
    <t>1113</t>
  </si>
  <si>
    <t>4815</t>
  </si>
  <si>
    <t>4915</t>
  </si>
  <si>
    <t>RX128</t>
  </si>
  <si>
    <t>DSR266</t>
  </si>
  <si>
    <t>VI702</t>
  </si>
  <si>
    <t>Japon</t>
  </si>
  <si>
    <t xml:space="preserve">8140519 </t>
  </si>
  <si>
    <t>Double Star DSR266 1113 China</t>
  </si>
  <si>
    <t xml:space="preserve">8150519 </t>
  </si>
  <si>
    <t>Triangle TR668 3215 China</t>
  </si>
  <si>
    <t xml:space="preserve">8160519 </t>
  </si>
  <si>
    <t>Ovation VI702 4815 China</t>
  </si>
  <si>
    <t xml:space="preserve">8170519 </t>
  </si>
  <si>
    <t>Ovation VI702 4915 China</t>
  </si>
  <si>
    <t xml:space="preserve">8180519 </t>
  </si>
  <si>
    <t>Falken RX128 4513 Japon</t>
  </si>
  <si>
    <t xml:space="preserve">Double Star </t>
  </si>
  <si>
    <t xml:space="preserve">Ovation </t>
  </si>
  <si>
    <t>EG01-1069</t>
  </si>
  <si>
    <t>F001-00002631</t>
  </si>
  <si>
    <t>012375</t>
  </si>
  <si>
    <t>05632</t>
  </si>
  <si>
    <t>302</t>
  </si>
  <si>
    <t>Golden Crown</t>
  </si>
  <si>
    <t>Amberstone</t>
  </si>
  <si>
    <t>1617</t>
  </si>
  <si>
    <t>3117</t>
  </si>
  <si>
    <t>AT160</t>
  </si>
  <si>
    <t>8190619</t>
  </si>
  <si>
    <t>8200619</t>
  </si>
  <si>
    <t>F001-00002767</t>
  </si>
  <si>
    <t xml:space="preserve"> Golden Crown AT160 1617 China</t>
  </si>
  <si>
    <t xml:space="preserve">  Amberstone 366 3117 China</t>
  </si>
  <si>
    <t>AFE-989</t>
  </si>
  <si>
    <t>402</t>
  </si>
  <si>
    <t>05643</t>
  </si>
  <si>
    <t>OC-05632</t>
  </si>
  <si>
    <t>OC-05643</t>
  </si>
  <si>
    <r>
      <t xml:space="preserve">F027-00052729
</t>
    </r>
    <r>
      <rPr>
        <sz val="8"/>
        <color indexed="62"/>
        <rFont val="Arial"/>
        <family val="2"/>
      </rPr>
      <t>G027-0164113
12LlnsMx 12Aros</t>
    </r>
  </si>
  <si>
    <r>
      <t xml:space="preserve">F027-000
</t>
    </r>
    <r>
      <rPr>
        <sz val="8"/>
        <color indexed="62"/>
        <rFont val="Arial"/>
        <family val="2"/>
      </rPr>
      <t>G027-0052094
12LlnsMx 12Aros 06LlntsDr</t>
    </r>
  </si>
  <si>
    <t>LLANTA 11R22.5-16 TL HN257 AEOLUS</t>
  </si>
  <si>
    <t>EG01-1206</t>
  </si>
  <si>
    <t>0751115</t>
  </si>
  <si>
    <t>0681015</t>
  </si>
  <si>
    <t>0130114</t>
  </si>
  <si>
    <t>0450517</t>
  </si>
  <si>
    <t>0180218</t>
  </si>
  <si>
    <t>0520616</t>
  </si>
  <si>
    <t>0370615</t>
  </si>
  <si>
    <t>0550915</t>
  </si>
  <si>
    <t>0610716</t>
  </si>
  <si>
    <t>0801116</t>
  </si>
  <si>
    <t>259642</t>
  </si>
  <si>
    <t>259641</t>
  </si>
  <si>
    <t>F101-00020618</t>
  </si>
  <si>
    <t>012624</t>
  </si>
  <si>
    <t>Ingreso a Base 01/07/2019 a las  10:25hrs aprox</t>
  </si>
  <si>
    <t>Daños 03 Llantas voladas y 03 aros doblados (inservible)</t>
  </si>
  <si>
    <t>P 01</t>
  </si>
  <si>
    <t>P 05</t>
  </si>
  <si>
    <t>P 09</t>
  </si>
  <si>
    <t>Cod: 1101217 Vikrant    Coc 13mm</t>
  </si>
  <si>
    <t>Cod: 033912  Aeolus    Coc 16mm</t>
  </si>
  <si>
    <t>Cod: 0660617 Aeolus    Coc 17mm</t>
  </si>
  <si>
    <t>Llantas con aro  voladas inservibles</t>
  </si>
  <si>
    <t>Llanta</t>
  </si>
  <si>
    <t>Vida</t>
  </si>
  <si>
    <t>Nuevo</t>
  </si>
  <si>
    <t xml:space="preserve"> Valor</t>
  </si>
  <si>
    <t>Nueva</t>
  </si>
  <si>
    <t>Tc :</t>
  </si>
  <si>
    <t>Llantas de reemplazo en C-344</t>
  </si>
  <si>
    <t>Cod: 8200619 GoldenCrown Cc13mm</t>
  </si>
  <si>
    <t>Cod: 8160519  Triangle    Coc 15mm</t>
  </si>
  <si>
    <t>Cod: 8180519  Ovation    Coc 17mm</t>
  </si>
  <si>
    <r>
      <t xml:space="preserve">Plataforma C-344   B1Y-978                     </t>
    </r>
    <r>
      <rPr>
        <i/>
        <sz val="9"/>
        <color rgb="FFFF0000"/>
        <rFont val="Arial"/>
        <family val="2"/>
      </rPr>
      <t>al Lunes, 01/07/2019</t>
    </r>
  </si>
  <si>
    <t>0400518</t>
  </si>
  <si>
    <t>0471214</t>
  </si>
  <si>
    <t>0170116</t>
  </si>
  <si>
    <t>0260217</t>
  </si>
  <si>
    <t>260761</t>
  </si>
  <si>
    <t>4917</t>
  </si>
  <si>
    <t>Reencauchada Mastercaucho</t>
  </si>
  <si>
    <t>Annaite</t>
  </si>
  <si>
    <t>F001-00002933</t>
  </si>
  <si>
    <t>EG01-1310</t>
  </si>
  <si>
    <t>8210719</t>
  </si>
  <si>
    <t>MDY-220 Annaite 300 4917 China</t>
  </si>
  <si>
    <t xml:space="preserve"> Lanvigator S600 0118 China</t>
  </si>
  <si>
    <t>EN DESECHO AL 05/07/19</t>
  </si>
  <si>
    <t>G030-0081435</t>
  </si>
  <si>
    <t>F101-00020862</t>
  </si>
  <si>
    <t>0080115</t>
  </si>
  <si>
    <t>EG01-1322</t>
  </si>
  <si>
    <t>012675</t>
  </si>
  <si>
    <t>031912</t>
  </si>
  <si>
    <t>8220618</t>
  </si>
  <si>
    <t>0390516</t>
  </si>
  <si>
    <t>0160218</t>
  </si>
  <si>
    <t>0150218</t>
  </si>
  <si>
    <t>260790</t>
  </si>
  <si>
    <t>G030-0081578</t>
  </si>
  <si>
    <t>F101-00020941</t>
  </si>
  <si>
    <t>0101217</t>
  </si>
  <si>
    <t>012709</t>
  </si>
  <si>
    <t>4417</t>
  </si>
  <si>
    <t>Double Happines DR928 4417 China</t>
  </si>
  <si>
    <t>F001-00003092</t>
  </si>
  <si>
    <t>EG01-1386</t>
  </si>
  <si>
    <t>0630718</t>
  </si>
  <si>
    <t>0640718</t>
  </si>
  <si>
    <t>0620718</t>
  </si>
  <si>
    <t>0921216</t>
  </si>
  <si>
    <t>0710617</t>
  </si>
  <si>
    <t>261120</t>
  </si>
  <si>
    <t>261124</t>
  </si>
  <si>
    <t>0330615</t>
  </si>
  <si>
    <t>0510616</t>
  </si>
  <si>
    <t>261126</t>
  </si>
  <si>
    <t>F101-00021128</t>
  </si>
  <si>
    <t>para reencauchar</t>
  </si>
  <si>
    <t>EG01-1421</t>
  </si>
  <si>
    <t>F001-00002174</t>
  </si>
  <si>
    <t>0300216</t>
  </si>
  <si>
    <t>012686</t>
  </si>
  <si>
    <t>05675</t>
  </si>
  <si>
    <t>173</t>
  </si>
  <si>
    <r>
      <t xml:space="preserve">F027-00054231
</t>
    </r>
    <r>
      <rPr>
        <sz val="8"/>
        <color indexed="62"/>
        <rFont val="Arial"/>
        <family val="2"/>
      </rPr>
      <t>G027-0165474
12LlnsMx 12Aros 08LlntsTrc</t>
    </r>
  </si>
  <si>
    <t>OC-05675</t>
  </si>
  <si>
    <t>338</t>
  </si>
  <si>
    <t>8310819</t>
  </si>
  <si>
    <t>8391018</t>
  </si>
  <si>
    <t>8300819</t>
  </si>
  <si>
    <t>8050319</t>
  </si>
  <si>
    <t>8431118</t>
  </si>
  <si>
    <t>8381018</t>
  </si>
  <si>
    <t>8290819</t>
  </si>
  <si>
    <t>8260819</t>
  </si>
  <si>
    <t>8371018</t>
  </si>
  <si>
    <t>0390615</t>
  </si>
  <si>
    <t>261139</t>
  </si>
  <si>
    <t>261140</t>
  </si>
  <si>
    <t>G030-0081936</t>
  </si>
  <si>
    <t>F101-000212329</t>
  </si>
  <si>
    <t>REPARACION EN FLANCO</t>
  </si>
  <si>
    <t>F001-00003260</t>
  </si>
  <si>
    <t>EG01-1471</t>
  </si>
  <si>
    <t>G030-0082107</t>
  </si>
  <si>
    <t>F101-00021307</t>
  </si>
  <si>
    <t>0090116</t>
  </si>
  <si>
    <t>05699</t>
  </si>
  <si>
    <t>Reencauchada IDY3-220 X Renova</t>
  </si>
  <si>
    <t>Casco/Reenc MDY-220 x Mastercaucho</t>
  </si>
  <si>
    <t>8320819</t>
  </si>
  <si>
    <t>8330819</t>
  </si>
  <si>
    <t>F001-00003418</t>
  </si>
  <si>
    <t>Double Happines DR908 1018 China MDY-220</t>
  </si>
  <si>
    <t>0290316</t>
  </si>
  <si>
    <t>0160116</t>
  </si>
  <si>
    <t>0140116</t>
  </si>
  <si>
    <t>0360516</t>
  </si>
  <si>
    <t>0260215</t>
  </si>
  <si>
    <t>0541214</t>
  </si>
  <si>
    <t>2717</t>
  </si>
  <si>
    <t>F001-00003497</t>
  </si>
  <si>
    <t>Double Happines DR928 2717 China</t>
  </si>
  <si>
    <t>013128</t>
  </si>
  <si>
    <t>261826</t>
  </si>
  <si>
    <t>261825</t>
  </si>
  <si>
    <t>G030-0082529</t>
  </si>
  <si>
    <t>F101-00021620</t>
  </si>
  <si>
    <t>EG01-1625</t>
  </si>
  <si>
    <t xml:space="preserve"> RECHAZADA-250310 Llanta con casco soplado, banda pelada, REINGR A RENOVA 260310</t>
  </si>
  <si>
    <t xml:space="preserve"> [Llnt 21mm] Corte banda 03cm x objt tublr atrvza carcs</t>
  </si>
  <si>
    <t>Reenc extraño No Procede (AMC) despred de banda</t>
  </si>
  <si>
    <t>Casco sopld falla en casco, Rem 12mm, desechada</t>
  </si>
  <si>
    <t xml:space="preserve"> Con banda transplntd 12mm  [ Goodyear - 018072003] (RECLAMO)</t>
  </si>
  <si>
    <t>0831215</t>
  </si>
  <si>
    <t>8200517</t>
  </si>
  <si>
    <t>0760818</t>
  </si>
  <si>
    <t>0750818</t>
  </si>
  <si>
    <t>262509</t>
  </si>
  <si>
    <t>0381217</t>
  </si>
  <si>
    <t>0721016</t>
  </si>
  <si>
    <t>262508</t>
  </si>
  <si>
    <t>DOUPRO</t>
  </si>
  <si>
    <t>ST901</t>
  </si>
  <si>
    <t>3218</t>
  </si>
  <si>
    <t>DOUPRO ST901 3218 China</t>
  </si>
  <si>
    <t>8340919</t>
  </si>
  <si>
    <t>EG01-1644</t>
  </si>
  <si>
    <t>0870408</t>
  </si>
  <si>
    <t>013104</t>
  </si>
  <si>
    <t>G031-0031011</t>
  </si>
  <si>
    <t>F101-00021759</t>
  </si>
  <si>
    <t>G030-0082756</t>
  </si>
  <si>
    <r>
      <t xml:space="preserve">F027-00056178
</t>
    </r>
    <r>
      <rPr>
        <sz val="8"/>
        <color indexed="62"/>
        <rFont val="Arial"/>
        <family val="2"/>
      </rPr>
      <t>G027-0167152 G078-0063128
06LlnsDir 06Aros 08LlntsTrc</t>
    </r>
  </si>
  <si>
    <t>OC-05737</t>
  </si>
  <si>
    <t>175</t>
  </si>
  <si>
    <t>05737</t>
  </si>
  <si>
    <r>
      <t xml:space="preserve"> Enllante x C&amp;C  </t>
    </r>
    <r>
      <rPr>
        <i/>
        <sz val="8"/>
        <color rgb="FFC00000"/>
        <rFont val="Arial"/>
        <family val="2"/>
      </rPr>
      <t>Kw-Rojo</t>
    </r>
  </si>
  <si>
    <t>F001-00003664</t>
  </si>
  <si>
    <t>EG01-1702</t>
  </si>
  <si>
    <t>3618</t>
  </si>
  <si>
    <t>Ovation VI702 3618 China</t>
  </si>
  <si>
    <t>835-0919</t>
  </si>
  <si>
    <t>F001- 00003698</t>
  </si>
  <si>
    <t>090612</t>
  </si>
  <si>
    <t>8361019</t>
  </si>
  <si>
    <t>8371019</t>
  </si>
  <si>
    <t>013335</t>
  </si>
  <si>
    <t>HK828</t>
  </si>
  <si>
    <t>2615</t>
  </si>
  <si>
    <t>3917</t>
  </si>
  <si>
    <t>SuperHawk HK828 2615 China</t>
  </si>
  <si>
    <t>Annaite 300 3917 China</t>
  </si>
  <si>
    <t>F001-00003740</t>
  </si>
  <si>
    <t>F001-00003752</t>
  </si>
  <si>
    <t>EG01-1738</t>
  </si>
  <si>
    <t>013522</t>
  </si>
  <si>
    <t>0170218</t>
  </si>
  <si>
    <t>0530517</t>
  </si>
  <si>
    <t>0130116</t>
  </si>
  <si>
    <t>0280318</t>
  </si>
  <si>
    <t>263215</t>
  </si>
  <si>
    <t>013565</t>
  </si>
  <si>
    <t>Compasal</t>
  </si>
  <si>
    <t>0717</t>
  </si>
  <si>
    <t>0719</t>
  </si>
  <si>
    <t>4518</t>
  </si>
  <si>
    <t>TR666</t>
  </si>
  <si>
    <t>CPS60</t>
  </si>
  <si>
    <t>Transp DUO</t>
  </si>
  <si>
    <t>Vino en R-175  ALW-703 (Kw rojo Usd)</t>
  </si>
  <si>
    <t>D801</t>
  </si>
  <si>
    <t>3816</t>
  </si>
  <si>
    <t>8481019</t>
  </si>
  <si>
    <t>APLUS</t>
  </si>
  <si>
    <t>F001-00003853</t>
  </si>
  <si>
    <t>EG01-1817</t>
  </si>
  <si>
    <t>APLUS D801 3816 China</t>
  </si>
  <si>
    <t>EG01-1818</t>
  </si>
  <si>
    <t>F102-00017204</t>
  </si>
  <si>
    <t>263230</t>
  </si>
  <si>
    <t>0391114</t>
  </si>
  <si>
    <t>0700617</t>
  </si>
  <si>
    <t>F102-00017274</t>
  </si>
  <si>
    <t>8491019</t>
  </si>
  <si>
    <t>8501019</t>
  </si>
  <si>
    <t>8511019</t>
  </si>
  <si>
    <t>F001-00003940</t>
  </si>
  <si>
    <t>T001-0000040</t>
  </si>
  <si>
    <t>DR908 1018 China</t>
  </si>
  <si>
    <t>0700905</t>
  </si>
  <si>
    <t>0380309</t>
  </si>
  <si>
    <t>013669</t>
  </si>
  <si>
    <t>8521119</t>
  </si>
  <si>
    <t>8531119</t>
  </si>
  <si>
    <t>8541119</t>
  </si>
  <si>
    <t>JY601</t>
  </si>
  <si>
    <t>D802</t>
  </si>
  <si>
    <t>1118</t>
  </si>
  <si>
    <t>0515</t>
  </si>
  <si>
    <t>Lanvigator D802 1118 China</t>
  </si>
  <si>
    <t>JINYU JY601 0515 China</t>
  </si>
  <si>
    <t>No apto para transplante</t>
  </si>
  <si>
    <t>T001-0000069</t>
  </si>
  <si>
    <t>F001-00004008</t>
  </si>
  <si>
    <t>Fesite</t>
  </si>
  <si>
    <t>0070118</t>
  </si>
  <si>
    <t>0080118</t>
  </si>
  <si>
    <t>0060118</t>
  </si>
  <si>
    <t>0050118</t>
  </si>
  <si>
    <t>1101118</t>
  </si>
  <si>
    <t>1091118</t>
  </si>
  <si>
    <t>1111118</t>
  </si>
  <si>
    <t>263723</t>
  </si>
  <si>
    <t>013681</t>
  </si>
  <si>
    <t>1121118</t>
  </si>
  <si>
    <t>8290818</t>
  </si>
  <si>
    <t>013805</t>
  </si>
  <si>
    <r>
      <t xml:space="preserve">F027-00057668
</t>
    </r>
    <r>
      <rPr>
        <sz val="8"/>
        <color indexed="62"/>
        <rFont val="Arial"/>
        <family val="2"/>
      </rPr>
      <t xml:space="preserve">G027-0168504 y G020-024???
04 Llnts445/65R22.5  04Llns 235/55R18H 20ArosArtill </t>
    </r>
  </si>
  <si>
    <t>LLANTA 445/65R22.5-20 TL AGC28 AEOLUS</t>
  </si>
  <si>
    <t>LLANTA 235/55R18H TL H426 HANKOOK</t>
  </si>
  <si>
    <t>OC-05773</t>
  </si>
  <si>
    <r>
      <t xml:space="preserve"> Enllante x C&amp;C  </t>
    </r>
    <r>
      <rPr>
        <sz val="7"/>
        <color rgb="FFFF0000"/>
        <rFont val="Arial"/>
        <family val="2"/>
      </rPr>
      <t>Se pasa al R-172(09-11-19)</t>
    </r>
  </si>
  <si>
    <r>
      <t xml:space="preserve"> Enllante x C&amp;C  </t>
    </r>
    <r>
      <rPr>
        <sz val="7"/>
        <color rgb="FF9148C8"/>
        <rFont val="Arial"/>
        <family val="2"/>
      </rPr>
      <t>Sp-Sg (445/65 R22.5 AGC28)</t>
    </r>
  </si>
  <si>
    <t>05773</t>
  </si>
  <si>
    <t>T001-0000097</t>
  </si>
  <si>
    <t>F001-00004073</t>
  </si>
  <si>
    <t>F101-00022269</t>
  </si>
  <si>
    <t>F001-00004152</t>
  </si>
  <si>
    <t>5016</t>
  </si>
  <si>
    <t xml:space="preserve"> SAILUM s606 5016 China</t>
  </si>
  <si>
    <t>F001-00004205</t>
  </si>
  <si>
    <t>T001-0000172</t>
  </si>
  <si>
    <t>8561219</t>
  </si>
  <si>
    <t>8571219</t>
  </si>
  <si>
    <t>1031216</t>
  </si>
  <si>
    <t>013923</t>
  </si>
  <si>
    <t>0971017</t>
  </si>
  <si>
    <t>1031018</t>
  </si>
  <si>
    <t>0030116</t>
  </si>
  <si>
    <t>0971018</t>
  </si>
  <si>
    <t>0991018</t>
  </si>
  <si>
    <t>0651015</t>
  </si>
  <si>
    <t>0540616</t>
  </si>
  <si>
    <t>0530616</t>
  </si>
  <si>
    <t>00130117</t>
  </si>
  <si>
    <t>2642966</t>
  </si>
  <si>
    <t>2642967</t>
  </si>
  <si>
    <t>S606</t>
  </si>
  <si>
    <t>2818</t>
  </si>
  <si>
    <t xml:space="preserve"> Annaite 300 2818 China</t>
  </si>
  <si>
    <t>EG01-1900</t>
  </si>
  <si>
    <t>E001-583</t>
  </si>
  <si>
    <t>8581219</t>
  </si>
  <si>
    <t>8591219</t>
  </si>
  <si>
    <t>013933</t>
  </si>
  <si>
    <t>F101-00022716</t>
  </si>
  <si>
    <t>G030-0084030</t>
  </si>
  <si>
    <t>Averia en banda, NO apto p Reenc</t>
  </si>
  <si>
    <t>Flanco averiado, NO apto p Reenc</t>
  </si>
  <si>
    <t>Rodada Baja, NO apto p Reenc</t>
  </si>
  <si>
    <t>0190116</t>
  </si>
  <si>
    <t>0250316</t>
  </si>
  <si>
    <t>0100116</t>
  </si>
  <si>
    <t>0240316</t>
  </si>
  <si>
    <t>0230316</t>
  </si>
  <si>
    <t>0260316</t>
  </si>
  <si>
    <t>1091216</t>
  </si>
  <si>
    <t>1041216</t>
  </si>
  <si>
    <t>1081216</t>
  </si>
  <si>
    <t>0040116</t>
  </si>
  <si>
    <t>264816</t>
  </si>
  <si>
    <t>264817</t>
  </si>
  <si>
    <t>F101-00022827</t>
  </si>
  <si>
    <t>Flanco soplado, NO apto p Reenc</t>
  </si>
  <si>
    <t>EG01-1951</t>
  </si>
  <si>
    <t>D350</t>
  </si>
  <si>
    <t>G686 MSS</t>
  </si>
  <si>
    <t>4517</t>
  </si>
  <si>
    <t>3314</t>
  </si>
  <si>
    <t xml:space="preserve"> Turnpike D350 4517 China</t>
  </si>
  <si>
    <t xml:space="preserve">  Goodyear G686 MSS 3314 Brasil</t>
  </si>
  <si>
    <t>E001-702</t>
  </si>
  <si>
    <t>8601219</t>
  </si>
  <si>
    <t>8611219</t>
  </si>
  <si>
    <t>8220418</t>
  </si>
  <si>
    <t>0130117</t>
  </si>
  <si>
    <t>02767</t>
  </si>
  <si>
    <t xml:space="preserve">   TOTAL AROS</t>
  </si>
  <si>
    <t xml:space="preserve">   TOTAL LLANTAS</t>
  </si>
  <si>
    <t>LLANTA 11R22.5-16 TL ADC53 AEOLUS</t>
  </si>
  <si>
    <t xml:space="preserve">   P. U.</t>
  </si>
  <si>
    <t>Descripcion</t>
  </si>
  <si>
    <t>VI-638</t>
  </si>
  <si>
    <t xml:space="preserve">  Ovation VI-638 4417 China</t>
  </si>
  <si>
    <t>F001-747</t>
  </si>
  <si>
    <t>EG01-1970</t>
  </si>
  <si>
    <t>G030-0084276</t>
  </si>
  <si>
    <t>80010120</t>
  </si>
  <si>
    <t>80020120</t>
  </si>
  <si>
    <t>014172</t>
  </si>
  <si>
    <t>0350615</t>
  </si>
  <si>
    <t>0490517</t>
  </si>
  <si>
    <t>1021216</t>
  </si>
  <si>
    <t>0900917</t>
  </si>
  <si>
    <t>0910917</t>
  </si>
  <si>
    <t>0060116</t>
  </si>
  <si>
    <t>0641015</t>
  </si>
  <si>
    <t>265711</t>
  </si>
  <si>
    <t>G751 MSA</t>
  </si>
  <si>
    <t xml:space="preserve"> Goodyear G751 MSA 4416 U.S:A.</t>
  </si>
  <si>
    <t>E001-925</t>
  </si>
  <si>
    <t>EG01-2065</t>
  </si>
  <si>
    <t>F101-00023178</t>
  </si>
  <si>
    <t>G030-0084706</t>
  </si>
  <si>
    <r>
      <t xml:space="preserve"> Enllante x C&amp;C  </t>
    </r>
    <r>
      <rPr>
        <i/>
        <sz val="8"/>
        <color rgb="FF008000"/>
        <rFont val="Arial"/>
        <family val="2"/>
      </rPr>
      <t>Kw-Verde repotenciado</t>
    </r>
  </si>
  <si>
    <t xml:space="preserve"> Enllante x C&amp;C  x Ex169 x reinstalar (28/09 falla mec)</t>
  </si>
  <si>
    <t>05819</t>
  </si>
  <si>
    <r>
      <t xml:space="preserve"> Enllante x C&amp;C  </t>
    </r>
    <r>
      <rPr>
        <i/>
        <sz val="8"/>
        <color rgb="FF008000"/>
        <rFont val="Arial"/>
        <family val="2"/>
      </rPr>
      <t>Kw-Verde repotenciado con eje americano</t>
    </r>
  </si>
  <si>
    <r>
      <t xml:space="preserve">F027-00059564
</t>
    </r>
    <r>
      <rPr>
        <sz val="8"/>
        <color indexed="62"/>
        <rFont val="Arial"/>
        <family val="2"/>
      </rPr>
      <t xml:space="preserve">G020-024???(30/12/19)
2LlnsDr 2Aros Atll 8LlntsTrc 8ArosAmer </t>
    </r>
  </si>
  <si>
    <t>OC-05819</t>
  </si>
  <si>
    <t>8451118</t>
  </si>
  <si>
    <t>0410417</t>
  </si>
  <si>
    <t>8210714</t>
  </si>
  <si>
    <t>0570718</t>
  </si>
  <si>
    <t>014406</t>
  </si>
  <si>
    <t>EG01-2122</t>
  </si>
  <si>
    <t>F001-00004305</t>
  </si>
  <si>
    <t>0540718</t>
  </si>
  <si>
    <t>0550718</t>
  </si>
  <si>
    <t>1021117</t>
  </si>
  <si>
    <t>8461019</t>
  </si>
  <si>
    <t>0480816</t>
  </si>
  <si>
    <t>1151217</t>
  </si>
  <si>
    <t>8060218</t>
  </si>
  <si>
    <t>266358</t>
  </si>
  <si>
    <t>8270819</t>
  </si>
  <si>
    <t>1051216</t>
  </si>
  <si>
    <t>1071216</t>
  </si>
  <si>
    <t>0480517</t>
  </si>
  <si>
    <t>266359</t>
  </si>
  <si>
    <t>G031-0032842</t>
  </si>
  <si>
    <t>F101-00023447</t>
  </si>
  <si>
    <t>014437</t>
  </si>
  <si>
    <t>8280919</t>
  </si>
  <si>
    <t>2617</t>
  </si>
  <si>
    <t>1814</t>
  </si>
  <si>
    <t xml:space="preserve"> Goodyear G751 MSA 2617 U.S:A.</t>
  </si>
  <si>
    <t xml:space="preserve">  SAILUM S815 1814 China</t>
  </si>
  <si>
    <t>8030220</t>
  </si>
  <si>
    <t>8040220</t>
  </si>
  <si>
    <t>F001-00004559</t>
  </si>
  <si>
    <t>0530718</t>
  </si>
  <si>
    <t>EG01-2280</t>
  </si>
  <si>
    <t>014525</t>
  </si>
  <si>
    <t>TpJ</t>
  </si>
  <si>
    <t>TpH</t>
  </si>
  <si>
    <t>GrandStone</t>
  </si>
  <si>
    <t>GT168</t>
  </si>
  <si>
    <t>1219</t>
  </si>
  <si>
    <t>8050320</t>
  </si>
  <si>
    <t>8060320</t>
  </si>
  <si>
    <t>8070320</t>
  </si>
  <si>
    <t>014507</t>
  </si>
  <si>
    <t>F001-00004642</t>
  </si>
  <si>
    <t xml:space="preserve"> GrandStone GT168 1219 China</t>
  </si>
  <si>
    <t xml:space="preserve"> Double Happines DR908 1018 China</t>
  </si>
</sst>
</file>

<file path=xl/styles.xml><?xml version="1.0" encoding="utf-8"?>
<styleSheet xmlns="http://schemas.openxmlformats.org/spreadsheetml/2006/main">
  <numFmts count="35"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_P_t_s_-;\-* #,##0.00\ _P_t_s_-;_-* &quot;-&quot;??\ _P_t_s_-;_-@_-"/>
    <numFmt numFmtId="166" formatCode="0.0000"/>
    <numFmt numFmtId="167" formatCode="d\-mmm\-yy"/>
    <numFmt numFmtId="168" formatCode="ddd\,\ dd\-mm\-yy"/>
    <numFmt numFmtId="169" formatCode="ddd\,dd/mm/yy"/>
    <numFmt numFmtId="170" formatCode="\ @"/>
    <numFmt numFmtId="171" formatCode="ddd\,\ dd/mm/yy"/>
    <numFmt numFmtId="172" formatCode="000&quot;-&quot;00&quot;-&quot;00"/>
    <numFmt numFmtId="173" formatCode="#,##0.00\ \ "/>
    <numFmt numFmtId="174" formatCode="00"/>
    <numFmt numFmtId="175" formatCode="#,##0.00\ "/>
    <numFmt numFmtId="176" formatCode="#,##0.000"/>
    <numFmt numFmtId="177" formatCode="#,##0\ \ "/>
    <numFmt numFmtId="178" formatCode="dddd\,\ dd\ &quot; de &quot;mmmm&quot; de &quot;yyyy"/>
    <numFmt numFmtId="179" formatCode="#,##0.0000"/>
    <numFmt numFmtId="180" formatCode="&quot;US $ &quot;\ ###,##0.00"/>
    <numFmt numFmtId="181" formatCode="&quot;S/. &quot;\ ###,##0.00"/>
    <numFmt numFmtId="182" formatCode="&quot;T.C. Prom SUNAT  =&quot;\ #,##0.0000"/>
    <numFmt numFmtId="183" formatCode="#,##0.0000\ "/>
    <numFmt numFmtId="184" formatCode="mmmm\ \-\ yyyy"/>
    <numFmt numFmtId="185" formatCode="#,##0\ "/>
    <numFmt numFmtId="186" formatCode="yyyy"/>
    <numFmt numFmtId="187" formatCode="mmmm\ yyyy"/>
    <numFmt numFmtId="188" formatCode="0000&quot;-&quot;00&quot;-&quot;00"/>
    <numFmt numFmtId="189" formatCode="mmm"/>
    <numFmt numFmtId="190" formatCode="#,##0.00000"/>
    <numFmt numFmtId="191" formatCode="0_);\(0\)"/>
    <numFmt numFmtId="192" formatCode="00&quot;-&quot;00&quot;-&quot;00"/>
    <numFmt numFmtId="193" formatCode="0.0%"/>
    <numFmt numFmtId="194" formatCode="000"/>
    <numFmt numFmtId="195" formatCode="[$-F800]dddd\,\ mmmm\ dd\,\ yyyy"/>
    <numFmt numFmtId="196" formatCode="dd/mm/yyyy;@"/>
  </numFmts>
  <fonts count="330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9"/>
      <color indexed="12"/>
      <name val="Arial"/>
      <family val="2"/>
    </font>
    <font>
      <sz val="9.5"/>
      <color indexed="12"/>
      <name val="Arial"/>
      <family val="2"/>
    </font>
    <font>
      <sz val="10"/>
      <color indexed="12"/>
      <name val="Arial"/>
      <family val="2"/>
    </font>
    <font>
      <b/>
      <i/>
      <sz val="9.5"/>
      <color indexed="10"/>
      <name val="Arial"/>
      <family val="2"/>
    </font>
    <font>
      <b/>
      <sz val="10"/>
      <name val="Arial"/>
      <family val="2"/>
    </font>
    <font>
      <sz val="9.5"/>
      <color indexed="10"/>
      <name val="Arial"/>
      <family val="2"/>
    </font>
    <font>
      <b/>
      <i/>
      <u/>
      <sz val="16"/>
      <name val="MS Reference Sans Serif"/>
      <family val="2"/>
    </font>
    <font>
      <i/>
      <sz val="14"/>
      <color indexed="10"/>
      <name val="Cambria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b/>
      <sz val="9"/>
      <color indexed="12"/>
      <name val="Arial"/>
      <family val="2"/>
    </font>
    <font>
      <sz val="7.5"/>
      <name val="Arial"/>
      <family val="2"/>
    </font>
    <font>
      <b/>
      <sz val="9.5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7.5"/>
      <name val="Arial Narrow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7.5"/>
      <color indexed="10"/>
      <name val="Arial Narrow"/>
      <family val="2"/>
    </font>
    <font>
      <sz val="9"/>
      <color indexed="62"/>
      <name val="Arial"/>
      <family val="2"/>
    </font>
    <font>
      <b/>
      <sz val="8"/>
      <name val="Arial"/>
      <family val="2"/>
    </font>
    <font>
      <sz val="9"/>
      <color indexed="61"/>
      <name val="Arial"/>
      <family val="2"/>
    </font>
    <font>
      <sz val="11"/>
      <color indexed="61"/>
      <name val="Arial"/>
      <family val="2"/>
    </font>
    <font>
      <sz val="7.5"/>
      <color indexed="61"/>
      <name val="Arial Narrow"/>
      <family val="2"/>
    </font>
    <font>
      <sz val="9"/>
      <color indexed="20"/>
      <name val="Arial"/>
      <family val="2"/>
    </font>
    <font>
      <sz val="11"/>
      <color indexed="20"/>
      <name val="Arial"/>
      <family val="2"/>
    </font>
    <font>
      <sz val="7.5"/>
      <color indexed="20"/>
      <name val="Arial Narrow"/>
      <family val="2"/>
    </font>
    <font>
      <b/>
      <i/>
      <sz val="10"/>
      <color indexed="17"/>
      <name val="Arial"/>
      <family val="2"/>
    </font>
    <font>
      <i/>
      <sz val="12"/>
      <color indexed="17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sz val="7.5"/>
      <color indexed="12"/>
      <name val="Arial Narrow"/>
      <family val="2"/>
    </font>
    <font>
      <sz val="8"/>
      <color indexed="12"/>
      <name val="Arial"/>
      <family val="2"/>
    </font>
    <font>
      <i/>
      <sz val="11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9.5"/>
      <color indexed="62"/>
      <name val="Arial"/>
      <family val="2"/>
    </font>
    <font>
      <sz val="8"/>
      <color indexed="6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20"/>
      <name val="Arial"/>
      <family val="2"/>
    </font>
    <font>
      <b/>
      <i/>
      <sz val="14"/>
      <color indexed="20"/>
      <name val="Arial"/>
      <family val="2"/>
    </font>
    <font>
      <b/>
      <sz val="11"/>
      <color indexed="20"/>
      <name val="Arial"/>
      <family val="2"/>
    </font>
    <font>
      <b/>
      <i/>
      <sz val="12"/>
      <color indexed="20"/>
      <name val="Arial"/>
      <family val="2"/>
    </font>
    <font>
      <b/>
      <i/>
      <sz val="10"/>
      <color indexed="20"/>
      <name val="Arial"/>
      <family val="2"/>
    </font>
    <font>
      <b/>
      <i/>
      <sz val="11"/>
      <name val="Arial"/>
      <family val="2"/>
    </font>
    <font>
      <sz val="9.5"/>
      <color indexed="20"/>
      <name val="Arial"/>
      <family val="2"/>
    </font>
    <font>
      <b/>
      <i/>
      <sz val="10"/>
      <color indexed="12"/>
      <name val="Arial"/>
      <family val="2"/>
    </font>
    <font>
      <i/>
      <sz val="12"/>
      <color indexed="12"/>
      <name val="Arial"/>
      <family val="2"/>
    </font>
    <font>
      <sz val="10"/>
      <color indexed="20"/>
      <name val="Arial"/>
      <family val="2"/>
    </font>
    <font>
      <sz val="8"/>
      <color indexed="20"/>
      <name val="Arial"/>
      <family val="2"/>
    </font>
    <font>
      <b/>
      <sz val="9"/>
      <color indexed="20"/>
      <name val="Arial"/>
      <family val="2"/>
    </font>
    <font>
      <b/>
      <i/>
      <sz val="13"/>
      <color indexed="20"/>
      <name val="WST_Span"/>
      <family val="5"/>
      <charset val="2"/>
    </font>
    <font>
      <b/>
      <i/>
      <sz val="16"/>
      <color indexed="20"/>
      <name val="Arial"/>
      <family val="2"/>
    </font>
    <font>
      <sz val="9"/>
      <color indexed="18"/>
      <name val="Arial"/>
      <family val="2"/>
    </font>
    <font>
      <sz val="9"/>
      <color indexed="17"/>
      <name val="Arial"/>
      <family val="2"/>
    </font>
    <font>
      <sz val="11"/>
      <color indexed="17"/>
      <name val="Arial"/>
      <family val="2"/>
    </font>
    <font>
      <sz val="7.5"/>
      <color indexed="17"/>
      <name val="Arial Narrow"/>
      <family val="2"/>
    </font>
    <font>
      <sz val="10"/>
      <color indexed="17"/>
      <name val="Arial"/>
      <family val="2"/>
    </font>
    <font>
      <sz val="9.5"/>
      <color indexed="17"/>
      <name val="Arial"/>
      <family val="2"/>
    </font>
    <font>
      <b/>
      <sz val="9"/>
      <color indexed="20"/>
      <name val="Arial Narrow"/>
      <family val="2"/>
    </font>
    <font>
      <i/>
      <sz val="9"/>
      <color indexed="10"/>
      <name val="Arial"/>
      <family val="2"/>
    </font>
    <font>
      <i/>
      <sz val="10"/>
      <color indexed="17"/>
      <name val="Arial"/>
      <family val="2"/>
    </font>
    <font>
      <b/>
      <i/>
      <sz val="16"/>
      <color indexed="12"/>
      <name val="Arial"/>
      <family val="2"/>
    </font>
    <font>
      <b/>
      <i/>
      <sz val="9"/>
      <color indexed="10"/>
      <name val="Arial"/>
      <family val="2"/>
    </font>
    <font>
      <b/>
      <i/>
      <sz val="13"/>
      <color indexed="12"/>
      <name val="Arial"/>
      <family val="2"/>
    </font>
    <font>
      <b/>
      <sz val="10"/>
      <color indexed="10"/>
      <name val="Arial"/>
      <family val="2"/>
    </font>
    <font>
      <b/>
      <sz val="9.5"/>
      <color indexed="10"/>
      <name val="Arial"/>
      <family val="2"/>
    </font>
    <font>
      <b/>
      <sz val="8"/>
      <color indexed="10"/>
      <name val="Arial"/>
      <family val="2"/>
    </font>
    <font>
      <i/>
      <sz val="9"/>
      <name val="Arial"/>
      <family val="2"/>
    </font>
    <font>
      <sz val="11"/>
      <color indexed="18"/>
      <name val="Arial"/>
      <family val="2"/>
    </font>
    <font>
      <sz val="7.5"/>
      <color indexed="18"/>
      <name val="Arial Narrow"/>
      <family val="2"/>
    </font>
    <font>
      <sz val="10"/>
      <color indexed="18"/>
      <name val="Arial"/>
      <family val="2"/>
    </font>
    <font>
      <sz val="9.5"/>
      <color indexed="18"/>
      <name val="Arial"/>
      <family val="2"/>
    </font>
    <font>
      <sz val="8"/>
      <color indexed="18"/>
      <name val="Arial"/>
      <family val="2"/>
    </font>
    <font>
      <b/>
      <i/>
      <u/>
      <sz val="9"/>
      <name val="Arial"/>
      <family val="2"/>
    </font>
    <font>
      <b/>
      <i/>
      <u/>
      <sz val="11"/>
      <name val="Arial"/>
      <family val="2"/>
    </font>
    <font>
      <u/>
      <sz val="10"/>
      <name val="Arial"/>
      <family val="2"/>
    </font>
    <font>
      <sz val="9"/>
      <color indexed="23"/>
      <name val="Arial"/>
      <family val="2"/>
    </font>
    <font>
      <sz val="9"/>
      <color indexed="16"/>
      <name val="Arial"/>
      <family val="2"/>
    </font>
    <font>
      <sz val="11"/>
      <color indexed="16"/>
      <name val="Arial"/>
      <family val="2"/>
    </font>
    <font>
      <sz val="7.5"/>
      <color indexed="16"/>
      <name val="Arial Narrow"/>
      <family val="2"/>
    </font>
    <font>
      <sz val="10"/>
      <color indexed="16"/>
      <name val="Arial"/>
      <family val="2"/>
    </font>
    <font>
      <sz val="9.5"/>
      <color indexed="16"/>
      <name val="Arial"/>
      <family val="2"/>
    </font>
    <font>
      <sz val="8"/>
      <color indexed="16"/>
      <name val="Arial"/>
      <family val="2"/>
    </font>
    <font>
      <sz val="11"/>
      <color indexed="63"/>
      <name val="Arial"/>
      <family val="2"/>
    </font>
    <font>
      <sz val="6"/>
      <name val="Arial"/>
      <family val="2"/>
    </font>
    <font>
      <sz val="9"/>
      <color indexed="53"/>
      <name val="Arial"/>
      <family val="2"/>
    </font>
    <font>
      <sz val="11"/>
      <color indexed="53"/>
      <name val="Arial"/>
      <family val="2"/>
    </font>
    <font>
      <sz val="7.5"/>
      <color indexed="53"/>
      <name val="Arial Narrow"/>
      <family val="2"/>
    </font>
    <font>
      <sz val="6"/>
      <color indexed="53"/>
      <name val="Arial"/>
      <family val="2"/>
    </font>
    <font>
      <sz val="9.5"/>
      <color indexed="53"/>
      <name val="Arial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sz val="6"/>
      <color indexed="17"/>
      <name val="Arial"/>
      <family val="2"/>
    </font>
    <font>
      <sz val="8"/>
      <color indexed="17"/>
      <name val="Arial"/>
      <family val="2"/>
    </font>
    <font>
      <sz val="6"/>
      <color indexed="20"/>
      <name val="Arial"/>
      <family val="2"/>
    </font>
    <font>
      <b/>
      <i/>
      <sz val="14"/>
      <color indexed="12"/>
      <name val="Arial"/>
      <family val="2"/>
    </font>
    <font>
      <sz val="9"/>
      <color indexed="63"/>
      <name val="Arial"/>
      <family val="2"/>
    </font>
    <font>
      <sz val="7.5"/>
      <color indexed="63"/>
      <name val="Arial Narrow"/>
      <family val="2"/>
    </font>
    <font>
      <sz val="10"/>
      <color indexed="63"/>
      <name val="Arial"/>
      <family val="2"/>
    </font>
    <font>
      <sz val="9.5"/>
      <color indexed="63"/>
      <name val="Arial"/>
      <family val="2"/>
    </font>
    <font>
      <sz val="8"/>
      <color indexed="63"/>
      <name val="Arial"/>
      <family val="2"/>
    </font>
    <font>
      <i/>
      <sz val="16"/>
      <name val="Arial"/>
      <family val="2"/>
    </font>
    <font>
      <i/>
      <u/>
      <sz val="14"/>
      <name val="Arial Baltic"/>
      <family val="2"/>
      <charset val="186"/>
    </font>
    <font>
      <sz val="10"/>
      <color indexed="61"/>
      <name val="Arial"/>
      <family val="2"/>
    </font>
    <font>
      <i/>
      <sz val="11"/>
      <color indexed="10"/>
      <name val="Arial"/>
      <family val="2"/>
    </font>
    <font>
      <sz val="16"/>
      <name val="Arial"/>
      <family val="2"/>
    </font>
    <font>
      <b/>
      <sz val="14"/>
      <color indexed="61"/>
      <name val="Arial"/>
      <family val="2"/>
    </font>
    <font>
      <i/>
      <sz val="8"/>
      <name val="Arial"/>
      <family val="2"/>
    </font>
    <font>
      <b/>
      <sz val="14"/>
      <color indexed="17"/>
      <name val="Arial"/>
      <family val="2"/>
    </font>
    <font>
      <i/>
      <sz val="8"/>
      <color indexed="12"/>
      <name val="Arial"/>
      <family val="2"/>
    </font>
    <font>
      <b/>
      <u val="doubleAccounting"/>
      <sz val="14"/>
      <color indexed="12"/>
      <name val="Arial"/>
      <family val="2"/>
    </font>
    <font>
      <b/>
      <i/>
      <u val="doubleAccounting"/>
      <sz val="16"/>
      <name val="Arial"/>
      <family val="2"/>
    </font>
    <font>
      <b/>
      <i/>
      <u val="doubleAccounting"/>
      <sz val="14"/>
      <color indexed="61"/>
      <name val="Arial"/>
      <family val="2"/>
    </font>
    <font>
      <b/>
      <i/>
      <u val="doubleAccounting"/>
      <sz val="14"/>
      <color indexed="17"/>
      <name val="Arial"/>
      <family val="2"/>
    </font>
    <font>
      <b/>
      <i/>
      <u val="doubleAccounting"/>
      <sz val="14"/>
      <color indexed="12"/>
      <name val="Arial"/>
      <family val="2"/>
    </font>
    <font>
      <b/>
      <sz val="14"/>
      <color indexed="12"/>
      <name val="Arial"/>
      <family val="2"/>
    </font>
    <font>
      <b/>
      <u val="doubleAccounting"/>
      <sz val="11"/>
      <color indexed="10"/>
      <name val="Arial"/>
      <family val="2"/>
    </font>
    <font>
      <b/>
      <sz val="14"/>
      <name val="Arial"/>
      <family val="2"/>
    </font>
    <font>
      <i/>
      <sz val="14"/>
      <color indexed="12"/>
      <name val="Arial"/>
      <family val="2"/>
    </font>
    <font>
      <i/>
      <sz val="14"/>
      <color indexed="17"/>
      <name val="Arial"/>
      <family val="2"/>
    </font>
    <font>
      <i/>
      <sz val="8"/>
      <color indexed="17"/>
      <name val="Arial"/>
      <family val="2"/>
    </font>
    <font>
      <b/>
      <u val="doubleAccounting"/>
      <sz val="11"/>
      <color indexed="12"/>
      <name val="Arial"/>
      <family val="2"/>
    </font>
    <font>
      <b/>
      <u val="doubleAccounting"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i/>
      <sz val="9.5"/>
      <color indexed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8"/>
      <color indexed="6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i/>
      <sz val="11"/>
      <name val="Arial"/>
      <family val="2"/>
    </font>
    <font>
      <sz val="16"/>
      <color indexed="10"/>
      <name val="Arial"/>
      <family val="2"/>
    </font>
    <font>
      <b/>
      <sz val="14"/>
      <name val="Arial Narrow"/>
      <family val="2"/>
    </font>
    <font>
      <b/>
      <sz val="14"/>
      <color indexed="45"/>
      <name val="Arial"/>
      <family val="2"/>
    </font>
    <font>
      <sz val="11"/>
      <color indexed="55"/>
      <name val="Arial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sz val="9"/>
      <color indexed="55"/>
      <name val="Arial"/>
      <family val="2"/>
    </font>
    <font>
      <b/>
      <sz val="13"/>
      <color indexed="62"/>
      <name val="Verdana"/>
      <family val="2"/>
    </font>
    <font>
      <b/>
      <i/>
      <sz val="14"/>
      <color indexed="62"/>
      <name val="Verdana"/>
      <family val="2"/>
    </font>
    <font>
      <b/>
      <i/>
      <sz val="12"/>
      <name val="Arial"/>
      <family val="2"/>
    </font>
    <font>
      <sz val="9.5"/>
      <color indexed="54"/>
      <name val="Arial"/>
      <family val="2"/>
    </font>
    <font>
      <sz val="10"/>
      <color indexed="54"/>
      <name val="Arial"/>
      <family val="2"/>
    </font>
    <font>
      <b/>
      <sz val="13"/>
      <color indexed="54"/>
      <name val="Verdana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b/>
      <i/>
      <sz val="14"/>
      <color indexed="54"/>
      <name val="Verdana"/>
      <family val="2"/>
    </font>
    <font>
      <i/>
      <sz val="10"/>
      <color indexed="62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i/>
      <sz val="10"/>
      <color indexed="61"/>
      <name val="Arial"/>
      <family val="2"/>
    </font>
    <font>
      <i/>
      <sz val="12"/>
      <color indexed="61"/>
      <name val="Arial"/>
      <family val="2"/>
    </font>
    <font>
      <i/>
      <sz val="9"/>
      <color indexed="61"/>
      <name val="Arial"/>
      <family val="2"/>
    </font>
    <font>
      <i/>
      <sz val="14"/>
      <color indexed="61"/>
      <name val="Arial"/>
      <family val="2"/>
    </font>
    <font>
      <i/>
      <sz val="9"/>
      <color indexed="20"/>
      <name val="Arial"/>
      <family val="2"/>
    </font>
    <font>
      <sz val="14"/>
      <name val="Arial"/>
      <family val="2"/>
    </font>
    <font>
      <sz val="13"/>
      <name val="Verdana"/>
      <family val="2"/>
    </font>
    <font>
      <b/>
      <sz val="10"/>
      <name val="Arial Narrow"/>
      <family val="2"/>
    </font>
    <font>
      <i/>
      <sz val="14"/>
      <name val="Verdana"/>
      <family val="2"/>
    </font>
    <font>
      <b/>
      <sz val="12"/>
      <name val="Arial Narrow"/>
      <family val="2"/>
    </font>
    <font>
      <sz val="12"/>
      <name val="Arial"/>
      <family val="2"/>
    </font>
    <font>
      <i/>
      <sz val="10"/>
      <color indexed="10"/>
      <name val="Bookman Old Style"/>
      <family val="1"/>
    </font>
    <font>
      <i/>
      <sz val="10"/>
      <name val="Arial Narrow"/>
      <family val="2"/>
    </font>
    <font>
      <b/>
      <i/>
      <sz val="11"/>
      <color indexed="62"/>
      <name val="Arial"/>
      <family val="2"/>
    </font>
    <font>
      <i/>
      <sz val="9"/>
      <name val="Arial Narrow"/>
      <family val="2"/>
    </font>
    <font>
      <b/>
      <sz val="7"/>
      <name val="Arial Narrow"/>
      <family val="2"/>
    </font>
    <font>
      <sz val="14"/>
      <color indexed="10"/>
      <name val="Arial"/>
      <family val="2"/>
    </font>
    <font>
      <sz val="8"/>
      <color indexed="81"/>
      <name val="Arial"/>
      <family val="2"/>
    </font>
    <font>
      <b/>
      <sz val="7"/>
      <name val="Arial"/>
      <family val="2"/>
    </font>
    <font>
      <sz val="8.5"/>
      <name val="Arial"/>
      <family val="2"/>
    </font>
    <font>
      <i/>
      <sz val="12"/>
      <color indexed="62"/>
      <name val="Arial"/>
      <family val="2"/>
    </font>
    <font>
      <sz val="9"/>
      <color indexed="21"/>
      <name val="Arial"/>
      <family val="2"/>
    </font>
    <font>
      <sz val="7"/>
      <name val="Arial"/>
      <family val="2"/>
    </font>
    <font>
      <b/>
      <sz val="10"/>
      <color indexed="21"/>
      <name val="Arial"/>
      <family val="2"/>
    </font>
    <font>
      <sz val="10"/>
      <color indexed="9"/>
      <name val="Arial"/>
      <family val="2"/>
    </font>
    <font>
      <sz val="9.5"/>
      <name val="Arial Narrow"/>
      <family val="2"/>
    </font>
    <font>
      <sz val="9"/>
      <color indexed="22"/>
      <name val="Arial"/>
      <family val="2"/>
    </font>
    <font>
      <u/>
      <sz val="8"/>
      <color indexed="22"/>
      <name val="Arial"/>
      <family val="2"/>
    </font>
    <font>
      <sz val="8"/>
      <color indexed="22"/>
      <name val="Arial"/>
      <family val="2"/>
    </font>
    <font>
      <sz val="12"/>
      <color indexed="22"/>
      <name val="Arial"/>
      <family val="2"/>
    </font>
    <font>
      <sz val="10"/>
      <color indexed="22"/>
      <name val="Arial"/>
      <family val="2"/>
    </font>
    <font>
      <b/>
      <i/>
      <sz val="10"/>
      <color indexed="62"/>
      <name val="Arial"/>
      <family val="2"/>
    </font>
    <font>
      <sz val="14"/>
      <color indexed="62"/>
      <name val="Arial"/>
      <family val="2"/>
    </font>
    <font>
      <b/>
      <sz val="10"/>
      <color indexed="62"/>
      <name val="Arial"/>
      <family val="2"/>
    </font>
    <font>
      <b/>
      <sz val="7"/>
      <color indexed="62"/>
      <name val="Arial"/>
      <family val="2"/>
    </font>
    <font>
      <b/>
      <sz val="9"/>
      <color indexed="62"/>
      <name val="Arial"/>
      <family val="2"/>
    </font>
    <font>
      <sz val="8.5"/>
      <color indexed="6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u/>
      <sz val="8"/>
      <color indexed="62"/>
      <name val="Arial"/>
      <family val="2"/>
    </font>
    <font>
      <i/>
      <sz val="10"/>
      <name val="Century Gothic"/>
      <family val="2"/>
    </font>
    <font>
      <b/>
      <i/>
      <sz val="9"/>
      <name val="Arial"/>
      <family val="2"/>
    </font>
    <font>
      <i/>
      <u/>
      <sz val="9"/>
      <color indexed="10"/>
      <name val="Arial"/>
      <family val="2"/>
    </font>
    <font>
      <b/>
      <sz val="9"/>
      <color indexed="21"/>
      <name val="Arial"/>
      <family val="2"/>
    </font>
    <font>
      <sz val="7.5"/>
      <color indexed="10"/>
      <name val="Arial"/>
      <family val="2"/>
    </font>
    <font>
      <b/>
      <u/>
      <sz val="8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9"/>
      <color indexed="62"/>
      <name val="Arial Narrow"/>
      <family val="2"/>
    </font>
    <font>
      <sz val="11"/>
      <name val="Arial Narrow"/>
      <family val="2"/>
    </font>
    <font>
      <sz val="9"/>
      <color indexed="10"/>
      <name val="Arial Narrow"/>
      <family val="2"/>
    </font>
    <font>
      <sz val="9"/>
      <color indexed="12"/>
      <name val="Arial Narrow"/>
      <family val="2"/>
    </font>
    <font>
      <sz val="8"/>
      <color indexed="10"/>
      <name val="Arial Narrow"/>
      <family val="2"/>
    </font>
    <font>
      <b/>
      <sz val="9"/>
      <name val="Arial Narrow"/>
      <family val="2"/>
    </font>
    <font>
      <sz val="9"/>
      <color indexed="20"/>
      <name val="Arial Narrow"/>
      <family val="2"/>
    </font>
    <font>
      <sz val="9"/>
      <color indexed="18"/>
      <name val="Arial Narrow"/>
      <family val="2"/>
    </font>
    <font>
      <i/>
      <sz val="9"/>
      <color indexed="10"/>
      <name val="Arial Narrow"/>
      <family val="2"/>
    </font>
    <font>
      <b/>
      <i/>
      <sz val="9"/>
      <color indexed="10"/>
      <name val="Arial Narrow"/>
      <family val="2"/>
    </font>
    <font>
      <sz val="9"/>
      <color indexed="23"/>
      <name val="Arial Narrow"/>
      <family val="2"/>
    </font>
    <font>
      <sz val="8"/>
      <name val="Arial Narrow"/>
      <family val="2"/>
    </font>
    <font>
      <i/>
      <sz val="12"/>
      <color indexed="12"/>
      <name val="Arial Narrow"/>
      <family val="2"/>
    </font>
    <font>
      <sz val="10"/>
      <color indexed="12"/>
      <name val="Arial Narrow"/>
      <family val="2"/>
    </font>
    <font>
      <i/>
      <sz val="14"/>
      <color indexed="12"/>
      <name val="Arial Narrow"/>
      <family val="2"/>
    </font>
    <font>
      <i/>
      <sz val="14"/>
      <color indexed="17"/>
      <name val="Arial Narrow"/>
      <family val="2"/>
    </font>
    <font>
      <sz val="9.5"/>
      <color indexed="61"/>
      <name val="Arial"/>
      <family val="2"/>
    </font>
    <font>
      <b/>
      <u val="doubleAccounting"/>
      <sz val="14"/>
      <name val="Arial"/>
      <family val="2"/>
    </font>
    <font>
      <b/>
      <u val="doubleAccounting"/>
      <sz val="11"/>
      <name val="Arial"/>
      <family val="2"/>
    </font>
    <font>
      <b/>
      <u val="doubleAccounting"/>
      <sz val="10"/>
      <name val="Arial"/>
      <family val="2"/>
    </font>
    <font>
      <b/>
      <sz val="10"/>
      <color indexed="22"/>
      <name val="Arial"/>
      <family val="2"/>
    </font>
    <font>
      <i/>
      <sz val="8"/>
      <color indexed="12"/>
      <name val="Arial Narrow"/>
      <family val="2"/>
    </font>
    <font>
      <sz val="8"/>
      <color indexed="12"/>
      <name val="Arial Narrow"/>
      <family val="2"/>
    </font>
    <font>
      <i/>
      <sz val="8"/>
      <color indexed="17"/>
      <name val="Arial Narrow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7.5"/>
      <color indexed="10"/>
      <name val="Arial Narrow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  <font>
      <b/>
      <sz val="16"/>
      <name val="Arial Narrow"/>
      <family val="2"/>
    </font>
    <font>
      <sz val="7.5"/>
      <color indexed="62"/>
      <name val="Arial Narrow"/>
      <family val="2"/>
    </font>
    <font>
      <b/>
      <sz val="12"/>
      <color indexed="10"/>
      <name val="Arial"/>
      <family val="2"/>
    </font>
    <font>
      <b/>
      <sz val="11"/>
      <color indexed="62"/>
      <name val="Arial"/>
      <family val="2"/>
    </font>
    <font>
      <b/>
      <sz val="8"/>
      <name val="Arial Narrow"/>
      <family val="2"/>
    </font>
    <font>
      <i/>
      <sz val="10.5"/>
      <name val="Arial"/>
      <family val="2"/>
    </font>
    <font>
      <i/>
      <u/>
      <sz val="8"/>
      <color indexed="10"/>
      <name val="Arial"/>
      <family val="2"/>
    </font>
    <font>
      <sz val="7"/>
      <color indexed="10"/>
      <name val="Arial"/>
      <family val="2"/>
    </font>
    <font>
      <i/>
      <sz val="9"/>
      <color indexed="18"/>
      <name val="Arial"/>
      <family val="2"/>
    </font>
    <font>
      <b/>
      <u/>
      <sz val="12"/>
      <color indexed="10"/>
      <name val="Arial"/>
      <family val="2"/>
    </font>
    <font>
      <b/>
      <u/>
      <sz val="10"/>
      <color indexed="10"/>
      <name val="Arial"/>
      <family val="2"/>
    </font>
    <font>
      <i/>
      <sz val="9"/>
      <color rgb="FFFF0000"/>
      <name val="Arial"/>
      <family val="2"/>
    </font>
    <font>
      <sz val="12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rgb="FF660033"/>
      <name val="Arial"/>
      <family val="2"/>
    </font>
    <font>
      <sz val="9"/>
      <color rgb="FF660033"/>
      <name val="Arial"/>
      <family val="2"/>
    </font>
    <font>
      <sz val="14"/>
      <color theme="0" tint="-0.34998626667073579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i/>
      <sz val="11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7.5"/>
      <color rgb="FFFF0000"/>
      <name val="Arial Narrow"/>
      <family val="2"/>
    </font>
    <font>
      <sz val="9.5"/>
      <color rgb="FFFF0000"/>
      <name val="Arial"/>
      <family val="2"/>
    </font>
    <font>
      <sz val="11"/>
      <color rgb="FF660033"/>
      <name val="Arial"/>
      <family val="2"/>
    </font>
    <font>
      <sz val="7.5"/>
      <color rgb="FF660033"/>
      <name val="Arial Narrow"/>
      <family val="2"/>
    </font>
    <font>
      <sz val="9.5"/>
      <color rgb="FF660033"/>
      <name val="Arial"/>
      <family val="2"/>
    </font>
    <font>
      <i/>
      <sz val="9"/>
      <color theme="3" tint="-0.499984740745262"/>
      <name val="Arial"/>
      <family val="2"/>
    </font>
    <font>
      <sz val="9"/>
      <color rgb="FF990099"/>
      <name val="Arial"/>
      <family val="2"/>
    </font>
    <font>
      <sz val="11"/>
      <color rgb="FF990099"/>
      <name val="Arial"/>
      <family val="2"/>
    </font>
    <font>
      <sz val="7.5"/>
      <color rgb="FF990099"/>
      <name val="Arial Narrow"/>
      <family val="2"/>
    </font>
    <font>
      <sz val="10"/>
      <color rgb="FF990099"/>
      <name val="Arial"/>
      <family val="2"/>
    </font>
    <font>
      <sz val="9.5"/>
      <color rgb="FF990099"/>
      <name val="Arial"/>
      <family val="2"/>
    </font>
    <font>
      <b/>
      <sz val="11"/>
      <color rgb="FFFF0000"/>
      <name val="Wingdings"/>
      <charset val="2"/>
    </font>
    <font>
      <b/>
      <sz val="7.5"/>
      <name val="Arial Narrow"/>
      <family val="2"/>
    </font>
    <font>
      <sz val="8"/>
      <color rgb="FFFF0000"/>
      <name val="Arial"/>
      <family val="2"/>
    </font>
    <font>
      <sz val="12"/>
      <name val="Lucida Bright"/>
      <family val="1"/>
    </font>
    <font>
      <b/>
      <sz val="12"/>
      <color indexed="10"/>
      <name val="BankGothic Md BT"/>
      <family val="2"/>
    </font>
    <font>
      <sz val="7"/>
      <color indexed="62"/>
      <name val="Arial"/>
      <family val="2"/>
    </font>
    <font>
      <b/>
      <sz val="10"/>
      <color rgb="FFFF0000"/>
      <name val="Arial"/>
      <family val="2"/>
    </font>
    <font>
      <sz val="7"/>
      <color rgb="FFFF0000"/>
      <name val="Arial"/>
      <family val="2"/>
    </font>
    <font>
      <sz val="8"/>
      <color rgb="FF0066FF"/>
      <name val="Arial"/>
      <family val="2"/>
    </font>
    <font>
      <sz val="8.5"/>
      <color rgb="FFFF0000"/>
      <name val="Arial"/>
      <family val="2"/>
    </font>
    <font>
      <b/>
      <sz val="8"/>
      <color indexed="62"/>
      <name val="Arial Narrow"/>
      <family val="2"/>
    </font>
    <font>
      <b/>
      <i/>
      <sz val="10"/>
      <color rgb="FFFF0000"/>
      <name val="Cambria"/>
      <family val="1"/>
      <scheme val="major"/>
    </font>
    <font>
      <sz val="8"/>
      <color rgb="FF990099"/>
      <name val="Arial"/>
      <family val="2"/>
    </font>
    <font>
      <b/>
      <sz val="9"/>
      <color rgb="FF0000FF"/>
      <name val="Arial"/>
      <family val="2"/>
    </font>
    <font>
      <b/>
      <sz val="11"/>
      <color rgb="FFFF0000"/>
      <name val="Arial"/>
      <family val="2"/>
    </font>
    <font>
      <b/>
      <u/>
      <sz val="12"/>
      <name val="Arial"/>
      <family val="2"/>
    </font>
    <font>
      <b/>
      <sz val="14"/>
      <color rgb="FF008000"/>
      <name val="Arial"/>
      <family val="2"/>
    </font>
    <font>
      <sz val="12"/>
      <color rgb="FF0033CC"/>
      <name val="Arial"/>
      <family val="2"/>
    </font>
    <font>
      <sz val="8"/>
      <color rgb="FFC00000"/>
      <name val="Arial"/>
      <family val="2"/>
    </font>
    <font>
      <sz val="9"/>
      <color rgb="FFC00000"/>
      <name val="Arial"/>
      <family val="2"/>
    </font>
    <font>
      <b/>
      <sz val="8"/>
      <color rgb="FFFF0000"/>
      <name val="Arial"/>
      <family val="2"/>
    </font>
    <font>
      <b/>
      <sz val="9.5"/>
      <color rgb="FFFF0000"/>
      <name val="Arial"/>
      <family val="2"/>
    </font>
    <font>
      <i/>
      <sz val="8.5"/>
      <name val="Arial"/>
      <family val="2"/>
    </font>
    <font>
      <sz val="8"/>
      <color rgb="FF006600"/>
      <name val="Arial"/>
      <family val="2"/>
    </font>
    <font>
      <b/>
      <sz val="8"/>
      <color rgb="FF006600"/>
      <name val="Arial"/>
      <family val="2"/>
    </font>
    <font>
      <b/>
      <sz val="11"/>
      <color rgb="FF006600"/>
      <name val="Arial"/>
      <family val="2"/>
    </font>
    <font>
      <b/>
      <sz val="14"/>
      <color rgb="FF006600"/>
      <name val="Arial"/>
      <family val="2"/>
    </font>
    <font>
      <sz val="10"/>
      <color rgb="FF006600"/>
      <name val="Arial"/>
      <family val="2"/>
    </font>
    <font>
      <b/>
      <sz val="12"/>
      <color rgb="FFFF0000"/>
      <name val="Arial"/>
      <family val="2"/>
    </font>
    <font>
      <b/>
      <i/>
      <sz val="12"/>
      <color rgb="FFFF66CC"/>
      <name val="Arial"/>
      <family val="2"/>
    </font>
    <font>
      <b/>
      <sz val="12"/>
      <color rgb="FFFF66CC"/>
      <name val="Arial"/>
      <family val="2"/>
    </font>
    <font>
      <sz val="7.5"/>
      <color rgb="FFFF0000"/>
      <name val="Arial"/>
      <family val="2"/>
    </font>
    <font>
      <b/>
      <sz val="7.5"/>
      <color rgb="FFFF0000"/>
      <name val="Arial Narrow"/>
      <family val="2"/>
    </font>
    <font>
      <sz val="10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sz val="10"/>
      <color rgb="FFFF0000"/>
      <name val="Wingdings 2"/>
      <family val="1"/>
      <charset val="2"/>
    </font>
    <font>
      <b/>
      <sz val="14"/>
      <color rgb="FFC00000"/>
      <name val="Bodoni MT"/>
      <family val="1"/>
    </font>
    <font>
      <b/>
      <sz val="9"/>
      <color rgb="FF006600"/>
      <name val="Arial"/>
      <family val="2"/>
    </font>
    <font>
      <i/>
      <sz val="8"/>
      <color indexed="62"/>
      <name val="Arial"/>
      <family val="2"/>
    </font>
    <font>
      <i/>
      <sz val="9"/>
      <color theme="8" tint="-0.249977111117893"/>
      <name val="Arial"/>
      <family val="2"/>
    </font>
    <font>
      <sz val="10"/>
      <name val="Berlin Sans FB"/>
      <family val="2"/>
    </font>
    <font>
      <i/>
      <sz val="8"/>
      <color rgb="FFC00000"/>
      <name val="Arial"/>
      <family val="2"/>
    </font>
    <font>
      <sz val="8"/>
      <color rgb="FFFF0000"/>
      <name val="Bell MT"/>
      <family val="1"/>
    </font>
    <font>
      <sz val="7"/>
      <color rgb="FF9148C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rgb="FF008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0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Dashed">
        <color indexed="10"/>
      </top>
      <bottom/>
      <diagonal/>
    </border>
    <border>
      <left/>
      <right style="thin">
        <color indexed="64"/>
      </right>
      <top style="mediumDashed">
        <color indexed="1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Dashed">
        <color indexed="10"/>
      </top>
      <bottom style="dashDotDot">
        <color indexed="10"/>
      </bottom>
      <diagonal/>
    </border>
    <border>
      <left/>
      <right style="thin">
        <color indexed="64"/>
      </right>
      <top style="mediumDashed">
        <color indexed="10"/>
      </top>
      <bottom style="dashDotDot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10"/>
      </bottom>
      <diagonal/>
    </border>
    <border>
      <left style="thin">
        <color indexed="64"/>
      </left>
      <right style="medium">
        <color indexed="64"/>
      </right>
      <top/>
      <bottom style="dashDotDot">
        <color indexed="10"/>
      </bottom>
      <diagonal/>
    </border>
    <border>
      <left style="thin">
        <color indexed="64"/>
      </left>
      <right style="thin">
        <color indexed="64"/>
      </right>
      <top style="dashDotDot">
        <color indexed="1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10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2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2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10"/>
      </top>
      <bottom style="dashDotDot">
        <color indexed="1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1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10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/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7" fillId="0" borderId="0" xfId="0" applyFont="1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1" applyNumberFormat="0" applyAlignment="0" applyProtection="0"/>
    <xf numFmtId="0" fontId="1" fillId="10" borderId="2" applyNumberFormat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1" applyNumberFormat="0" applyAlignment="0" applyProtection="0"/>
    <xf numFmtId="0" fontId="1" fillId="17" borderId="0" applyNumberFormat="0" applyBorder="0" applyAlignment="0" applyProtection="0"/>
    <xf numFmtId="165" fontId="1" fillId="0" borderId="0" applyFont="0" applyFill="0" applyBorder="0" applyAlignment="0" applyProtection="0"/>
    <xf numFmtId="0" fontId="1" fillId="7" borderId="0" applyNumberFormat="0" applyBorder="0" applyAlignment="0" applyProtection="0"/>
    <xf numFmtId="0" fontId="3" fillId="4" borderId="1" applyNumberFormat="0" applyFont="0" applyAlignment="0" applyProtection="0"/>
    <xf numFmtId="9" fontId="1" fillId="0" borderId="0" applyFont="0" applyFill="0" applyBorder="0" applyAlignment="0" applyProtection="0"/>
    <xf numFmtId="0" fontId="1" fillId="11" borderId="5" applyNumberFormat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8" applyNumberFormat="0" applyFill="0" applyAlignment="0" applyProtection="0"/>
    <xf numFmtId="0" fontId="6" fillId="0" borderId="9" applyNumberFormat="0" applyFill="0" applyAlignment="0" applyProtection="0"/>
  </cellStyleXfs>
  <cellXfs count="3548">
    <xf numFmtId="0" fontId="0" fillId="0" borderId="0" xfId="0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0" fontId="10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170" fontId="11" fillId="0" borderId="0" xfId="0" applyNumberFormat="1" applyFont="1"/>
    <xf numFmtId="170" fontId="12" fillId="0" borderId="0" xfId="0" applyNumberFormat="1" applyFont="1"/>
    <xf numFmtId="0" fontId="10" fillId="0" borderId="0" xfId="0" applyFont="1" applyFill="1" applyAlignment="1">
      <alignment horizontal="left"/>
    </xf>
    <xf numFmtId="169" fontId="13" fillId="0" borderId="0" xfId="0" applyNumberFormat="1" applyFont="1" applyAlignment="1">
      <alignment horizontal="center"/>
    </xf>
    <xf numFmtId="0" fontId="0" fillId="0" borderId="0" xfId="0" applyAlignment="1"/>
    <xf numFmtId="168" fontId="14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/>
    <xf numFmtId="0" fontId="16" fillId="0" borderId="0" xfId="0" applyFont="1" applyFill="1" applyBorder="1"/>
    <xf numFmtId="0" fontId="17" fillId="18" borderId="0" xfId="0" applyFont="1" applyFill="1" applyAlignment="1"/>
    <xf numFmtId="49" fontId="0" fillId="0" borderId="0" xfId="0" applyNumberFormat="1" applyAlignment="1">
      <alignment horizontal="center" vertical="center"/>
    </xf>
    <xf numFmtId="0" fontId="19" fillId="19" borderId="0" xfId="0" applyFont="1" applyFill="1"/>
    <xf numFmtId="0" fontId="14" fillId="0" borderId="0" xfId="0" applyNumberFormat="1" applyFont="1" applyAlignment="1">
      <alignment horizontal="center"/>
    </xf>
    <xf numFmtId="0" fontId="20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170" fontId="22" fillId="0" borderId="10" xfId="0" applyNumberFormat="1" applyFont="1" applyBorder="1"/>
    <xf numFmtId="49" fontId="23" fillId="0" borderId="4" xfId="0" applyNumberFormat="1" applyFont="1" applyBorder="1" applyAlignment="1">
      <alignment horizontal="center"/>
    </xf>
    <xf numFmtId="170" fontId="22" fillId="0" borderId="4" xfId="0" applyNumberFormat="1" applyFont="1" applyBorder="1"/>
    <xf numFmtId="170" fontId="12" fillId="0" borderId="4" xfId="0" applyNumberFormat="1" applyFont="1" applyBorder="1"/>
    <xf numFmtId="49" fontId="12" fillId="0" borderId="4" xfId="0" applyNumberFormat="1" applyFont="1" applyBorder="1" applyAlignment="1">
      <alignment horizontal="center" vertical="center"/>
    </xf>
    <xf numFmtId="169" fontId="24" fillId="0" borderId="4" xfId="0" applyNumberFormat="1" applyFont="1" applyBorder="1" applyAlignment="1">
      <alignment horizontal="center"/>
    </xf>
    <xf numFmtId="0" fontId="18" fillId="0" borderId="4" xfId="0" applyFont="1" applyBorder="1" applyAlignment="1"/>
    <xf numFmtId="168" fontId="25" fillId="0" borderId="4" xfId="0" applyNumberFormat="1" applyFont="1" applyBorder="1" applyAlignment="1">
      <alignment horizontal="center"/>
    </xf>
    <xf numFmtId="168" fontId="22" fillId="0" borderId="4" xfId="0" applyNumberFormat="1" applyFont="1" applyBorder="1" applyAlignment="1">
      <alignment horizontal="center"/>
    </xf>
    <xf numFmtId="4" fontId="12" fillId="0" borderId="4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164" fontId="12" fillId="0" borderId="11" xfId="0" applyNumberFormat="1" applyFont="1" applyBorder="1" applyAlignment="1">
      <alignment horizontal="center"/>
    </xf>
    <xf numFmtId="0" fontId="28" fillId="0" borderId="0" xfId="0" applyFont="1" applyFill="1" applyBorder="1"/>
    <xf numFmtId="0" fontId="19" fillId="19" borderId="0" xfId="0" applyFont="1" applyFill="1" applyAlignment="1">
      <alignment horizontal="left" indent="1"/>
    </xf>
    <xf numFmtId="0" fontId="29" fillId="0" borderId="0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0" fontId="11" fillId="0" borderId="13" xfId="0" applyNumberFormat="1" applyFont="1" applyBorder="1"/>
    <xf numFmtId="49" fontId="9" fillId="0" borderId="13" xfId="0" applyNumberFormat="1" applyFont="1" applyBorder="1" applyAlignment="1">
      <alignment horizontal="center"/>
    </xf>
    <xf numFmtId="170" fontId="12" fillId="0" borderId="13" xfId="0" applyNumberFormat="1" applyFont="1" applyBorder="1"/>
    <xf numFmtId="49" fontId="3" fillId="0" borderId="13" xfId="0" applyNumberFormat="1" applyFont="1" applyBorder="1" applyAlignment="1">
      <alignment horizontal="center" vertical="center"/>
    </xf>
    <xf numFmtId="169" fontId="13" fillId="0" borderId="14" xfId="0" applyNumberFormat="1" applyFont="1" applyBorder="1" applyAlignment="1">
      <alignment horizontal="center"/>
    </xf>
    <xf numFmtId="0" fontId="3" fillId="0" borderId="14" xfId="0" applyFont="1" applyBorder="1" applyAlignment="1"/>
    <xf numFmtId="168" fontId="15" fillId="0" borderId="14" xfId="0" applyNumberFormat="1" applyFont="1" applyBorder="1" applyAlignment="1">
      <alignment horizontal="center"/>
    </xf>
    <xf numFmtId="186" fontId="15" fillId="0" borderId="14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 indent="1"/>
    </xf>
    <xf numFmtId="0" fontId="16" fillId="0" borderId="0" xfId="0" applyFont="1" applyFill="1"/>
    <xf numFmtId="1" fontId="31" fillId="20" borderId="15" xfId="33" applyNumberFormat="1" applyFont="1" applyFill="1" applyBorder="1"/>
    <xf numFmtId="170" fontId="11" fillId="20" borderId="15" xfId="0" applyNumberFormat="1" applyFont="1" applyFill="1" applyBorder="1"/>
    <xf numFmtId="49" fontId="9" fillId="20" borderId="15" xfId="0" applyNumberFormat="1" applyFont="1" applyFill="1" applyBorder="1" applyAlignment="1">
      <alignment horizontal="center"/>
    </xf>
    <xf numFmtId="170" fontId="32" fillId="20" borderId="15" xfId="0" applyNumberFormat="1" applyFont="1" applyFill="1" applyBorder="1"/>
    <xf numFmtId="49" fontId="3" fillId="20" borderId="15" xfId="0" applyNumberFormat="1" applyFont="1" applyFill="1" applyBorder="1" applyAlignment="1">
      <alignment horizontal="center" vertical="center"/>
    </xf>
    <xf numFmtId="169" fontId="13" fillId="20" borderId="16" xfId="0" applyNumberFormat="1" applyFont="1" applyFill="1" applyBorder="1" applyAlignment="1">
      <alignment horizontal="center"/>
    </xf>
    <xf numFmtId="0" fontId="3" fillId="20" borderId="16" xfId="0" applyFont="1" applyFill="1" applyBorder="1" applyAlignment="1"/>
    <xf numFmtId="168" fontId="15" fillId="20" borderId="16" xfId="0" applyNumberFormat="1" applyFont="1" applyFill="1" applyBorder="1" applyAlignment="1">
      <alignment horizontal="center"/>
    </xf>
    <xf numFmtId="186" fontId="15" fillId="20" borderId="16" xfId="0" applyNumberFormat="1" applyFont="1" applyFill="1" applyBorder="1" applyAlignment="1">
      <alignment horizontal="center"/>
    </xf>
    <xf numFmtId="4" fontId="12" fillId="20" borderId="16" xfId="0" applyNumberFormat="1" applyFont="1" applyFill="1" applyBorder="1" applyAlignment="1">
      <alignment horizontal="center"/>
    </xf>
    <xf numFmtId="0" fontId="11" fillId="20" borderId="15" xfId="0" applyFont="1" applyFill="1" applyBorder="1" applyAlignment="1">
      <alignment horizontal="left" indent="1"/>
    </xf>
    <xf numFmtId="0" fontId="12" fillId="20" borderId="15" xfId="0" applyFont="1" applyFill="1" applyBorder="1" applyAlignment="1">
      <alignment horizontal="left" indent="1"/>
    </xf>
    <xf numFmtId="0" fontId="16" fillId="20" borderId="15" xfId="0" applyFont="1" applyFill="1" applyBorder="1"/>
    <xf numFmtId="0" fontId="19" fillId="20" borderId="15" xfId="0" applyFont="1" applyFill="1" applyBorder="1"/>
    <xf numFmtId="0" fontId="0" fillId="20" borderId="15" xfId="0" applyFill="1" applyBorder="1"/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0" fontId="11" fillId="0" borderId="0" xfId="0" applyNumberFormat="1" applyFont="1" applyBorder="1"/>
    <xf numFmtId="49" fontId="9" fillId="0" borderId="0" xfId="0" applyNumberFormat="1" applyFont="1" applyBorder="1" applyAlignment="1">
      <alignment horizontal="center"/>
    </xf>
    <xf numFmtId="170" fontId="32" fillId="0" borderId="0" xfId="0" applyNumberFormat="1" applyFont="1" applyBorder="1"/>
    <xf numFmtId="49" fontId="3" fillId="0" borderId="0" xfId="0" applyNumberFormat="1" applyFont="1" applyBorder="1" applyAlignment="1">
      <alignment horizontal="center" vertical="center"/>
    </xf>
    <xf numFmtId="169" fontId="13" fillId="0" borderId="18" xfId="0" applyNumberFormat="1" applyFont="1" applyBorder="1" applyAlignment="1">
      <alignment horizontal="center"/>
    </xf>
    <xf numFmtId="0" fontId="3" fillId="0" borderId="18" xfId="0" applyFont="1" applyBorder="1" applyAlignment="1"/>
    <xf numFmtId="168" fontId="15" fillId="0" borderId="18" xfId="0" applyNumberFormat="1" applyFont="1" applyBorder="1" applyAlignment="1">
      <alignment horizontal="center"/>
    </xf>
    <xf numFmtId="186" fontId="15" fillId="0" borderId="18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0" fontId="11" fillId="0" borderId="0" xfId="0" applyFont="1" applyAlignment="1">
      <alignment horizontal="left" indent="1"/>
    </xf>
    <xf numFmtId="164" fontId="12" fillId="0" borderId="11" xfId="0" applyNumberFormat="1" applyFont="1" applyBorder="1" applyAlignment="1">
      <alignment horizontal="left" inden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0" fontId="11" fillId="0" borderId="20" xfId="0" applyNumberFormat="1" applyFont="1" applyBorder="1"/>
    <xf numFmtId="49" fontId="9" fillId="0" borderId="20" xfId="0" applyNumberFormat="1" applyFont="1" applyBorder="1" applyAlignment="1">
      <alignment horizontal="center"/>
    </xf>
    <xf numFmtId="170" fontId="32" fillId="0" borderId="20" xfId="0" applyNumberFormat="1" applyFont="1" applyBorder="1"/>
    <xf numFmtId="49" fontId="3" fillId="0" borderId="20" xfId="0" applyNumberFormat="1" applyFont="1" applyBorder="1" applyAlignment="1">
      <alignment horizontal="center" vertical="center"/>
    </xf>
    <xf numFmtId="169" fontId="13" fillId="0" borderId="21" xfId="0" applyNumberFormat="1" applyFont="1" applyBorder="1" applyAlignment="1">
      <alignment horizontal="center"/>
    </xf>
    <xf numFmtId="0" fontId="3" fillId="0" borderId="21" xfId="0" applyFont="1" applyBorder="1" applyAlignment="1"/>
    <xf numFmtId="168" fontId="15" fillId="0" borderId="21" xfId="0" applyNumberFormat="1" applyFont="1" applyBorder="1" applyAlignment="1">
      <alignment horizontal="center"/>
    </xf>
    <xf numFmtId="186" fontId="15" fillId="0" borderId="21" xfId="0" applyNumberFormat="1" applyFont="1" applyBorder="1" applyAlignment="1">
      <alignment horizontal="center"/>
    </xf>
    <xf numFmtId="4" fontId="12" fillId="0" borderId="21" xfId="0" applyNumberFormat="1" applyFont="1" applyBorder="1" applyAlignment="1">
      <alignment horizontal="center"/>
    </xf>
    <xf numFmtId="170" fontId="33" fillId="0" borderId="0" xfId="0" applyNumberFormat="1" applyFont="1" applyBorder="1"/>
    <xf numFmtId="49" fontId="34" fillId="0" borderId="0" xfId="0" applyNumberFormat="1" applyFont="1" applyBorder="1" applyAlignment="1">
      <alignment horizontal="center"/>
    </xf>
    <xf numFmtId="170" fontId="35" fillId="0" borderId="0" xfId="0" applyNumberFormat="1" applyFont="1" applyBorder="1"/>
    <xf numFmtId="170" fontId="35" fillId="0" borderId="20" xfId="0" applyNumberFormat="1" applyFont="1" applyBorder="1"/>
    <xf numFmtId="0" fontId="3" fillId="0" borderId="0" xfId="0" applyFont="1" applyFill="1" applyBorder="1" applyAlignment="1">
      <alignment horizontal="center" vertical="center"/>
    </xf>
    <xf numFmtId="170" fontId="33" fillId="0" borderId="0" xfId="0" applyNumberFormat="1" applyFont="1" applyFill="1" applyBorder="1"/>
    <xf numFmtId="49" fontId="34" fillId="0" borderId="0" xfId="0" applyNumberFormat="1" applyFont="1" applyFill="1" applyBorder="1" applyAlignment="1">
      <alignment horizontal="center"/>
    </xf>
    <xf numFmtId="170" fontId="35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 vertical="center"/>
    </xf>
    <xf numFmtId="169" fontId="1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/>
    <xf numFmtId="168" fontId="27" fillId="0" borderId="18" xfId="0" applyNumberFormat="1" applyFont="1" applyFill="1" applyBorder="1" applyAlignment="1">
      <alignment horizontal="center"/>
    </xf>
    <xf numFmtId="186" fontId="27" fillId="0" borderId="18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170" fontId="33" fillId="0" borderId="20" xfId="0" applyNumberFormat="1" applyFont="1" applyFill="1" applyBorder="1"/>
    <xf numFmtId="49" fontId="34" fillId="0" borderId="20" xfId="0" applyNumberFormat="1" applyFont="1" applyFill="1" applyBorder="1" applyAlignment="1">
      <alignment horizontal="center"/>
    </xf>
    <xf numFmtId="170" fontId="35" fillId="0" borderId="20" xfId="0" applyNumberFormat="1" applyFont="1" applyFill="1" applyBorder="1"/>
    <xf numFmtId="49" fontId="3" fillId="0" borderId="20" xfId="0" applyNumberFormat="1" applyFont="1" applyFill="1" applyBorder="1" applyAlignment="1">
      <alignment horizontal="center" vertical="center"/>
    </xf>
    <xf numFmtId="169" fontId="13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/>
    <xf numFmtId="168" fontId="27" fillId="0" borderId="21" xfId="0" applyNumberFormat="1" applyFont="1" applyFill="1" applyBorder="1" applyAlignment="1">
      <alignment horizontal="center"/>
    </xf>
    <xf numFmtId="186" fontId="27" fillId="0" borderId="21" xfId="0" applyNumberFormat="1" applyFont="1" applyFill="1" applyBorder="1" applyAlignment="1">
      <alignment horizontal="center"/>
    </xf>
    <xf numFmtId="4" fontId="12" fillId="0" borderId="21" xfId="0" applyNumberFormat="1" applyFont="1" applyFill="1" applyBorder="1" applyAlignment="1">
      <alignment horizontal="center"/>
    </xf>
    <xf numFmtId="170" fontId="33" fillId="0" borderId="20" xfId="0" applyNumberFormat="1" applyFont="1" applyBorder="1"/>
    <xf numFmtId="49" fontId="34" fillId="0" borderId="20" xfId="0" applyNumberFormat="1" applyFont="1" applyBorder="1" applyAlignment="1">
      <alignment horizontal="center"/>
    </xf>
    <xf numFmtId="0" fontId="3" fillId="18" borderId="21" xfId="0" applyFont="1" applyFill="1" applyBorder="1" applyAlignment="1"/>
    <xf numFmtId="168" fontId="27" fillId="18" borderId="21" xfId="0" applyNumberFormat="1" applyFont="1" applyFill="1" applyBorder="1" applyAlignment="1">
      <alignment horizontal="center"/>
    </xf>
    <xf numFmtId="186" fontId="15" fillId="18" borderId="21" xfId="0" applyNumberFormat="1" applyFont="1" applyFill="1" applyBorder="1" applyAlignment="1">
      <alignment horizontal="center"/>
    </xf>
    <xf numFmtId="4" fontId="12" fillId="18" borderId="21" xfId="0" applyNumberFormat="1" applyFont="1" applyFill="1" applyBorder="1" applyAlignment="1">
      <alignment horizontal="center"/>
    </xf>
    <xf numFmtId="170" fontId="32" fillId="0" borderId="22" xfId="0" applyNumberFormat="1" applyFont="1" applyBorder="1"/>
    <xf numFmtId="168" fontId="15" fillId="0" borderId="17" xfId="0" applyNumberFormat="1" applyFont="1" applyBorder="1" applyAlignment="1">
      <alignment horizontal="center"/>
    </xf>
    <xf numFmtId="168" fontId="15" fillId="0" borderId="19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0" fontId="11" fillId="0" borderId="22" xfId="0" applyNumberFormat="1" applyFont="1" applyBorder="1"/>
    <xf numFmtId="49" fontId="9" fillId="0" borderId="22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 vertical="center"/>
    </xf>
    <xf numFmtId="169" fontId="13" fillId="0" borderId="10" xfId="0" applyNumberFormat="1" applyFont="1" applyBorder="1" applyAlignment="1">
      <alignment horizontal="center"/>
    </xf>
    <xf numFmtId="0" fontId="3" fillId="0" borderId="10" xfId="0" applyFont="1" applyBorder="1" applyAlignment="1"/>
    <xf numFmtId="168" fontId="15" fillId="0" borderId="10" xfId="0" applyNumberFormat="1" applyFont="1" applyBorder="1" applyAlignment="1">
      <alignment horizontal="center"/>
    </xf>
    <xf numFmtId="186" fontId="15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170" fontId="38" fillId="0" borderId="20" xfId="0" applyNumberFormat="1" applyFont="1" applyBorder="1"/>
    <xf numFmtId="49" fontId="39" fillId="0" borderId="20" xfId="0" applyNumberFormat="1" applyFont="1" applyBorder="1" applyAlignment="1">
      <alignment horizontal="center"/>
    </xf>
    <xf numFmtId="170" fontId="40" fillId="0" borderId="22" xfId="0" applyNumberFormat="1" applyFont="1" applyBorder="1"/>
    <xf numFmtId="169" fontId="24" fillId="0" borderId="18" xfId="0" applyNumberFormat="1" applyFont="1" applyFill="1" applyBorder="1" applyAlignment="1">
      <alignment horizontal="center"/>
    </xf>
    <xf numFmtId="0" fontId="3" fillId="21" borderId="18" xfId="0" applyFont="1" applyFill="1" applyBorder="1" applyAlignment="1"/>
    <xf numFmtId="168" fontId="27" fillId="21" borderId="18" xfId="0" applyNumberFormat="1" applyFont="1" applyFill="1" applyBorder="1" applyAlignment="1">
      <alignment horizontal="center"/>
    </xf>
    <xf numFmtId="186" fontId="15" fillId="21" borderId="18" xfId="0" applyNumberFormat="1" applyFont="1" applyFill="1" applyBorder="1" applyAlignment="1">
      <alignment horizontal="center"/>
    </xf>
    <xf numFmtId="4" fontId="12" fillId="21" borderId="18" xfId="0" applyNumberFormat="1" applyFont="1" applyFill="1" applyBorder="1" applyAlignment="1">
      <alignment horizontal="center"/>
    </xf>
    <xf numFmtId="0" fontId="3" fillId="0" borderId="17" xfId="0" applyFont="1" applyBorder="1" applyAlignment="1"/>
    <xf numFmtId="169" fontId="24" fillId="0" borderId="21" xfId="0" applyNumberFormat="1" applyFont="1" applyBorder="1" applyAlignment="1">
      <alignment horizontal="center"/>
    </xf>
    <xf numFmtId="0" fontId="3" fillId="21" borderId="21" xfId="0" applyFont="1" applyFill="1" applyBorder="1" applyAlignment="1"/>
    <xf numFmtId="168" fontId="27" fillId="21" borderId="21" xfId="0" applyNumberFormat="1" applyFont="1" applyFill="1" applyBorder="1" applyAlignment="1">
      <alignment horizontal="center"/>
    </xf>
    <xf numFmtId="186" fontId="15" fillId="21" borderId="21" xfId="0" applyNumberFormat="1" applyFont="1" applyFill="1" applyBorder="1" applyAlignment="1">
      <alignment horizontal="center"/>
    </xf>
    <xf numFmtId="4" fontId="12" fillId="21" borderId="21" xfId="0" applyNumberFormat="1" applyFont="1" applyFill="1" applyBorder="1" applyAlignment="1">
      <alignment horizontal="center"/>
    </xf>
    <xf numFmtId="169" fontId="24" fillId="0" borderId="18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170" fontId="41" fillId="0" borderId="20" xfId="0" applyNumberFormat="1" applyFont="1" applyBorder="1"/>
    <xf numFmtId="49" fontId="42" fillId="0" borderId="20" xfId="0" applyNumberFormat="1" applyFont="1" applyBorder="1" applyAlignment="1">
      <alignment horizontal="center"/>
    </xf>
    <xf numFmtId="170" fontId="43" fillId="0" borderId="20" xfId="0" applyNumberFormat="1" applyFont="1" applyBorder="1"/>
    <xf numFmtId="168" fontId="15" fillId="0" borderId="18" xfId="0" applyNumberFormat="1" applyFont="1" applyFill="1" applyBorder="1" applyAlignment="1">
      <alignment horizontal="center"/>
    </xf>
    <xf numFmtId="186" fontId="15" fillId="0" borderId="18" xfId="0" applyNumberFormat="1" applyFont="1" applyFill="1" applyBorder="1" applyAlignment="1">
      <alignment horizontal="center"/>
    </xf>
    <xf numFmtId="170" fontId="33" fillId="22" borderId="20" xfId="0" applyNumberFormat="1" applyFont="1" applyFill="1" applyBorder="1"/>
    <xf numFmtId="49" fontId="34" fillId="22" borderId="20" xfId="0" applyNumberFormat="1" applyFont="1" applyFill="1" applyBorder="1" applyAlignment="1">
      <alignment horizontal="center"/>
    </xf>
    <xf numFmtId="0" fontId="3" fillId="18" borderId="18" xfId="0" applyFont="1" applyFill="1" applyBorder="1" applyAlignment="1"/>
    <xf numFmtId="168" fontId="27" fillId="18" borderId="18" xfId="0" applyNumberFormat="1" applyFont="1" applyFill="1" applyBorder="1" applyAlignment="1">
      <alignment horizontal="center"/>
    </xf>
    <xf numFmtId="186" fontId="15" fillId="18" borderId="18" xfId="0" applyNumberFormat="1" applyFont="1" applyFill="1" applyBorder="1" applyAlignment="1">
      <alignment horizontal="center"/>
    </xf>
    <xf numFmtId="4" fontId="12" fillId="18" borderId="18" xfId="0" applyNumberFormat="1" applyFont="1" applyFill="1" applyBorder="1" applyAlignment="1">
      <alignment horizontal="center"/>
    </xf>
    <xf numFmtId="0" fontId="33" fillId="18" borderId="0" xfId="0" applyFont="1" applyFill="1" applyAlignment="1">
      <alignment horizontal="left" indent="1"/>
    </xf>
    <xf numFmtId="0" fontId="3" fillId="0" borderId="25" xfId="0" applyFont="1" applyBorder="1" applyAlignment="1">
      <alignment horizontal="center" vertical="center"/>
    </xf>
    <xf numFmtId="170" fontId="11" fillId="0" borderId="26" xfId="0" applyNumberFormat="1" applyFont="1" applyBorder="1"/>
    <xf numFmtId="49" fontId="9" fillId="0" borderId="26" xfId="0" applyNumberFormat="1" applyFont="1" applyBorder="1" applyAlignment="1">
      <alignment horizontal="center"/>
    </xf>
    <xf numFmtId="170" fontId="32" fillId="0" borderId="26" xfId="0" applyNumberFormat="1" applyFont="1" applyBorder="1"/>
    <xf numFmtId="49" fontId="3" fillId="0" borderId="26" xfId="0" applyNumberFormat="1" applyFont="1" applyBorder="1" applyAlignment="1">
      <alignment horizontal="center" vertical="center"/>
    </xf>
    <xf numFmtId="169" fontId="13" fillId="0" borderId="27" xfId="0" applyNumberFormat="1" applyFont="1" applyBorder="1" applyAlignment="1">
      <alignment horizontal="center"/>
    </xf>
    <xf numFmtId="0" fontId="3" fillId="0" borderId="27" xfId="0" applyFont="1" applyBorder="1" applyAlignment="1"/>
    <xf numFmtId="168" fontId="15" fillId="0" borderId="27" xfId="0" applyNumberFormat="1" applyFont="1" applyBorder="1" applyAlignment="1">
      <alignment horizontal="center"/>
    </xf>
    <xf numFmtId="186" fontId="15" fillId="0" borderId="27" xfId="0" applyNumberFormat="1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17" fontId="44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70" fontId="41" fillId="0" borderId="0" xfId="0" applyNumberFormat="1" applyFont="1" applyBorder="1"/>
    <xf numFmtId="49" fontId="42" fillId="0" borderId="0" xfId="0" applyNumberFormat="1" applyFont="1" applyBorder="1" applyAlignment="1">
      <alignment horizontal="center"/>
    </xf>
    <xf numFmtId="170" fontId="43" fillId="0" borderId="0" xfId="0" applyNumberFormat="1" applyFont="1" applyBorder="1"/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0" fontId="11" fillId="0" borderId="29" xfId="0" applyNumberFormat="1" applyFont="1" applyBorder="1"/>
    <xf numFmtId="49" fontId="9" fillId="0" borderId="29" xfId="0" applyNumberFormat="1" applyFont="1" applyBorder="1" applyAlignment="1">
      <alignment horizontal="center"/>
    </xf>
    <xf numFmtId="170" fontId="32" fillId="0" borderId="29" xfId="0" applyNumberFormat="1" applyFont="1" applyBorder="1"/>
    <xf numFmtId="49" fontId="3" fillId="0" borderId="29" xfId="0" applyNumberFormat="1" applyFont="1" applyBorder="1" applyAlignment="1">
      <alignment horizontal="center" vertical="center"/>
    </xf>
    <xf numFmtId="169" fontId="13" fillId="0" borderId="30" xfId="0" applyNumberFormat="1" applyFont="1" applyBorder="1" applyAlignment="1">
      <alignment horizontal="center"/>
    </xf>
    <xf numFmtId="0" fontId="3" fillId="0" borderId="30" xfId="0" applyFont="1" applyBorder="1" applyAlignment="1"/>
    <xf numFmtId="168" fontId="15" fillId="0" borderId="30" xfId="0" applyNumberFormat="1" applyFont="1" applyBorder="1" applyAlignment="1">
      <alignment horizontal="center"/>
    </xf>
    <xf numFmtId="186" fontId="15" fillId="0" borderId="30" xfId="0" applyNumberFormat="1" applyFont="1" applyBorder="1" applyAlignment="1">
      <alignment horizontal="center"/>
    </xf>
    <xf numFmtId="4" fontId="12" fillId="0" borderId="30" xfId="0" applyNumberFormat="1" applyFont="1" applyBorder="1" applyAlignment="1">
      <alignment horizontal="center"/>
    </xf>
    <xf numFmtId="49" fontId="46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170" fontId="40" fillId="0" borderId="20" xfId="0" applyNumberFormat="1" applyFont="1" applyBorder="1"/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0" fontId="11" fillId="0" borderId="33" xfId="0" applyNumberFormat="1" applyFont="1" applyBorder="1"/>
    <xf numFmtId="49" fontId="9" fillId="0" borderId="33" xfId="0" applyNumberFormat="1" applyFont="1" applyBorder="1" applyAlignment="1">
      <alignment horizontal="center"/>
    </xf>
    <xf numFmtId="170" fontId="32" fillId="0" borderId="33" xfId="0" applyNumberFormat="1" applyFont="1" applyBorder="1"/>
    <xf numFmtId="49" fontId="3" fillId="0" borderId="33" xfId="0" applyNumberFormat="1" applyFont="1" applyBorder="1" applyAlignment="1">
      <alignment horizontal="center" vertical="center"/>
    </xf>
    <xf numFmtId="169" fontId="13" fillId="0" borderId="34" xfId="0" applyNumberFormat="1" applyFont="1" applyBorder="1" applyAlignment="1">
      <alignment horizontal="center"/>
    </xf>
    <xf numFmtId="0" fontId="3" fillId="0" borderId="34" xfId="0" applyFont="1" applyBorder="1" applyAlignment="1"/>
    <xf numFmtId="168" fontId="15" fillId="0" borderId="34" xfId="0" applyNumberFormat="1" applyFont="1" applyBorder="1" applyAlignment="1">
      <alignment horizontal="center"/>
    </xf>
    <xf numFmtId="186" fontId="15" fillId="0" borderId="34" xfId="0" applyNumberFormat="1" applyFont="1" applyBorder="1" applyAlignment="1">
      <alignment horizontal="center"/>
    </xf>
    <xf numFmtId="4" fontId="12" fillId="0" borderId="34" xfId="0" applyNumberFormat="1" applyFont="1" applyBorder="1" applyAlignment="1">
      <alignment horizontal="center"/>
    </xf>
    <xf numFmtId="170" fontId="41" fillId="0" borderId="22" xfId="0" applyNumberFormat="1" applyFont="1" applyBorder="1"/>
    <xf numFmtId="170" fontId="43" fillId="0" borderId="22" xfId="0" applyNumberFormat="1" applyFont="1" applyBorder="1"/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0" fontId="11" fillId="0" borderId="37" xfId="0" applyNumberFormat="1" applyFont="1" applyBorder="1"/>
    <xf numFmtId="49" fontId="9" fillId="0" borderId="37" xfId="0" applyNumberFormat="1" applyFont="1" applyBorder="1" applyAlignment="1">
      <alignment horizontal="center"/>
    </xf>
    <xf numFmtId="170" fontId="32" fillId="0" borderId="37" xfId="0" applyNumberFormat="1" applyFont="1" applyBorder="1"/>
    <xf numFmtId="49" fontId="3" fillId="0" borderId="37" xfId="0" applyNumberFormat="1" applyFont="1" applyBorder="1" applyAlignment="1">
      <alignment horizontal="center" vertical="center"/>
    </xf>
    <xf numFmtId="169" fontId="13" fillId="0" borderId="38" xfId="0" applyNumberFormat="1" applyFont="1" applyBorder="1" applyAlignment="1">
      <alignment horizontal="center"/>
    </xf>
    <xf numFmtId="0" fontId="3" fillId="0" borderId="38" xfId="0" applyFont="1" applyBorder="1" applyAlignment="1"/>
    <xf numFmtId="168" fontId="15" fillId="0" borderId="38" xfId="0" applyNumberFormat="1" applyFont="1" applyBorder="1" applyAlignment="1">
      <alignment horizontal="center"/>
    </xf>
    <xf numFmtId="186" fontId="15" fillId="0" borderId="38" xfId="0" applyNumberFormat="1" applyFont="1" applyBorder="1" applyAlignment="1">
      <alignment horizontal="center"/>
    </xf>
    <xf numFmtId="4" fontId="12" fillId="0" borderId="38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indent="1"/>
    </xf>
    <xf numFmtId="0" fontId="16" fillId="0" borderId="17" xfId="0" applyFont="1" applyBorder="1" applyAlignment="1">
      <alignment horizontal="center" vertical="center"/>
    </xf>
    <xf numFmtId="170" fontId="14" fillId="0" borderId="0" xfId="0" applyNumberFormat="1" applyFont="1" applyBorder="1"/>
    <xf numFmtId="49" fontId="47" fillId="0" borderId="0" xfId="0" applyNumberFormat="1" applyFont="1" applyBorder="1" applyAlignment="1">
      <alignment horizontal="center"/>
    </xf>
    <xf numFmtId="170" fontId="48" fillId="0" borderId="0" xfId="0" applyNumberFormat="1" applyFont="1" applyBorder="1"/>
    <xf numFmtId="49" fontId="16" fillId="0" borderId="0" xfId="0" applyNumberFormat="1" applyFont="1" applyBorder="1" applyAlignment="1">
      <alignment horizontal="center" vertical="center"/>
    </xf>
    <xf numFmtId="169" fontId="15" fillId="0" borderId="18" xfId="0" applyNumberFormat="1" applyFont="1" applyBorder="1" applyAlignment="1">
      <alignment horizontal="center"/>
    </xf>
    <xf numFmtId="0" fontId="16" fillId="0" borderId="18" xfId="0" applyFont="1" applyBorder="1" applyAlignment="1"/>
    <xf numFmtId="4" fontId="49" fillId="0" borderId="18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170" fontId="14" fillId="0" borderId="20" xfId="0" applyNumberFormat="1" applyFont="1" applyBorder="1"/>
    <xf numFmtId="49" fontId="47" fillId="0" borderId="20" xfId="0" applyNumberFormat="1" applyFont="1" applyBorder="1" applyAlignment="1">
      <alignment horizontal="center"/>
    </xf>
    <xf numFmtId="170" fontId="48" fillId="0" borderId="20" xfId="0" applyNumberFormat="1" applyFont="1" applyBorder="1"/>
    <xf numFmtId="49" fontId="16" fillId="0" borderId="20" xfId="0" applyNumberFormat="1" applyFont="1" applyBorder="1" applyAlignment="1">
      <alignment horizontal="center" vertical="center"/>
    </xf>
    <xf numFmtId="169" fontId="15" fillId="0" borderId="21" xfId="0" applyNumberFormat="1" applyFont="1" applyBorder="1" applyAlignment="1">
      <alignment horizontal="center"/>
    </xf>
    <xf numFmtId="0" fontId="16" fillId="0" borderId="21" xfId="0" applyFont="1" applyBorder="1" applyAlignment="1"/>
    <xf numFmtId="4" fontId="49" fillId="0" borderId="21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0" fontId="51" fillId="22" borderId="17" xfId="0" applyFont="1" applyFill="1" applyBorder="1" applyAlignment="1">
      <alignment horizontal="center" vertical="center"/>
    </xf>
    <xf numFmtId="170" fontId="36" fillId="22" borderId="0" xfId="0" applyNumberFormat="1" applyFont="1" applyFill="1" applyBorder="1"/>
    <xf numFmtId="49" fontId="52" fillId="22" borderId="0" xfId="0" applyNumberFormat="1" applyFont="1" applyFill="1" applyBorder="1" applyAlignment="1">
      <alignment horizontal="center"/>
    </xf>
    <xf numFmtId="170" fontId="26" fillId="22" borderId="0" xfId="0" applyNumberFormat="1" applyFont="1" applyFill="1" applyBorder="1"/>
    <xf numFmtId="49" fontId="51" fillId="22" borderId="0" xfId="0" applyNumberFormat="1" applyFont="1" applyFill="1" applyBorder="1" applyAlignment="1">
      <alignment horizontal="center" vertical="center"/>
    </xf>
    <xf numFmtId="169" fontId="53" fillId="22" borderId="18" xfId="0" applyNumberFormat="1" applyFont="1" applyFill="1" applyBorder="1" applyAlignment="1">
      <alignment horizontal="center"/>
    </xf>
    <xf numFmtId="0" fontId="51" fillId="22" borderId="18" xfId="0" applyFont="1" applyFill="1" applyBorder="1" applyAlignment="1"/>
    <xf numFmtId="168" fontId="53" fillId="22" borderId="18" xfId="0" applyNumberFormat="1" applyFont="1" applyFill="1" applyBorder="1" applyAlignment="1">
      <alignment horizontal="center"/>
    </xf>
    <xf numFmtId="186" fontId="53" fillId="22" borderId="18" xfId="0" applyNumberFormat="1" applyFont="1" applyFill="1" applyBorder="1" applyAlignment="1">
      <alignment horizontal="center"/>
    </xf>
    <xf numFmtId="4" fontId="54" fillId="22" borderId="18" xfId="0" applyNumberFormat="1" applyFont="1" applyFill="1" applyBorder="1" applyAlignment="1">
      <alignment horizontal="center"/>
    </xf>
    <xf numFmtId="49" fontId="55" fillId="0" borderId="0" xfId="0" applyNumberFormat="1" applyFont="1" applyBorder="1" applyAlignment="1">
      <alignment horizontal="center" vertical="center"/>
    </xf>
    <xf numFmtId="169" fontId="19" fillId="0" borderId="18" xfId="0" applyNumberFormat="1" applyFont="1" applyBorder="1" applyAlignment="1">
      <alignment horizontal="center"/>
    </xf>
    <xf numFmtId="0" fontId="55" fillId="0" borderId="18" xfId="0" applyFont="1" applyBorder="1" applyAlignment="1"/>
    <xf numFmtId="168" fontId="19" fillId="22" borderId="18" xfId="0" applyNumberFormat="1" applyFont="1" applyFill="1" applyBorder="1" applyAlignment="1">
      <alignment horizontal="center"/>
    </xf>
    <xf numFmtId="186" fontId="19" fillId="22" borderId="18" xfId="0" applyNumberFormat="1" applyFont="1" applyFill="1" applyBorder="1" applyAlignment="1">
      <alignment horizontal="center"/>
    </xf>
    <xf numFmtId="4" fontId="56" fillId="0" borderId="18" xfId="0" applyNumberFormat="1" applyFont="1" applyBorder="1" applyAlignment="1">
      <alignment horizontal="center"/>
    </xf>
    <xf numFmtId="49" fontId="47" fillId="22" borderId="0" xfId="0" applyNumberFormat="1" applyFont="1" applyFill="1" applyBorder="1" applyAlignment="1">
      <alignment horizontal="center"/>
    </xf>
    <xf numFmtId="170" fontId="33" fillId="22" borderId="0" xfId="0" applyNumberFormat="1" applyFont="1" applyFill="1" applyBorder="1"/>
    <xf numFmtId="170" fontId="35" fillId="22" borderId="0" xfId="0" applyNumberFormat="1" applyFont="1" applyFill="1" applyBorder="1"/>
    <xf numFmtId="49" fontId="16" fillId="22" borderId="0" xfId="0" applyNumberFormat="1" applyFont="1" applyFill="1" applyBorder="1" applyAlignment="1">
      <alignment horizontal="center" vertical="center"/>
    </xf>
    <xf numFmtId="169" fontId="15" fillId="22" borderId="18" xfId="0" applyNumberFormat="1" applyFont="1" applyFill="1" applyBorder="1" applyAlignment="1">
      <alignment horizontal="center"/>
    </xf>
    <xf numFmtId="0" fontId="16" fillId="22" borderId="18" xfId="0" applyFont="1" applyFill="1" applyBorder="1" applyAlignment="1"/>
    <xf numFmtId="168" fontId="15" fillId="22" borderId="18" xfId="0" applyNumberFormat="1" applyFont="1" applyFill="1" applyBorder="1" applyAlignment="1">
      <alignment horizontal="center"/>
    </xf>
    <xf numFmtId="4" fontId="49" fillId="22" borderId="18" xfId="0" applyNumberFormat="1" applyFont="1" applyFill="1" applyBorder="1" applyAlignment="1">
      <alignment horizontal="center"/>
    </xf>
    <xf numFmtId="170" fontId="57" fillId="0" borderId="0" xfId="0" applyNumberFormat="1" applyFont="1" applyBorder="1"/>
    <xf numFmtId="0" fontId="1" fillId="0" borderId="0" xfId="0" applyFont="1" applyAlignment="1">
      <alignment horizontal="center" vertical="center"/>
    </xf>
    <xf numFmtId="168" fontId="15" fillId="21" borderId="18" xfId="0" applyNumberFormat="1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70" fontId="57" fillId="0" borderId="20" xfId="0" applyNumberFormat="1" applyFont="1" applyBorder="1"/>
    <xf numFmtId="186" fontId="15" fillId="22" borderId="18" xfId="0" applyNumberFormat="1" applyFont="1" applyFill="1" applyBorder="1" applyAlignment="1">
      <alignment horizontal="center"/>
    </xf>
    <xf numFmtId="4" fontId="12" fillId="22" borderId="18" xfId="0" applyNumberFormat="1" applyFont="1" applyFill="1" applyBorder="1" applyAlignment="1">
      <alignment horizontal="center"/>
    </xf>
    <xf numFmtId="170" fontId="14" fillId="22" borderId="20" xfId="0" applyNumberFormat="1" applyFont="1" applyFill="1" applyBorder="1"/>
    <xf numFmtId="49" fontId="47" fillId="22" borderId="20" xfId="0" applyNumberFormat="1" applyFont="1" applyFill="1" applyBorder="1" applyAlignment="1">
      <alignment horizontal="center"/>
    </xf>
    <xf numFmtId="170" fontId="48" fillId="22" borderId="20" xfId="0" applyNumberFormat="1" applyFont="1" applyFill="1" applyBorder="1"/>
    <xf numFmtId="49" fontId="16" fillId="22" borderId="20" xfId="0" applyNumberFormat="1" applyFont="1" applyFill="1" applyBorder="1" applyAlignment="1">
      <alignment horizontal="center" vertical="center"/>
    </xf>
    <xf numFmtId="169" fontId="15" fillId="22" borderId="21" xfId="0" applyNumberFormat="1" applyFont="1" applyFill="1" applyBorder="1" applyAlignment="1">
      <alignment horizontal="center"/>
    </xf>
    <xf numFmtId="0" fontId="16" fillId="22" borderId="21" xfId="0" applyFont="1" applyFill="1" applyBorder="1" applyAlignment="1"/>
    <xf numFmtId="168" fontId="15" fillId="22" borderId="21" xfId="0" applyNumberFormat="1" applyFont="1" applyFill="1" applyBorder="1" applyAlignment="1">
      <alignment horizontal="center"/>
    </xf>
    <xf numFmtId="186" fontId="15" fillId="22" borderId="21" xfId="0" applyNumberFormat="1" applyFont="1" applyFill="1" applyBorder="1" applyAlignment="1">
      <alignment horizontal="center"/>
    </xf>
    <xf numFmtId="4" fontId="49" fillId="22" borderId="21" xfId="0" applyNumberFormat="1" applyFont="1" applyFill="1" applyBorder="1" applyAlignment="1">
      <alignment horizontal="center"/>
    </xf>
    <xf numFmtId="0" fontId="14" fillId="16" borderId="0" xfId="0" applyFont="1" applyFill="1" applyAlignment="1">
      <alignment vertical="center"/>
    </xf>
    <xf numFmtId="170" fontId="14" fillId="0" borderId="0" xfId="0" applyNumberFormat="1" applyFont="1" applyFill="1" applyBorder="1"/>
    <xf numFmtId="49" fontId="47" fillId="0" borderId="0" xfId="0" applyNumberFormat="1" applyFont="1" applyFill="1" applyBorder="1" applyAlignment="1">
      <alignment horizontal="center"/>
    </xf>
    <xf numFmtId="170" fontId="48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center" vertical="center"/>
    </xf>
    <xf numFmtId="169" fontId="15" fillId="0" borderId="18" xfId="0" applyNumberFormat="1" applyFont="1" applyFill="1" applyBorder="1" applyAlignment="1">
      <alignment horizontal="center"/>
    </xf>
    <xf numFmtId="0" fontId="16" fillId="0" borderId="18" xfId="0" applyFont="1" applyFill="1" applyBorder="1" applyAlignment="1"/>
    <xf numFmtId="4" fontId="49" fillId="0" borderId="18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" fillId="22" borderId="0" xfId="0" applyFont="1" applyFill="1" applyAlignment="1">
      <alignment horizontal="center" vertical="center"/>
    </xf>
    <xf numFmtId="170" fontId="14" fillId="22" borderId="0" xfId="0" applyNumberFormat="1" applyFont="1" applyFill="1" applyBorder="1"/>
    <xf numFmtId="170" fontId="48" fillId="22" borderId="0" xfId="0" applyNumberFormat="1" applyFont="1" applyFill="1" applyBorder="1"/>
    <xf numFmtId="4" fontId="49" fillId="16" borderId="18" xfId="0" applyNumberFormat="1" applyFont="1" applyFill="1" applyBorder="1" applyAlignment="1">
      <alignment horizontal="center"/>
    </xf>
    <xf numFmtId="0" fontId="3" fillId="0" borderId="19" xfId="0" applyFont="1" applyBorder="1" applyAlignment="1"/>
    <xf numFmtId="170" fontId="14" fillId="16" borderId="23" xfId="0" applyNumberFormat="1" applyFont="1" applyFill="1" applyBorder="1"/>
    <xf numFmtId="49" fontId="47" fillId="16" borderId="0" xfId="0" applyNumberFormat="1" applyFont="1" applyFill="1" applyBorder="1" applyAlignment="1">
      <alignment horizontal="center"/>
    </xf>
    <xf numFmtId="170" fontId="14" fillId="16" borderId="0" xfId="0" applyNumberFormat="1" applyFont="1" applyFill="1" applyBorder="1"/>
    <xf numFmtId="170" fontId="48" fillId="16" borderId="0" xfId="0" applyNumberFormat="1" applyFont="1" applyFill="1" applyBorder="1"/>
    <xf numFmtId="49" fontId="16" fillId="16" borderId="0" xfId="0" applyNumberFormat="1" applyFont="1" applyFill="1" applyBorder="1" applyAlignment="1">
      <alignment horizontal="center" vertical="center"/>
    </xf>
    <xf numFmtId="169" fontId="15" fillId="16" borderId="18" xfId="0" applyNumberFormat="1" applyFont="1" applyFill="1" applyBorder="1" applyAlignment="1">
      <alignment horizontal="center"/>
    </xf>
    <xf numFmtId="0" fontId="16" fillId="16" borderId="18" xfId="0" applyFont="1" applyFill="1" applyBorder="1" applyAlignment="1"/>
    <xf numFmtId="168" fontId="15" fillId="16" borderId="18" xfId="0" applyNumberFormat="1" applyFont="1" applyFill="1" applyBorder="1" applyAlignment="1">
      <alignment horizontal="center"/>
    </xf>
    <xf numFmtId="186" fontId="15" fillId="16" borderId="18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" fontId="31" fillId="0" borderId="17" xfId="33" applyNumberFormat="1" applyFont="1" applyFill="1" applyBorder="1"/>
    <xf numFmtId="170" fontId="11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170" fontId="32" fillId="0" borderId="0" xfId="0" applyNumberFormat="1" applyFont="1" applyFill="1" applyBorder="1"/>
    <xf numFmtId="0" fontId="11" fillId="0" borderId="0" xfId="0" applyFont="1" applyFill="1" applyBorder="1" applyAlignment="1">
      <alignment horizontal="left" indent="1"/>
    </xf>
    <xf numFmtId="0" fontId="19" fillId="0" borderId="0" xfId="0" applyFont="1" applyFill="1" applyBorder="1"/>
    <xf numFmtId="0" fontId="0" fillId="0" borderId="0" xfId="0" applyFill="1" applyBorder="1"/>
    <xf numFmtId="186" fontId="15" fillId="0" borderId="17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70" fontId="14" fillId="16" borderId="40" xfId="0" applyNumberFormat="1" applyFont="1" applyFill="1" applyBorder="1"/>
    <xf numFmtId="49" fontId="47" fillId="16" borderId="41" xfId="0" applyNumberFormat="1" applyFont="1" applyFill="1" applyBorder="1" applyAlignment="1">
      <alignment horizontal="center"/>
    </xf>
    <xf numFmtId="170" fontId="14" fillId="16" borderId="41" xfId="0" applyNumberFormat="1" applyFont="1" applyFill="1" applyBorder="1"/>
    <xf numFmtId="170" fontId="48" fillId="16" borderId="41" xfId="0" applyNumberFormat="1" applyFont="1" applyFill="1" applyBorder="1"/>
    <xf numFmtId="49" fontId="16" fillId="16" borderId="41" xfId="0" applyNumberFormat="1" applyFont="1" applyFill="1" applyBorder="1" applyAlignment="1">
      <alignment horizontal="center" vertical="center"/>
    </xf>
    <xf numFmtId="169" fontId="15" fillId="16" borderId="42" xfId="0" applyNumberFormat="1" applyFont="1" applyFill="1" applyBorder="1" applyAlignment="1">
      <alignment horizontal="center"/>
    </xf>
    <xf numFmtId="0" fontId="16" fillId="16" borderId="42" xfId="0" applyFont="1" applyFill="1" applyBorder="1" applyAlignment="1"/>
    <xf numFmtId="168" fontId="15" fillId="16" borderId="42" xfId="0" applyNumberFormat="1" applyFont="1" applyFill="1" applyBorder="1" applyAlignment="1">
      <alignment horizontal="center"/>
    </xf>
    <xf numFmtId="186" fontId="15" fillId="16" borderId="42" xfId="0" applyNumberFormat="1" applyFont="1" applyFill="1" applyBorder="1" applyAlignment="1">
      <alignment horizontal="center"/>
    </xf>
    <xf numFmtId="4" fontId="49" fillId="16" borderId="42" xfId="0" applyNumberFormat="1" applyFont="1" applyFill="1" applyBorder="1" applyAlignment="1">
      <alignment horizontal="center"/>
    </xf>
    <xf numFmtId="170" fontId="14" fillId="16" borderId="20" xfId="0" applyNumberFormat="1" applyFont="1" applyFill="1" applyBorder="1"/>
    <xf numFmtId="49" fontId="47" fillId="16" borderId="20" xfId="0" applyNumberFormat="1" applyFont="1" applyFill="1" applyBorder="1" applyAlignment="1">
      <alignment horizontal="center"/>
    </xf>
    <xf numFmtId="170" fontId="48" fillId="16" borderId="20" xfId="0" applyNumberFormat="1" applyFont="1" applyFill="1" applyBorder="1"/>
    <xf numFmtId="49" fontId="16" fillId="16" borderId="20" xfId="0" applyNumberFormat="1" applyFont="1" applyFill="1" applyBorder="1" applyAlignment="1">
      <alignment horizontal="center" vertical="center"/>
    </xf>
    <xf numFmtId="169" fontId="15" fillId="16" borderId="21" xfId="0" applyNumberFormat="1" applyFont="1" applyFill="1" applyBorder="1" applyAlignment="1">
      <alignment horizontal="center"/>
    </xf>
    <xf numFmtId="0" fontId="16" fillId="16" borderId="21" xfId="0" applyFont="1" applyFill="1" applyBorder="1" applyAlignment="1"/>
    <xf numFmtId="168" fontId="15" fillId="16" borderId="21" xfId="0" applyNumberFormat="1" applyFont="1" applyFill="1" applyBorder="1" applyAlignment="1">
      <alignment horizontal="center"/>
    </xf>
    <xf numFmtId="186" fontId="15" fillId="16" borderId="21" xfId="0" applyNumberFormat="1" applyFont="1" applyFill="1" applyBorder="1" applyAlignment="1">
      <alignment horizontal="center"/>
    </xf>
    <xf numFmtId="4" fontId="49" fillId="16" borderId="21" xfId="0" applyNumberFormat="1" applyFont="1" applyFill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170" fontId="11" fillId="0" borderId="41" xfId="0" applyNumberFormat="1" applyFont="1" applyBorder="1"/>
    <xf numFmtId="49" fontId="9" fillId="0" borderId="41" xfId="0" applyNumberFormat="1" applyFont="1" applyBorder="1" applyAlignment="1">
      <alignment horizontal="center"/>
    </xf>
    <xf numFmtId="170" fontId="57" fillId="0" borderId="41" xfId="0" applyNumberFormat="1" applyFont="1" applyBorder="1"/>
    <xf numFmtId="170" fontId="35" fillId="0" borderId="41" xfId="0" applyNumberFormat="1" applyFont="1" applyBorder="1"/>
    <xf numFmtId="49" fontId="3" fillId="0" borderId="41" xfId="0" applyNumberFormat="1" applyFont="1" applyBorder="1" applyAlignment="1">
      <alignment horizontal="center" vertical="center"/>
    </xf>
    <xf numFmtId="169" fontId="13" fillId="0" borderId="42" xfId="0" applyNumberFormat="1" applyFont="1" applyBorder="1" applyAlignment="1">
      <alignment horizontal="center"/>
    </xf>
    <xf numFmtId="0" fontId="3" fillId="0" borderId="42" xfId="0" applyFont="1" applyBorder="1" applyAlignment="1"/>
    <xf numFmtId="168" fontId="15" fillId="0" borderId="42" xfId="0" applyNumberFormat="1" applyFont="1" applyBorder="1" applyAlignment="1">
      <alignment horizontal="center"/>
    </xf>
    <xf numFmtId="186" fontId="15" fillId="0" borderId="42" xfId="0" applyNumberFormat="1" applyFont="1" applyBorder="1" applyAlignment="1">
      <alignment horizontal="center"/>
    </xf>
    <xf numFmtId="4" fontId="12" fillId="0" borderId="42" xfId="0" applyNumberFormat="1" applyFont="1" applyBorder="1" applyAlignment="1">
      <alignment horizontal="center"/>
    </xf>
    <xf numFmtId="170" fontId="48" fillId="0" borderId="41" xfId="0" applyNumberFormat="1" applyFont="1" applyBorder="1"/>
    <xf numFmtId="168" fontId="11" fillId="16" borderId="18" xfId="0" applyNumberFormat="1" applyFont="1" applyFill="1" applyBorder="1" applyAlignment="1">
      <alignment horizontal="center"/>
    </xf>
    <xf numFmtId="168" fontId="11" fillId="16" borderId="42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17" xfId="0" applyFont="1" applyFill="1" applyBorder="1" applyAlignment="1">
      <alignment horizontal="center" vertical="center"/>
    </xf>
    <xf numFmtId="168" fontId="11" fillId="0" borderId="18" xfId="0" applyNumberFormat="1" applyFont="1" applyFill="1" applyBorder="1" applyAlignment="1">
      <alignment horizontal="center"/>
    </xf>
    <xf numFmtId="0" fontId="19" fillId="0" borderId="0" xfId="0" applyFont="1" applyFill="1"/>
    <xf numFmtId="0" fontId="55" fillId="0" borderId="17" xfId="0" applyFont="1" applyBorder="1" applyAlignment="1">
      <alignment horizontal="center" vertical="center"/>
    </xf>
    <xf numFmtId="0" fontId="33" fillId="0" borderId="0" xfId="0" applyFont="1" applyAlignment="1">
      <alignment horizontal="left" indent="1"/>
    </xf>
    <xf numFmtId="0" fontId="56" fillId="0" borderId="0" xfId="0" applyFont="1" applyAlignment="1">
      <alignment horizontal="left" indent="1"/>
    </xf>
    <xf numFmtId="0" fontId="55" fillId="0" borderId="19" xfId="0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169" fontId="19" fillId="0" borderId="21" xfId="0" applyNumberFormat="1" applyFont="1" applyBorder="1" applyAlignment="1">
      <alignment horizontal="center"/>
    </xf>
    <xf numFmtId="0" fontId="55" fillId="0" borderId="21" xfId="0" applyFont="1" applyBorder="1" applyAlignment="1"/>
    <xf numFmtId="4" fontId="56" fillId="0" borderId="21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4" fontId="11" fillId="0" borderId="0" xfId="0" applyNumberFormat="1" applyFont="1" applyAlignment="1">
      <alignment horizontal="left" indent="1"/>
    </xf>
    <xf numFmtId="170" fontId="32" fillId="0" borderId="41" xfId="0" applyNumberFormat="1" applyFont="1" applyBorder="1"/>
    <xf numFmtId="0" fontId="3" fillId="0" borderId="39" xfId="0" applyFont="1" applyBorder="1" applyAlignment="1"/>
    <xf numFmtId="0" fontId="30" fillId="0" borderId="17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170" fontId="33" fillId="0" borderId="41" xfId="0" applyNumberFormat="1" applyFont="1" applyBorder="1"/>
    <xf numFmtId="49" fontId="34" fillId="0" borderId="41" xfId="0" applyNumberFormat="1" applyFont="1" applyBorder="1" applyAlignment="1">
      <alignment horizontal="center"/>
    </xf>
    <xf numFmtId="49" fontId="55" fillId="0" borderId="41" xfId="0" applyNumberFormat="1" applyFont="1" applyBorder="1" applyAlignment="1">
      <alignment horizontal="center" vertical="center"/>
    </xf>
    <xf numFmtId="169" fontId="19" fillId="0" borderId="42" xfId="0" applyNumberFormat="1" applyFont="1" applyBorder="1" applyAlignment="1">
      <alignment horizontal="center"/>
    </xf>
    <xf numFmtId="0" fontId="55" fillId="0" borderId="42" xfId="0" applyFont="1" applyBorder="1" applyAlignment="1"/>
    <xf numFmtId="4" fontId="56" fillId="0" borderId="42" xfId="0" applyNumberFormat="1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19" borderId="0" xfId="0" applyFont="1" applyFill="1" applyBorder="1"/>
    <xf numFmtId="1" fontId="31" fillId="20" borderId="43" xfId="33" applyNumberFormat="1" applyFont="1" applyFill="1" applyBorder="1"/>
    <xf numFmtId="170" fontId="11" fillId="20" borderId="43" xfId="0" applyNumberFormat="1" applyFont="1" applyFill="1" applyBorder="1"/>
    <xf numFmtId="49" fontId="9" fillId="20" borderId="43" xfId="0" applyNumberFormat="1" applyFont="1" applyFill="1" applyBorder="1" applyAlignment="1">
      <alignment horizontal="center"/>
    </xf>
    <xf numFmtId="170" fontId="32" fillId="20" borderId="43" xfId="0" applyNumberFormat="1" applyFont="1" applyFill="1" applyBorder="1"/>
    <xf numFmtId="49" fontId="3" fillId="20" borderId="43" xfId="0" applyNumberFormat="1" applyFont="1" applyFill="1" applyBorder="1" applyAlignment="1">
      <alignment horizontal="center" vertical="center"/>
    </xf>
    <xf numFmtId="169" fontId="13" fillId="20" borderId="44" xfId="0" applyNumberFormat="1" applyFont="1" applyFill="1" applyBorder="1" applyAlignment="1">
      <alignment horizontal="center"/>
    </xf>
    <xf numFmtId="0" fontId="3" fillId="20" borderId="44" xfId="0" applyFont="1" applyFill="1" applyBorder="1" applyAlignment="1"/>
    <xf numFmtId="168" fontId="15" fillId="20" borderId="44" xfId="0" applyNumberFormat="1" applyFont="1" applyFill="1" applyBorder="1" applyAlignment="1">
      <alignment horizontal="center"/>
    </xf>
    <xf numFmtId="186" fontId="15" fillId="20" borderId="44" xfId="0" applyNumberFormat="1" applyFont="1" applyFill="1" applyBorder="1" applyAlignment="1">
      <alignment horizontal="center"/>
    </xf>
    <xf numFmtId="4" fontId="12" fillId="20" borderId="44" xfId="0" applyNumberFormat="1" applyFont="1" applyFill="1" applyBorder="1" applyAlignment="1">
      <alignment horizontal="center"/>
    </xf>
    <xf numFmtId="0" fontId="11" fillId="20" borderId="43" xfId="0" applyFont="1" applyFill="1" applyBorder="1" applyAlignment="1">
      <alignment horizontal="left" indent="1"/>
    </xf>
    <xf numFmtId="0" fontId="16" fillId="20" borderId="43" xfId="0" applyFont="1" applyFill="1" applyBorder="1"/>
    <xf numFmtId="0" fontId="19" fillId="20" borderId="43" xfId="0" applyFont="1" applyFill="1" applyBorder="1"/>
    <xf numFmtId="0" fontId="0" fillId="20" borderId="43" xfId="0" applyFill="1" applyBorder="1"/>
    <xf numFmtId="0" fontId="30" fillId="0" borderId="0" xfId="0" applyFont="1" applyBorder="1" applyAlignment="1">
      <alignment horizontal="center"/>
    </xf>
    <xf numFmtId="0" fontId="66" fillId="22" borderId="0" xfId="0" applyFont="1" applyFill="1" applyAlignment="1">
      <alignment horizontal="center" vertical="center"/>
    </xf>
    <xf numFmtId="1" fontId="31" fillId="0" borderId="17" xfId="33" applyNumberFormat="1" applyFont="1" applyBorder="1"/>
    <xf numFmtId="0" fontId="66" fillId="0" borderId="0" xfId="0" applyFont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49" fontId="67" fillId="0" borderId="0" xfId="0" applyNumberFormat="1" applyFont="1" applyBorder="1" applyAlignment="1">
      <alignment horizontal="center" vertical="center"/>
    </xf>
    <xf numFmtId="169" fontId="64" fillId="0" borderId="18" xfId="0" applyNumberFormat="1" applyFont="1" applyBorder="1" applyAlignment="1">
      <alignment horizontal="center"/>
    </xf>
    <xf numFmtId="0" fontId="67" fillId="0" borderId="18" xfId="0" applyFont="1" applyBorder="1" applyAlignment="1"/>
    <xf numFmtId="4" fontId="68" fillId="0" borderId="18" xfId="0" applyNumberFormat="1" applyFont="1" applyBorder="1" applyAlignment="1">
      <alignment horizontal="center"/>
    </xf>
    <xf numFmtId="0" fontId="69" fillId="0" borderId="0" xfId="0" applyFont="1" applyAlignment="1">
      <alignment horizontal="left" indent="1"/>
    </xf>
    <xf numFmtId="170" fontId="69" fillId="0" borderId="0" xfId="0" applyNumberFormat="1" applyFont="1" applyBorder="1"/>
    <xf numFmtId="49" fontId="60" fillId="0" borderId="0" xfId="0" applyNumberFormat="1" applyFont="1" applyBorder="1" applyAlignment="1">
      <alignment horizontal="center"/>
    </xf>
    <xf numFmtId="0" fontId="22" fillId="16" borderId="0" xfId="0" applyFont="1" applyFill="1" applyAlignment="1">
      <alignment horizontal="left" indent="1"/>
    </xf>
    <xf numFmtId="0" fontId="22" fillId="0" borderId="0" xfId="0" applyFont="1" applyAlignment="1">
      <alignment horizontal="left" indent="1"/>
    </xf>
    <xf numFmtId="0" fontId="67" fillId="0" borderId="19" xfId="0" applyFont="1" applyBorder="1" applyAlignment="1">
      <alignment horizontal="center" vertical="center"/>
    </xf>
    <xf numFmtId="170" fontId="41" fillId="0" borderId="24" xfId="0" applyNumberFormat="1" applyFont="1" applyBorder="1"/>
    <xf numFmtId="49" fontId="67" fillId="0" borderId="20" xfId="0" applyNumberFormat="1" applyFont="1" applyBorder="1" applyAlignment="1">
      <alignment horizontal="center" vertical="center"/>
    </xf>
    <xf numFmtId="169" fontId="64" fillId="0" borderId="21" xfId="0" applyNumberFormat="1" applyFont="1" applyBorder="1" applyAlignment="1">
      <alignment horizontal="center"/>
    </xf>
    <xf numFmtId="0" fontId="67" fillId="0" borderId="21" xfId="0" applyFont="1" applyBorder="1" applyAlignment="1"/>
    <xf numFmtId="4" fontId="68" fillId="0" borderId="21" xfId="0" applyNumberFormat="1" applyFont="1" applyBorder="1" applyAlignment="1">
      <alignment horizontal="center"/>
    </xf>
    <xf numFmtId="0" fontId="16" fillId="16" borderId="39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16" borderId="17" xfId="0" applyFont="1" applyFill="1" applyBorder="1" applyAlignment="1">
      <alignment horizontal="center" vertical="center"/>
    </xf>
    <xf numFmtId="170" fontId="48" fillId="16" borderId="0" xfId="0" applyNumberFormat="1" applyFont="1" applyFill="1" applyBorder="1" applyAlignment="1">
      <alignment vertical="center"/>
    </xf>
    <xf numFmtId="2" fontId="11" fillId="0" borderId="0" xfId="0" applyNumberFormat="1" applyFont="1" applyAlignment="1">
      <alignment horizontal="left" indent="1"/>
    </xf>
    <xf numFmtId="0" fontId="41" fillId="0" borderId="0" xfId="0" applyFont="1" applyAlignment="1">
      <alignment horizontal="left" indent="1"/>
    </xf>
    <xf numFmtId="0" fontId="55" fillId="0" borderId="39" xfId="0" applyFont="1" applyBorder="1" applyAlignment="1">
      <alignment horizontal="center" vertical="center"/>
    </xf>
    <xf numFmtId="0" fontId="41" fillId="0" borderId="0" xfId="0" applyFont="1" applyAlignment="1">
      <alignment horizontal="left"/>
    </xf>
    <xf numFmtId="170" fontId="35" fillId="0" borderId="20" xfId="0" applyNumberFormat="1" applyFont="1" applyBorder="1" applyAlignment="1">
      <alignment vertical="center"/>
    </xf>
    <xf numFmtId="0" fontId="11" fillId="0" borderId="20" xfId="0" applyFont="1" applyBorder="1" applyAlignment="1">
      <alignment horizontal="left" indent="1"/>
    </xf>
    <xf numFmtId="170" fontId="25" fillId="16" borderId="0" xfId="0" applyNumberFormat="1" applyFont="1" applyFill="1" applyBorder="1"/>
    <xf numFmtId="170" fontId="73" fillId="0" borderId="0" xfId="0" applyNumberFormat="1" applyFont="1" applyBorder="1"/>
    <xf numFmtId="49" fontId="74" fillId="0" borderId="0" xfId="0" applyNumberFormat="1" applyFont="1" applyBorder="1" applyAlignment="1">
      <alignment horizontal="center"/>
    </xf>
    <xf numFmtId="170" fontId="75" fillId="0" borderId="0" xfId="0" applyNumberFormat="1" applyFont="1" applyBorder="1"/>
    <xf numFmtId="49" fontId="76" fillId="0" borderId="0" xfId="0" applyNumberFormat="1" applyFont="1" applyBorder="1" applyAlignment="1">
      <alignment horizontal="center" vertical="center"/>
    </xf>
    <xf numFmtId="169" fontId="77" fillId="0" borderId="18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67" fillId="0" borderId="4" xfId="0" applyFont="1" applyBorder="1" applyAlignment="1">
      <alignment horizontal="center" vertical="center"/>
    </xf>
    <xf numFmtId="49" fontId="42" fillId="0" borderId="22" xfId="0" applyNumberFormat="1" applyFont="1" applyBorder="1" applyAlignment="1">
      <alignment horizontal="center"/>
    </xf>
    <xf numFmtId="49" fontId="67" fillId="0" borderId="22" xfId="0" applyNumberFormat="1" applyFont="1" applyBorder="1" applyAlignment="1">
      <alignment horizontal="center" vertical="center"/>
    </xf>
    <xf numFmtId="169" fontId="64" fillId="0" borderId="10" xfId="0" applyNumberFormat="1" applyFont="1" applyBorder="1" applyAlignment="1">
      <alignment horizontal="center"/>
    </xf>
    <xf numFmtId="0" fontId="67" fillId="0" borderId="10" xfId="0" applyFont="1" applyBorder="1" applyAlignment="1"/>
    <xf numFmtId="4" fontId="68" fillId="0" borderId="10" xfId="0" applyNumberFormat="1" applyFont="1" applyBorder="1" applyAlignment="1">
      <alignment horizontal="center"/>
    </xf>
    <xf numFmtId="0" fontId="9" fillId="0" borderId="42" xfId="0" applyFont="1" applyBorder="1" applyAlignment="1">
      <alignment horizontal="center" vertical="center"/>
    </xf>
    <xf numFmtId="170" fontId="32" fillId="0" borderId="0" xfId="0" applyNumberFormat="1" applyFont="1" applyBorder="1" applyAlignment="1">
      <alignment vertical="center"/>
    </xf>
    <xf numFmtId="170" fontId="43" fillId="0" borderId="20" xfId="0" applyNumberFormat="1" applyFont="1" applyBorder="1" applyAlignment="1">
      <alignment vertical="center"/>
    </xf>
    <xf numFmtId="170" fontId="32" fillId="0" borderId="0" xfId="0" applyNumberFormat="1" applyFont="1" applyFill="1" applyBorder="1" applyAlignment="1">
      <alignment vertical="center"/>
    </xf>
    <xf numFmtId="170" fontId="48" fillId="16" borderId="20" xfId="0" applyNumberFormat="1" applyFont="1" applyFill="1" applyBorder="1" applyAlignment="1">
      <alignment vertical="center"/>
    </xf>
    <xf numFmtId="0" fontId="72" fillId="0" borderId="24" xfId="0" applyFont="1" applyFill="1" applyBorder="1" applyAlignment="1">
      <alignment vertical="center"/>
    </xf>
    <xf numFmtId="0" fontId="14" fillId="16" borderId="24" xfId="0" applyFont="1" applyFill="1" applyBorder="1" applyAlignment="1">
      <alignment vertical="center"/>
    </xf>
    <xf numFmtId="0" fontId="16" fillId="0" borderId="20" xfId="0" applyFont="1" applyFill="1" applyBorder="1"/>
    <xf numFmtId="0" fontId="19" fillId="19" borderId="20" xfId="0" applyFont="1" applyFill="1" applyBorder="1"/>
    <xf numFmtId="0" fontId="0" fillId="0" borderId="20" xfId="0" applyBorder="1"/>
    <xf numFmtId="0" fontId="14" fillId="0" borderId="0" xfId="0" applyFont="1" applyFill="1" applyBorder="1" applyAlignment="1">
      <alignment vertical="center"/>
    </xf>
    <xf numFmtId="170" fontId="11" fillId="0" borderId="0" xfId="0" applyNumberFormat="1" applyFont="1" applyBorder="1" applyAlignment="1">
      <alignment vertical="center"/>
    </xf>
    <xf numFmtId="170" fontId="57" fillId="0" borderId="0" xfId="0" applyNumberFormat="1" applyFont="1" applyBorder="1" applyAlignment="1">
      <alignment vertical="center"/>
    </xf>
    <xf numFmtId="170" fontId="35" fillId="0" borderId="0" xfId="0" applyNumberFormat="1" applyFont="1" applyBorder="1" applyAlignment="1">
      <alignment vertical="center"/>
    </xf>
    <xf numFmtId="0" fontId="79" fillId="0" borderId="0" xfId="0" applyFont="1" applyAlignment="1">
      <alignment vertical="center"/>
    </xf>
    <xf numFmtId="170" fontId="57" fillId="0" borderId="20" xfId="0" applyNumberFormat="1" applyFont="1" applyBorder="1" applyAlignment="1">
      <alignment vertical="center"/>
    </xf>
    <xf numFmtId="170" fontId="32" fillId="0" borderId="20" xfId="0" applyNumberFormat="1" applyFont="1" applyFill="1" applyBorder="1" applyAlignment="1">
      <alignment vertical="center"/>
    </xf>
    <xf numFmtId="0" fontId="11" fillId="0" borderId="24" xfId="0" applyFont="1" applyBorder="1" applyAlignment="1">
      <alignment horizontal="left" indent="1"/>
    </xf>
    <xf numFmtId="1" fontId="80" fillId="19" borderId="43" xfId="33" applyNumberFormat="1" applyFont="1" applyFill="1" applyBorder="1"/>
    <xf numFmtId="170" fontId="11" fillId="19" borderId="43" xfId="0" applyNumberFormat="1" applyFont="1" applyFill="1" applyBorder="1"/>
    <xf numFmtId="49" fontId="9" fillId="19" borderId="43" xfId="0" applyNumberFormat="1" applyFont="1" applyFill="1" applyBorder="1" applyAlignment="1">
      <alignment horizontal="center"/>
    </xf>
    <xf numFmtId="170" fontId="32" fillId="19" borderId="43" xfId="0" applyNumberFormat="1" applyFont="1" applyFill="1" applyBorder="1"/>
    <xf numFmtId="49" fontId="3" fillId="19" borderId="43" xfId="0" applyNumberFormat="1" applyFont="1" applyFill="1" applyBorder="1" applyAlignment="1">
      <alignment horizontal="center" vertical="center"/>
    </xf>
    <xf numFmtId="169" fontId="13" fillId="19" borderId="44" xfId="0" applyNumberFormat="1" applyFont="1" applyFill="1" applyBorder="1" applyAlignment="1">
      <alignment horizontal="center"/>
    </xf>
    <xf numFmtId="0" fontId="3" fillId="19" borderId="44" xfId="0" applyFont="1" applyFill="1" applyBorder="1" applyAlignment="1"/>
    <xf numFmtId="168" fontId="15" fillId="19" borderId="44" xfId="0" applyNumberFormat="1" applyFont="1" applyFill="1" applyBorder="1" applyAlignment="1">
      <alignment horizontal="center"/>
    </xf>
    <xf numFmtId="186" fontId="15" fillId="19" borderId="44" xfId="0" applyNumberFormat="1" applyFont="1" applyFill="1" applyBorder="1" applyAlignment="1">
      <alignment horizontal="center"/>
    </xf>
    <xf numFmtId="4" fontId="12" fillId="19" borderId="44" xfId="0" applyNumberFormat="1" applyFont="1" applyFill="1" applyBorder="1" applyAlignment="1">
      <alignment horizontal="center"/>
    </xf>
    <xf numFmtId="0" fontId="11" fillId="19" borderId="43" xfId="0" applyFont="1" applyFill="1" applyBorder="1" applyAlignment="1">
      <alignment horizontal="left" indent="1"/>
    </xf>
    <xf numFmtId="0" fontId="16" fillId="19" borderId="43" xfId="0" applyFont="1" applyFill="1" applyBorder="1"/>
    <xf numFmtId="0" fontId="19" fillId="19" borderId="43" xfId="0" applyFont="1" applyFill="1" applyBorder="1"/>
    <xf numFmtId="0" fontId="0" fillId="19" borderId="43" xfId="0" applyFill="1" applyBorder="1"/>
    <xf numFmtId="0" fontId="33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0" fontId="82" fillId="0" borderId="0" xfId="0" applyFont="1" applyAlignment="1">
      <alignment vertical="center"/>
    </xf>
    <xf numFmtId="0" fontId="0" fillId="0" borderId="0" xfId="0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170" fontId="11" fillId="0" borderId="13" xfId="0" applyNumberFormat="1" applyFont="1" applyBorder="1" applyAlignment="1">
      <alignment vertical="center"/>
    </xf>
    <xf numFmtId="170" fontId="32" fillId="0" borderId="13" xfId="0" applyNumberFormat="1" applyFont="1" applyBorder="1" applyAlignment="1">
      <alignment vertical="center"/>
    </xf>
    <xf numFmtId="169" fontId="1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68" fontId="15" fillId="0" borderId="18" xfId="0" applyNumberFormat="1" applyFont="1" applyBorder="1" applyAlignment="1">
      <alignment horizontal="center" vertical="center"/>
    </xf>
    <xf numFmtId="186" fontId="15" fillId="0" borderId="18" xfId="0" applyNumberFormat="1" applyFont="1" applyBorder="1" applyAlignment="1">
      <alignment horizontal="center" vertical="center"/>
    </xf>
    <xf numFmtId="4" fontId="12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6" fillId="0" borderId="0" xfId="0" applyFont="1" applyFill="1" applyBorder="1" applyAlignment="1">
      <alignment vertical="center"/>
    </xf>
    <xf numFmtId="0" fontId="19" fillId="19" borderId="0" xfId="0" applyFont="1" applyFill="1" applyAlignment="1">
      <alignment vertical="center"/>
    </xf>
    <xf numFmtId="170" fontId="33" fillId="0" borderId="20" xfId="0" applyNumberFormat="1" applyFont="1" applyBorder="1" applyAlignment="1">
      <alignment vertical="center"/>
    </xf>
    <xf numFmtId="49" fontId="34" fillId="0" borderId="20" xfId="0" applyNumberFormat="1" applyFont="1" applyBorder="1" applyAlignment="1">
      <alignment horizontal="center" vertical="center"/>
    </xf>
    <xf numFmtId="170" fontId="57" fillId="0" borderId="20" xfId="0" applyNumberFormat="1" applyFont="1" applyFill="1" applyBorder="1" applyAlignment="1">
      <alignment vertical="center"/>
    </xf>
    <xf numFmtId="169" fontId="19" fillId="0" borderId="21" xfId="0" applyNumberFormat="1" applyFont="1" applyBorder="1" applyAlignment="1">
      <alignment horizontal="center" vertical="center"/>
    </xf>
    <xf numFmtId="0" fontId="55" fillId="0" borderId="21" xfId="0" applyFont="1" applyBorder="1" applyAlignment="1">
      <alignment vertical="center"/>
    </xf>
    <xf numFmtId="168" fontId="15" fillId="0" borderId="21" xfId="0" applyNumberFormat="1" applyFont="1" applyBorder="1" applyAlignment="1">
      <alignment horizontal="center" vertical="center"/>
    </xf>
    <xf numFmtId="186" fontId="15" fillId="0" borderId="21" xfId="0" applyNumberFormat="1" applyFont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/>
    </xf>
    <xf numFmtId="170" fontId="14" fillId="16" borderId="0" xfId="0" applyNumberFormat="1" applyFont="1" applyFill="1" applyBorder="1" applyAlignment="1">
      <alignment vertical="center"/>
    </xf>
    <xf numFmtId="49" fontId="47" fillId="16" borderId="0" xfId="0" applyNumberFormat="1" applyFont="1" applyFill="1" applyBorder="1" applyAlignment="1">
      <alignment horizontal="center" vertical="center"/>
    </xf>
    <xf numFmtId="169" fontId="15" fillId="16" borderId="18" xfId="0" applyNumberFormat="1" applyFont="1" applyFill="1" applyBorder="1" applyAlignment="1">
      <alignment horizontal="center" vertical="center"/>
    </xf>
    <xf numFmtId="0" fontId="16" fillId="16" borderId="18" xfId="0" applyFont="1" applyFill="1" applyBorder="1" applyAlignment="1">
      <alignment vertical="center"/>
    </xf>
    <xf numFmtId="168" fontId="15" fillId="16" borderId="18" xfId="0" applyNumberFormat="1" applyFont="1" applyFill="1" applyBorder="1" applyAlignment="1">
      <alignment horizontal="center" vertical="center"/>
    </xf>
    <xf numFmtId="186" fontId="15" fillId="16" borderId="18" xfId="0" applyNumberFormat="1" applyFont="1" applyFill="1" applyBorder="1" applyAlignment="1">
      <alignment horizontal="center" vertical="center"/>
    </xf>
    <xf numFmtId="4" fontId="49" fillId="16" borderId="18" xfId="0" applyNumberFormat="1" applyFont="1" applyFill="1" applyBorder="1" applyAlignment="1">
      <alignment horizontal="center" vertical="center"/>
    </xf>
    <xf numFmtId="170" fontId="11" fillId="0" borderId="41" xfId="0" applyNumberFormat="1" applyFont="1" applyBorder="1" applyAlignment="1">
      <alignment vertical="center"/>
    </xf>
    <xf numFmtId="49" fontId="9" fillId="0" borderId="41" xfId="0" applyNumberFormat="1" applyFont="1" applyBorder="1" applyAlignment="1">
      <alignment horizontal="center" vertical="center"/>
    </xf>
    <xf numFmtId="170" fontId="32" fillId="0" borderId="41" xfId="0" applyNumberFormat="1" applyFont="1" applyBorder="1" applyAlignment="1">
      <alignment vertical="center"/>
    </xf>
    <xf numFmtId="169" fontId="13" fillId="0" borderId="42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168" fontId="15" fillId="0" borderId="42" xfId="0" applyNumberFormat="1" applyFont="1" applyBorder="1" applyAlignment="1">
      <alignment horizontal="center" vertical="center"/>
    </xf>
    <xf numFmtId="186" fontId="15" fillId="0" borderId="42" xfId="0" applyNumberFormat="1" applyFont="1" applyBorder="1" applyAlignment="1">
      <alignment horizontal="center" vertical="center"/>
    </xf>
    <xf numFmtId="4" fontId="12" fillId="0" borderId="42" xfId="0" applyNumberFormat="1" applyFont="1" applyBorder="1" applyAlignment="1">
      <alignment horizontal="center" vertical="center"/>
    </xf>
    <xf numFmtId="170" fontId="33" fillId="0" borderId="0" xfId="0" applyNumberFormat="1" applyFont="1" applyBorder="1" applyAlignment="1">
      <alignment vertical="center"/>
    </xf>
    <xf numFmtId="49" fontId="34" fillId="0" borderId="0" xfId="0" applyNumberFormat="1" applyFont="1" applyBorder="1" applyAlignment="1">
      <alignment horizontal="center" vertical="center"/>
    </xf>
    <xf numFmtId="169" fontId="19" fillId="0" borderId="18" xfId="0" applyNumberFormat="1" applyFont="1" applyBorder="1" applyAlignment="1">
      <alignment horizontal="center" vertical="center"/>
    </xf>
    <xf numFmtId="0" fontId="55" fillId="0" borderId="18" xfId="0" applyFont="1" applyBorder="1" applyAlignment="1">
      <alignment vertical="center"/>
    </xf>
    <xf numFmtId="4" fontId="56" fillId="0" borderId="18" xfId="0" applyNumberFormat="1" applyFont="1" applyBorder="1" applyAlignment="1">
      <alignment horizontal="center" vertical="center"/>
    </xf>
    <xf numFmtId="170" fontId="33" fillId="0" borderId="24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horizontal="center" vertical="center"/>
    </xf>
    <xf numFmtId="169" fontId="1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68" fontId="15" fillId="0" borderId="14" xfId="0" applyNumberFormat="1" applyFont="1" applyBorder="1" applyAlignment="1">
      <alignment horizontal="center" vertical="center"/>
    </xf>
    <xf numFmtId="186" fontId="15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170" fontId="41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 horizontal="center" vertical="center"/>
    </xf>
    <xf numFmtId="170" fontId="69" fillId="0" borderId="0" xfId="0" applyNumberFormat="1" applyFont="1" applyBorder="1" applyAlignment="1">
      <alignment vertical="center"/>
    </xf>
    <xf numFmtId="170" fontId="43" fillId="0" borderId="0" xfId="0" applyNumberFormat="1" applyFont="1" applyBorder="1" applyAlignment="1">
      <alignment vertical="center"/>
    </xf>
    <xf numFmtId="169" fontId="64" fillId="0" borderId="18" xfId="0" applyNumberFormat="1" applyFont="1" applyBorder="1" applyAlignment="1">
      <alignment horizontal="center" vertical="center"/>
    </xf>
    <xf numFmtId="0" fontId="67" fillId="0" borderId="18" xfId="0" applyFont="1" applyBorder="1" applyAlignment="1">
      <alignment vertical="center"/>
    </xf>
    <xf numFmtId="4" fontId="68" fillId="0" borderId="18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170" fontId="11" fillId="0" borderId="20" xfId="0" applyNumberFormat="1" applyFont="1" applyBorder="1" applyAlignment="1">
      <alignment vertical="center"/>
    </xf>
    <xf numFmtId="49" fontId="9" fillId="0" borderId="20" xfId="0" applyNumberFormat="1" applyFont="1" applyBorder="1" applyAlignment="1">
      <alignment horizontal="center" vertical="center"/>
    </xf>
    <xf numFmtId="170" fontId="32" fillId="0" borderId="20" xfId="0" applyNumberFormat="1" applyFont="1" applyBorder="1" applyAlignment="1">
      <alignment vertical="center"/>
    </xf>
    <xf numFmtId="169" fontId="1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4" fontId="12" fillId="0" borderId="21" xfId="0" applyNumberFormat="1" applyFont="1" applyBorder="1" applyAlignment="1">
      <alignment horizontal="center" vertical="center"/>
    </xf>
    <xf numFmtId="170" fontId="41" fillId="0" borderId="20" xfId="0" applyNumberFormat="1" applyFont="1" applyBorder="1" applyAlignment="1">
      <alignment vertical="center"/>
    </xf>
    <xf numFmtId="49" fontId="42" fillId="0" borderId="20" xfId="0" applyNumberFormat="1" applyFont="1" applyBorder="1" applyAlignment="1">
      <alignment horizontal="center" vertical="center"/>
    </xf>
    <xf numFmtId="170" fontId="69" fillId="0" borderId="20" xfId="0" applyNumberFormat="1" applyFont="1" applyBorder="1" applyAlignment="1">
      <alignment vertical="center"/>
    </xf>
    <xf numFmtId="169" fontId="64" fillId="0" borderId="21" xfId="0" applyNumberFormat="1" applyFont="1" applyBorder="1" applyAlignment="1">
      <alignment horizontal="center" vertical="center"/>
    </xf>
    <xf numFmtId="0" fontId="67" fillId="0" borderId="21" xfId="0" applyFont="1" applyBorder="1" applyAlignment="1">
      <alignment vertical="center"/>
    </xf>
    <xf numFmtId="4" fontId="68" fillId="0" borderId="21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0" fontId="41" fillId="0" borderId="45" xfId="0" applyNumberFormat="1" applyFont="1" applyBorder="1" applyAlignment="1">
      <alignment vertical="center"/>
    </xf>
    <xf numFmtId="49" fontId="42" fillId="0" borderId="22" xfId="0" applyNumberFormat="1" applyFont="1" applyBorder="1" applyAlignment="1">
      <alignment horizontal="center" vertical="center"/>
    </xf>
    <xf numFmtId="170" fontId="43" fillId="0" borderId="22" xfId="0" applyNumberFormat="1" applyFont="1" applyBorder="1" applyAlignment="1">
      <alignment vertical="center"/>
    </xf>
    <xf numFmtId="169" fontId="64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168" fontId="15" fillId="0" borderId="10" xfId="0" applyNumberFormat="1" applyFont="1" applyBorder="1" applyAlignment="1">
      <alignment horizontal="center" vertical="center"/>
    </xf>
    <xf numFmtId="186" fontId="15" fillId="0" borderId="10" xfId="0" applyNumberFormat="1" applyFont="1" applyBorder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/>
    </xf>
    <xf numFmtId="170" fontId="33" fillId="0" borderId="22" xfId="0" applyNumberFormat="1" applyFont="1" applyBorder="1" applyAlignment="1">
      <alignment vertical="center"/>
    </xf>
    <xf numFmtId="49" fontId="34" fillId="0" borderId="22" xfId="0" applyNumberFormat="1" applyFont="1" applyBorder="1" applyAlignment="1">
      <alignment horizontal="center" vertical="center"/>
    </xf>
    <xf numFmtId="170" fontId="57" fillId="0" borderId="22" xfId="0" applyNumberFormat="1" applyFont="1" applyFill="1" applyBorder="1" applyAlignment="1">
      <alignment vertical="center"/>
    </xf>
    <xf numFmtId="170" fontId="35" fillId="0" borderId="22" xfId="0" applyNumberFormat="1" applyFont="1" applyFill="1" applyBorder="1" applyAlignment="1">
      <alignment vertical="center"/>
    </xf>
    <xf numFmtId="49" fontId="55" fillId="0" borderId="22" xfId="0" applyNumberFormat="1" applyFont="1" applyBorder="1" applyAlignment="1">
      <alignment horizontal="center" vertical="center"/>
    </xf>
    <xf numFmtId="169" fontId="19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4" fontId="56" fillId="0" borderId="10" xfId="0" applyNumberFormat="1" applyFont="1" applyBorder="1" applyAlignment="1">
      <alignment horizontal="center" vertical="center"/>
    </xf>
    <xf numFmtId="170" fontId="33" fillId="16" borderId="0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horizontal="center" vertical="center"/>
    </xf>
    <xf numFmtId="170" fontId="57" fillId="16" borderId="0" xfId="0" applyNumberFormat="1" applyFont="1" applyFill="1" applyBorder="1" applyAlignment="1">
      <alignment vertical="center"/>
    </xf>
    <xf numFmtId="170" fontId="35" fillId="16" borderId="0" xfId="0" applyNumberFormat="1" applyFont="1" applyFill="1" applyBorder="1" applyAlignment="1">
      <alignment vertical="center"/>
    </xf>
    <xf numFmtId="49" fontId="55" fillId="16" borderId="0" xfId="0" applyNumberFormat="1" applyFont="1" applyFill="1" applyBorder="1" applyAlignment="1">
      <alignment horizontal="center" vertical="center"/>
    </xf>
    <xf numFmtId="169" fontId="19" fillId="16" borderId="18" xfId="0" applyNumberFormat="1" applyFont="1" applyFill="1" applyBorder="1" applyAlignment="1">
      <alignment horizontal="center" vertical="center"/>
    </xf>
    <xf numFmtId="0" fontId="55" fillId="16" borderId="18" xfId="0" applyFont="1" applyFill="1" applyBorder="1" applyAlignment="1">
      <alignment vertical="center"/>
    </xf>
    <xf numFmtId="4" fontId="56" fillId="16" borderId="18" xfId="0" applyNumberFormat="1" applyFont="1" applyFill="1" applyBorder="1" applyAlignment="1">
      <alignment horizontal="center" vertical="center"/>
    </xf>
    <xf numFmtId="0" fontId="72" fillId="16" borderId="0" xfId="0" applyFont="1" applyFill="1" applyAlignment="1">
      <alignment vertical="center"/>
    </xf>
    <xf numFmtId="170" fontId="33" fillId="0" borderId="46" xfId="0" applyNumberFormat="1" applyFont="1" applyBorder="1" applyAlignment="1">
      <alignment vertical="center"/>
    </xf>
    <xf numFmtId="49" fontId="34" fillId="0" borderId="47" xfId="0" applyNumberFormat="1" applyFont="1" applyBorder="1" applyAlignment="1">
      <alignment horizontal="center" vertical="center"/>
    </xf>
    <xf numFmtId="170" fontId="35" fillId="0" borderId="0" xfId="0" applyNumberFormat="1" applyFont="1" applyFill="1" applyBorder="1" applyAlignment="1">
      <alignment vertical="center"/>
    </xf>
    <xf numFmtId="169" fontId="19" fillId="0" borderId="48" xfId="0" applyNumberFormat="1" applyFont="1" applyBorder="1" applyAlignment="1">
      <alignment horizontal="center" vertical="center"/>
    </xf>
    <xf numFmtId="168" fontId="15" fillId="0" borderId="49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170" fontId="32" fillId="0" borderId="41" xfId="0" applyNumberFormat="1" applyFont="1" applyFill="1" applyBorder="1" applyAlignment="1">
      <alignment vertical="center"/>
    </xf>
    <xf numFmtId="170" fontId="57" fillId="21" borderId="0" xfId="0" applyNumberFormat="1" applyFont="1" applyFill="1" applyBorder="1" applyAlignment="1">
      <alignment vertical="center"/>
    </xf>
    <xf numFmtId="49" fontId="46" fillId="21" borderId="0" xfId="0" applyNumberFormat="1" applyFont="1" applyFill="1" applyBorder="1" applyAlignment="1">
      <alignment horizontal="center" vertical="center"/>
    </xf>
    <xf numFmtId="49" fontId="84" fillId="0" borderId="0" xfId="0" applyNumberFormat="1" applyFont="1" applyBorder="1" applyAlignment="1">
      <alignment horizontal="center" vertical="center"/>
    </xf>
    <xf numFmtId="169" fontId="85" fillId="0" borderId="18" xfId="0" applyNumberFormat="1" applyFont="1" applyBorder="1" applyAlignment="1">
      <alignment horizontal="center" vertical="center"/>
    </xf>
    <xf numFmtId="0" fontId="84" fillId="0" borderId="18" xfId="0" applyFont="1" applyBorder="1" applyAlignment="1">
      <alignment vertical="center"/>
    </xf>
    <xf numFmtId="168" fontId="27" fillId="0" borderId="18" xfId="0" applyNumberFormat="1" applyFont="1" applyBorder="1" applyAlignment="1">
      <alignment horizontal="center" vertical="center"/>
    </xf>
    <xf numFmtId="186" fontId="27" fillId="0" borderId="18" xfId="0" applyNumberFormat="1" applyFont="1" applyBorder="1" applyAlignment="1">
      <alignment horizontal="center" vertical="center"/>
    </xf>
    <xf numFmtId="4" fontId="86" fillId="0" borderId="18" xfId="0" applyNumberFormat="1" applyFont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0" fontId="3" fillId="16" borderId="0" xfId="0" applyFont="1" applyFill="1" applyBorder="1" applyAlignment="1">
      <alignment horizontal="center" vertical="center"/>
    </xf>
    <xf numFmtId="170" fontId="11" fillId="16" borderId="0" xfId="0" applyNumberFormat="1" applyFont="1" applyFill="1" applyBorder="1" applyAlignment="1">
      <alignment vertical="center"/>
    </xf>
    <xf numFmtId="49" fontId="9" fillId="16" borderId="0" xfId="0" applyNumberFormat="1" applyFont="1" applyFill="1" applyBorder="1" applyAlignment="1">
      <alignment horizontal="center" vertical="center"/>
    </xf>
    <xf numFmtId="170" fontId="72" fillId="16" borderId="0" xfId="0" applyNumberFormat="1" applyFont="1" applyFill="1" applyBorder="1" applyAlignment="1">
      <alignment vertical="center"/>
    </xf>
    <xf numFmtId="170" fontId="32" fillId="16" borderId="0" xfId="0" applyNumberFormat="1" applyFont="1" applyFill="1" applyBorder="1" applyAlignment="1">
      <alignment vertical="center"/>
    </xf>
    <xf numFmtId="49" fontId="3" fillId="16" borderId="0" xfId="0" applyNumberFormat="1" applyFont="1" applyFill="1" applyBorder="1" applyAlignment="1">
      <alignment horizontal="center" vertical="center"/>
    </xf>
    <xf numFmtId="169" fontId="13" fillId="16" borderId="18" xfId="0" applyNumberFormat="1" applyFont="1" applyFill="1" applyBorder="1" applyAlignment="1">
      <alignment horizontal="center" vertical="center"/>
    </xf>
    <xf numFmtId="0" fontId="3" fillId="16" borderId="18" xfId="0" applyFont="1" applyFill="1" applyBorder="1" applyAlignment="1">
      <alignment vertical="center"/>
    </xf>
    <xf numFmtId="4" fontId="12" fillId="16" borderId="18" xfId="0" applyNumberFormat="1" applyFont="1" applyFill="1" applyBorder="1" applyAlignment="1">
      <alignment horizontal="center" vertical="center"/>
    </xf>
    <xf numFmtId="170" fontId="11" fillId="16" borderId="20" xfId="0" applyNumberFormat="1" applyFont="1" applyFill="1" applyBorder="1" applyAlignment="1">
      <alignment vertical="center"/>
    </xf>
    <xf numFmtId="49" fontId="9" fillId="16" borderId="20" xfId="0" applyNumberFormat="1" applyFont="1" applyFill="1" applyBorder="1" applyAlignment="1">
      <alignment horizontal="center" vertical="center"/>
    </xf>
    <xf numFmtId="170" fontId="72" fillId="16" borderId="20" xfId="0" applyNumberFormat="1" applyFont="1" applyFill="1" applyBorder="1" applyAlignment="1">
      <alignment vertical="center"/>
    </xf>
    <xf numFmtId="170" fontId="32" fillId="16" borderId="20" xfId="0" applyNumberFormat="1" applyFont="1" applyFill="1" applyBorder="1" applyAlignment="1">
      <alignment vertical="center"/>
    </xf>
    <xf numFmtId="49" fontId="3" fillId="16" borderId="20" xfId="0" applyNumberFormat="1" applyFont="1" applyFill="1" applyBorder="1" applyAlignment="1">
      <alignment horizontal="center" vertical="center"/>
    </xf>
    <xf numFmtId="169" fontId="13" fillId="16" borderId="21" xfId="0" applyNumberFormat="1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vertical="center"/>
    </xf>
    <xf numFmtId="168" fontId="15" fillId="16" borderId="21" xfId="0" applyNumberFormat="1" applyFont="1" applyFill="1" applyBorder="1" applyAlignment="1">
      <alignment horizontal="center" vertical="center"/>
    </xf>
    <xf numFmtId="186" fontId="15" fillId="16" borderId="21" xfId="0" applyNumberFormat="1" applyFont="1" applyFill="1" applyBorder="1" applyAlignment="1">
      <alignment horizontal="center" vertical="center"/>
    </xf>
    <xf numFmtId="4" fontId="12" fillId="16" borderId="21" xfId="0" applyNumberFormat="1" applyFont="1" applyFill="1" applyBorder="1" applyAlignment="1">
      <alignment horizontal="center" vertical="center"/>
    </xf>
    <xf numFmtId="170" fontId="73" fillId="0" borderId="0" xfId="0" applyNumberFormat="1" applyFont="1" applyBorder="1" applyAlignment="1">
      <alignment vertical="center"/>
    </xf>
    <xf numFmtId="49" fontId="74" fillId="0" borderId="0" xfId="0" applyNumberFormat="1" applyFont="1" applyBorder="1" applyAlignment="1">
      <alignment horizontal="center" vertical="center"/>
    </xf>
    <xf numFmtId="170" fontId="75" fillId="0" borderId="0" xfId="0" applyNumberFormat="1" applyFont="1" applyFill="1" applyBorder="1" applyAlignment="1">
      <alignment vertical="center"/>
    </xf>
    <xf numFmtId="169" fontId="77" fillId="0" borderId="18" xfId="0" applyNumberFormat="1" applyFont="1" applyFill="1" applyBorder="1" applyAlignment="1">
      <alignment horizontal="center" vertical="center"/>
    </xf>
    <xf numFmtId="170" fontId="11" fillId="0" borderId="0" xfId="0" applyNumberFormat="1" applyFont="1" applyFill="1" applyBorder="1" applyAlignment="1">
      <alignment vertical="center"/>
    </xf>
    <xf numFmtId="170" fontId="11" fillId="0" borderId="40" xfId="0" applyNumberFormat="1" applyFont="1" applyBorder="1" applyAlignment="1">
      <alignment vertical="center"/>
    </xf>
    <xf numFmtId="0" fontId="14" fillId="0" borderId="0" xfId="0" applyFont="1" applyAlignment="1">
      <alignment horizontal="left"/>
    </xf>
    <xf numFmtId="170" fontId="11" fillId="0" borderId="23" xfId="0" applyNumberFormat="1" applyFont="1" applyBorder="1"/>
    <xf numFmtId="170" fontId="11" fillId="0" borderId="24" xfId="0" applyNumberFormat="1" applyFont="1" applyBorder="1"/>
    <xf numFmtId="0" fontId="0" fillId="0" borderId="0" xfId="0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170" fontId="11" fillId="0" borderId="20" xfId="0" applyNumberFormat="1" applyFont="1" applyFill="1" applyBorder="1"/>
    <xf numFmtId="49" fontId="9" fillId="0" borderId="20" xfId="0" applyNumberFormat="1" applyFont="1" applyFill="1" applyBorder="1" applyAlignment="1">
      <alignment horizontal="center"/>
    </xf>
    <xf numFmtId="170" fontId="32" fillId="0" borderId="20" xfId="0" applyNumberFormat="1" applyFont="1" applyFill="1" applyBorder="1"/>
    <xf numFmtId="168" fontId="15" fillId="0" borderId="21" xfId="0" applyNumberFormat="1" applyFont="1" applyFill="1" applyBorder="1" applyAlignment="1">
      <alignment horizontal="center"/>
    </xf>
    <xf numFmtId="186" fontId="15" fillId="0" borderId="2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7" fillId="0" borderId="0" xfId="0" applyFont="1" applyAlignment="1">
      <alignment horizontal="left"/>
    </xf>
    <xf numFmtId="0" fontId="11" fillId="0" borderId="0" xfId="0" applyFont="1" applyFill="1" applyAlignment="1">
      <alignment horizontal="left" indent="1"/>
    </xf>
    <xf numFmtId="0" fontId="3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170" fontId="11" fillId="0" borderId="41" xfId="0" applyNumberFormat="1" applyFont="1" applyFill="1" applyBorder="1"/>
    <xf numFmtId="49" fontId="9" fillId="0" borderId="41" xfId="0" applyNumberFormat="1" applyFont="1" applyFill="1" applyBorder="1" applyAlignment="1">
      <alignment horizontal="center"/>
    </xf>
    <xf numFmtId="170" fontId="32" fillId="0" borderId="41" xfId="0" applyNumberFormat="1" applyFont="1" applyFill="1" applyBorder="1"/>
    <xf numFmtId="49" fontId="3" fillId="0" borderId="41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/>
    <xf numFmtId="168" fontId="15" fillId="0" borderId="42" xfId="0" applyNumberFormat="1" applyFont="1" applyFill="1" applyBorder="1" applyAlignment="1">
      <alignment horizontal="center"/>
    </xf>
    <xf numFmtId="186" fontId="15" fillId="0" borderId="42" xfId="0" applyNumberFormat="1" applyFont="1" applyFill="1" applyBorder="1" applyAlignment="1">
      <alignment horizontal="center"/>
    </xf>
    <xf numFmtId="4" fontId="12" fillId="0" borderId="42" xfId="0" applyNumberFormat="1" applyFont="1" applyFill="1" applyBorder="1" applyAlignment="1">
      <alignment horizontal="center"/>
    </xf>
    <xf numFmtId="0" fontId="16" fillId="21" borderId="17" xfId="0" applyFont="1" applyFill="1" applyBorder="1" applyAlignment="1">
      <alignment horizontal="center" vertical="center"/>
    </xf>
    <xf numFmtId="170" fontId="14" fillId="21" borderId="0" xfId="0" applyNumberFormat="1" applyFont="1" applyFill="1" applyBorder="1"/>
    <xf numFmtId="49" fontId="47" fillId="21" borderId="0" xfId="0" applyNumberFormat="1" applyFont="1" applyFill="1" applyBorder="1" applyAlignment="1">
      <alignment horizontal="center"/>
    </xf>
    <xf numFmtId="170" fontId="48" fillId="21" borderId="0" xfId="0" applyNumberFormat="1" applyFont="1" applyFill="1" applyBorder="1"/>
    <xf numFmtId="49" fontId="16" fillId="21" borderId="0" xfId="0" applyNumberFormat="1" applyFont="1" applyFill="1" applyBorder="1" applyAlignment="1">
      <alignment horizontal="center" vertical="center"/>
    </xf>
    <xf numFmtId="169" fontId="15" fillId="21" borderId="18" xfId="0" applyNumberFormat="1" applyFont="1" applyFill="1" applyBorder="1" applyAlignment="1">
      <alignment horizontal="center"/>
    </xf>
    <xf numFmtId="0" fontId="16" fillId="21" borderId="18" xfId="0" applyFont="1" applyFill="1" applyBorder="1" applyAlignment="1"/>
    <xf numFmtId="4" fontId="49" fillId="21" borderId="18" xfId="0" applyNumberFormat="1" applyFont="1" applyFill="1" applyBorder="1" applyAlignment="1">
      <alignment horizontal="center"/>
    </xf>
    <xf numFmtId="0" fontId="14" fillId="21" borderId="0" xfId="0" applyFont="1" applyFill="1" applyAlignment="1">
      <alignment vertical="center"/>
    </xf>
    <xf numFmtId="0" fontId="14" fillId="16" borderId="0" xfId="0" applyFont="1" applyFill="1"/>
    <xf numFmtId="170" fontId="14" fillId="21" borderId="0" xfId="0" applyNumberFormat="1" applyFont="1" applyFill="1" applyBorder="1" applyAlignment="1">
      <alignment vertical="center"/>
    </xf>
    <xf numFmtId="49" fontId="47" fillId="21" borderId="0" xfId="0" applyNumberFormat="1" applyFont="1" applyFill="1" applyBorder="1" applyAlignment="1">
      <alignment horizontal="center" vertical="center"/>
    </xf>
    <xf numFmtId="170" fontId="48" fillId="21" borderId="0" xfId="0" applyNumberFormat="1" applyFont="1" applyFill="1" applyBorder="1" applyAlignment="1">
      <alignment vertical="center"/>
    </xf>
    <xf numFmtId="169" fontId="15" fillId="21" borderId="18" xfId="0" applyNumberFormat="1" applyFont="1" applyFill="1" applyBorder="1" applyAlignment="1">
      <alignment horizontal="center" vertical="center"/>
    </xf>
    <xf numFmtId="0" fontId="16" fillId="21" borderId="18" xfId="0" applyFont="1" applyFill="1" applyBorder="1" applyAlignment="1">
      <alignment vertical="center"/>
    </xf>
    <xf numFmtId="168" fontId="15" fillId="21" borderId="18" xfId="0" applyNumberFormat="1" applyFont="1" applyFill="1" applyBorder="1" applyAlignment="1">
      <alignment horizontal="center" vertical="center"/>
    </xf>
    <xf numFmtId="186" fontId="15" fillId="21" borderId="18" xfId="0" applyNumberFormat="1" applyFont="1" applyFill="1" applyBorder="1" applyAlignment="1">
      <alignment horizontal="center" vertical="center"/>
    </xf>
    <xf numFmtId="4" fontId="49" fillId="21" borderId="18" xfId="0" applyNumberFormat="1" applyFont="1" applyFill="1" applyBorder="1" applyAlignment="1">
      <alignment horizontal="center" vertical="center"/>
    </xf>
    <xf numFmtId="0" fontId="8" fillId="18" borderId="0" xfId="0" applyFont="1" applyFill="1" applyAlignment="1">
      <alignment horizontal="center" vertical="center"/>
    </xf>
    <xf numFmtId="0" fontId="9" fillId="18" borderId="0" xfId="0" applyFont="1" applyFill="1" applyAlignment="1">
      <alignment horizontal="center" vertical="center"/>
    </xf>
    <xf numFmtId="170" fontId="35" fillId="0" borderId="20" xfId="0" applyNumberFormat="1" applyFont="1" applyFill="1" applyBorder="1" applyAlignment="1">
      <alignment vertical="center"/>
    </xf>
    <xf numFmtId="0" fontId="33" fillId="0" borderId="0" xfId="0" applyFont="1" applyAlignment="1">
      <alignment horizontal="left"/>
    </xf>
    <xf numFmtId="170" fontId="72" fillId="16" borderId="0" xfId="0" applyNumberFormat="1" applyFont="1" applyFill="1" applyBorder="1"/>
    <xf numFmtId="49" fontId="88" fillId="16" borderId="0" xfId="0" applyNumberFormat="1" applyFont="1" applyFill="1" applyBorder="1" applyAlignment="1">
      <alignment horizontal="center"/>
    </xf>
    <xf numFmtId="170" fontId="89" fillId="16" borderId="0" xfId="0" applyNumberFormat="1" applyFont="1" applyFill="1" applyBorder="1"/>
    <xf numFmtId="49" fontId="90" fillId="16" borderId="0" xfId="0" applyNumberFormat="1" applyFont="1" applyFill="1" applyBorder="1" applyAlignment="1">
      <alignment horizontal="center" vertical="center"/>
    </xf>
    <xf numFmtId="169" fontId="91" fillId="16" borderId="18" xfId="0" applyNumberFormat="1" applyFont="1" applyFill="1" applyBorder="1" applyAlignment="1">
      <alignment horizontal="center"/>
    </xf>
    <xf numFmtId="0" fontId="90" fillId="16" borderId="18" xfId="0" applyFont="1" applyFill="1" applyBorder="1" applyAlignment="1"/>
    <xf numFmtId="4" fontId="92" fillId="16" borderId="18" xfId="0" applyNumberFormat="1" applyFont="1" applyFill="1" applyBorder="1" applyAlignment="1">
      <alignment horizontal="center"/>
    </xf>
    <xf numFmtId="0" fontId="72" fillId="16" borderId="0" xfId="0" applyFont="1" applyFill="1"/>
    <xf numFmtId="0" fontId="9" fillId="0" borderId="0" xfId="0" applyFont="1" applyBorder="1" applyAlignment="1">
      <alignment horizontal="center" vertical="center" textRotation="90"/>
    </xf>
    <xf numFmtId="0" fontId="33" fillId="0" borderId="0" xfId="0" applyFont="1"/>
    <xf numFmtId="0" fontId="9" fillId="0" borderId="41" xfId="0" applyFont="1" applyBorder="1" applyAlignment="1">
      <alignment horizontal="center" vertical="center" textRotation="90"/>
    </xf>
    <xf numFmtId="0" fontId="14" fillId="21" borderId="0" xfId="0" applyFont="1" applyFill="1"/>
    <xf numFmtId="170" fontId="93" fillId="0" borderId="0" xfId="0" applyNumberFormat="1" applyFont="1" applyBorder="1"/>
    <xf numFmtId="49" fontId="94" fillId="0" borderId="0" xfId="0" applyNumberFormat="1" applyFont="1" applyBorder="1" applyAlignment="1">
      <alignment horizontal="center"/>
    </xf>
    <xf numFmtId="170" fontId="95" fillId="0" borderId="0" xfId="0" applyNumberFormat="1" applyFont="1" applyBorder="1"/>
    <xf numFmtId="49" fontId="9" fillId="18" borderId="0" xfId="0" applyNumberFormat="1" applyFont="1" applyFill="1" applyBorder="1" applyAlignment="1">
      <alignment horizontal="center"/>
    </xf>
    <xf numFmtId="0" fontId="33" fillId="16" borderId="0" xfId="0" applyFont="1" applyFill="1"/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0" fontId="33" fillId="0" borderId="23" xfId="0" applyNumberFormat="1" applyFont="1" applyBorder="1"/>
    <xf numFmtId="170" fontId="57" fillId="0" borderId="0" xfId="0" applyNumberFormat="1" applyFont="1" applyFill="1" applyBorder="1"/>
    <xf numFmtId="4" fontId="12" fillId="0" borderId="0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0" fontId="11" fillId="0" borderId="40" xfId="0" applyNumberFormat="1" applyFont="1" applyBorder="1"/>
    <xf numFmtId="0" fontId="23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170" fontId="11" fillId="0" borderId="50" xfId="0" applyNumberFormat="1" applyFont="1" applyBorder="1"/>
    <xf numFmtId="170" fontId="11" fillId="0" borderId="33" xfId="0" applyNumberFormat="1" applyFont="1" applyFill="1" applyBorder="1"/>
    <xf numFmtId="170" fontId="32" fillId="0" borderId="33" xfId="0" applyNumberFormat="1" applyFont="1" applyFill="1" applyBorder="1"/>
    <xf numFmtId="0" fontId="84" fillId="0" borderId="18" xfId="0" applyFont="1" applyBorder="1" applyAlignment="1"/>
    <xf numFmtId="170" fontId="32" fillId="0" borderId="13" xfId="0" applyNumberFormat="1" applyFont="1" applyBorder="1"/>
    <xf numFmtId="0" fontId="96" fillId="0" borderId="0" xfId="0" applyFont="1"/>
    <xf numFmtId="170" fontId="97" fillId="16" borderId="0" xfId="0" applyNumberFormat="1" applyFont="1" applyFill="1" applyBorder="1"/>
    <xf numFmtId="49" fontId="98" fillId="16" borderId="0" xfId="0" applyNumberFormat="1" applyFont="1" applyFill="1" applyBorder="1" applyAlignment="1">
      <alignment horizontal="center"/>
    </xf>
    <xf numFmtId="170" fontId="99" fillId="16" borderId="0" xfId="0" applyNumberFormat="1" applyFont="1" applyFill="1" applyBorder="1"/>
    <xf numFmtId="49" fontId="100" fillId="16" borderId="0" xfId="0" applyNumberFormat="1" applyFont="1" applyFill="1" applyBorder="1" applyAlignment="1">
      <alignment horizontal="center" vertical="center"/>
    </xf>
    <xf numFmtId="169" fontId="101" fillId="16" borderId="18" xfId="0" applyNumberFormat="1" applyFont="1" applyFill="1" applyBorder="1" applyAlignment="1">
      <alignment horizontal="center"/>
    </xf>
    <xf numFmtId="0" fontId="100" fillId="16" borderId="18" xfId="0" applyFont="1" applyFill="1" applyBorder="1" applyAlignment="1"/>
    <xf numFmtId="4" fontId="102" fillId="16" borderId="18" xfId="0" applyNumberFormat="1" applyFont="1" applyFill="1" applyBorder="1" applyAlignment="1">
      <alignment horizontal="center"/>
    </xf>
    <xf numFmtId="170" fontId="97" fillId="0" borderId="0" xfId="0" applyNumberFormat="1" applyFont="1" applyBorder="1"/>
    <xf numFmtId="49" fontId="98" fillId="0" borderId="0" xfId="0" applyNumberFormat="1" applyFont="1" applyBorder="1" applyAlignment="1">
      <alignment horizontal="center"/>
    </xf>
    <xf numFmtId="170" fontId="99" fillId="0" borderId="0" xfId="0" applyNumberFormat="1" applyFont="1" applyBorder="1"/>
    <xf numFmtId="49" fontId="100" fillId="0" borderId="0" xfId="0" applyNumberFormat="1" applyFont="1" applyBorder="1" applyAlignment="1">
      <alignment horizontal="center" vertical="center"/>
    </xf>
    <xf numFmtId="169" fontId="101" fillId="0" borderId="18" xfId="0" applyNumberFormat="1" applyFont="1" applyBorder="1" applyAlignment="1">
      <alignment horizontal="center"/>
    </xf>
    <xf numFmtId="0" fontId="100" fillId="0" borderId="18" xfId="0" applyFont="1" applyBorder="1" applyAlignment="1"/>
    <xf numFmtId="4" fontId="102" fillId="0" borderId="18" xfId="0" applyNumberFormat="1" applyFont="1" applyBorder="1" applyAlignment="1">
      <alignment horizontal="center"/>
    </xf>
    <xf numFmtId="0" fontId="11" fillId="0" borderId="0" xfId="0" applyFont="1"/>
    <xf numFmtId="0" fontId="16" fillId="21" borderId="12" xfId="0" applyFont="1" applyFill="1" applyBorder="1" applyAlignment="1">
      <alignment horizontal="center" vertical="center"/>
    </xf>
    <xf numFmtId="170" fontId="97" fillId="21" borderId="13" xfId="0" applyNumberFormat="1" applyFont="1" applyFill="1" applyBorder="1"/>
    <xf numFmtId="49" fontId="98" fillId="21" borderId="13" xfId="0" applyNumberFormat="1" applyFont="1" applyFill="1" applyBorder="1" applyAlignment="1">
      <alignment horizontal="center"/>
    </xf>
    <xf numFmtId="170" fontId="99" fillId="21" borderId="13" xfId="0" applyNumberFormat="1" applyFont="1" applyFill="1" applyBorder="1"/>
    <xf numFmtId="49" fontId="100" fillId="21" borderId="13" xfId="0" applyNumberFormat="1" applyFont="1" applyFill="1" applyBorder="1" applyAlignment="1">
      <alignment horizontal="center" vertical="center"/>
    </xf>
    <xf numFmtId="169" fontId="101" fillId="21" borderId="14" xfId="0" applyNumberFormat="1" applyFont="1" applyFill="1" applyBorder="1" applyAlignment="1">
      <alignment horizontal="center"/>
    </xf>
    <xf numFmtId="14" fontId="100" fillId="21" borderId="14" xfId="0" applyNumberFormat="1" applyFont="1" applyFill="1" applyBorder="1" applyAlignment="1"/>
    <xf numFmtId="168" fontId="15" fillId="21" borderId="14" xfId="0" applyNumberFormat="1" applyFont="1" applyFill="1" applyBorder="1" applyAlignment="1">
      <alignment horizontal="center"/>
    </xf>
    <xf numFmtId="186" fontId="15" fillId="21" borderId="14" xfId="0" applyNumberFormat="1" applyFont="1" applyFill="1" applyBorder="1" applyAlignment="1">
      <alignment horizontal="center"/>
    </xf>
    <xf numFmtId="4" fontId="102" fillId="21" borderId="14" xfId="0" applyNumberFormat="1" applyFont="1" applyFill="1" applyBorder="1" applyAlignment="1">
      <alignment horizontal="center"/>
    </xf>
    <xf numFmtId="170" fontId="97" fillId="21" borderId="0" xfId="0" applyNumberFormat="1" applyFont="1" applyFill="1" applyBorder="1"/>
    <xf numFmtId="49" fontId="98" fillId="21" borderId="0" xfId="0" applyNumberFormat="1" applyFont="1" applyFill="1" applyBorder="1" applyAlignment="1">
      <alignment horizontal="center"/>
    </xf>
    <xf numFmtId="170" fontId="99" fillId="21" borderId="0" xfId="0" applyNumberFormat="1" applyFont="1" applyFill="1" applyBorder="1"/>
    <xf numFmtId="49" fontId="100" fillId="21" borderId="0" xfId="0" applyNumberFormat="1" applyFont="1" applyFill="1" applyBorder="1" applyAlignment="1">
      <alignment horizontal="center" vertical="center"/>
    </xf>
    <xf numFmtId="169" fontId="101" fillId="21" borderId="18" xfId="0" applyNumberFormat="1" applyFont="1" applyFill="1" applyBorder="1" applyAlignment="1">
      <alignment horizontal="center"/>
    </xf>
    <xf numFmtId="14" fontId="100" fillId="21" borderId="18" xfId="0" applyNumberFormat="1" applyFont="1" applyFill="1" applyBorder="1" applyAlignment="1"/>
    <xf numFmtId="4" fontId="102" fillId="21" borderId="18" xfId="0" applyNumberFormat="1" applyFont="1" applyFill="1" applyBorder="1" applyAlignment="1">
      <alignment horizontal="center"/>
    </xf>
    <xf numFmtId="14" fontId="16" fillId="21" borderId="18" xfId="0" applyNumberFormat="1" applyFont="1" applyFill="1" applyBorder="1" applyAlignment="1"/>
    <xf numFmtId="0" fontId="14" fillId="0" borderId="0" xfId="0" applyFont="1"/>
    <xf numFmtId="0" fontId="18" fillId="0" borderId="33" xfId="0" applyFont="1" applyBorder="1" applyAlignment="1">
      <alignment horizontal="center" vertical="center"/>
    </xf>
    <xf numFmtId="49" fontId="103" fillId="0" borderId="0" xfId="0" applyNumberFormat="1" applyFont="1" applyBorder="1" applyAlignment="1">
      <alignment horizontal="center"/>
    </xf>
    <xf numFmtId="49" fontId="104" fillId="0" borderId="0" xfId="0" applyNumberFormat="1" applyFont="1" applyFill="1" applyBorder="1" applyAlignment="1">
      <alignment horizontal="center" vertical="center"/>
    </xf>
    <xf numFmtId="14" fontId="0" fillId="0" borderId="18" xfId="0" applyNumberFormat="1" applyFill="1" applyBorder="1" applyAlignment="1"/>
    <xf numFmtId="170" fontId="105" fillId="0" borderId="0" xfId="0" applyNumberFormat="1" applyFont="1" applyBorder="1"/>
    <xf numFmtId="49" fontId="106" fillId="0" borderId="0" xfId="0" applyNumberFormat="1" applyFont="1" applyBorder="1" applyAlignment="1">
      <alignment horizontal="center"/>
    </xf>
    <xf numFmtId="170" fontId="107" fillId="0" borderId="0" xfId="0" applyNumberFormat="1" applyFont="1" applyBorder="1"/>
    <xf numFmtId="49" fontId="108" fillId="0" borderId="0" xfId="0" applyNumberFormat="1" applyFont="1" applyBorder="1" applyAlignment="1">
      <alignment horizontal="center" vertical="center"/>
    </xf>
    <xf numFmtId="169" fontId="109" fillId="0" borderId="18" xfId="0" applyNumberFormat="1" applyFont="1" applyBorder="1" applyAlignment="1">
      <alignment horizontal="center"/>
    </xf>
    <xf numFmtId="14" fontId="110" fillId="0" borderId="18" xfId="0" applyNumberFormat="1" applyFont="1" applyBorder="1" applyAlignment="1"/>
    <xf numFmtId="4" fontId="111" fillId="0" borderId="18" xfId="0" applyNumberFormat="1" applyFont="1" applyBorder="1" applyAlignment="1">
      <alignment horizontal="center"/>
    </xf>
    <xf numFmtId="49" fontId="112" fillId="0" borderId="0" xfId="0" applyNumberFormat="1" applyFont="1" applyBorder="1" applyAlignment="1">
      <alignment horizontal="center" vertical="center"/>
    </xf>
    <xf numFmtId="14" fontId="76" fillId="0" borderId="18" xfId="0" applyNumberFormat="1" applyFont="1" applyBorder="1" applyAlignment="1"/>
    <xf numFmtId="4" fontId="113" fillId="0" borderId="18" xfId="0" applyNumberFormat="1" applyFont="1" applyBorder="1" applyAlignment="1">
      <alignment horizontal="center"/>
    </xf>
    <xf numFmtId="170" fontId="76" fillId="0" borderId="0" xfId="0" applyNumberFormat="1" applyFont="1" applyBorder="1"/>
    <xf numFmtId="49" fontId="114" fillId="0" borderId="0" xfId="0" applyNumberFormat="1" applyFont="1" applyBorder="1" applyAlignment="1">
      <alignment horizontal="center" vertical="center"/>
    </xf>
    <xf numFmtId="14" fontId="67" fillId="0" borderId="18" xfId="0" applyNumberFormat="1" applyFont="1" applyBorder="1" applyAlignment="1"/>
    <xf numFmtId="0" fontId="18" fillId="0" borderId="20" xfId="0" applyFont="1" applyBorder="1" applyAlignment="1">
      <alignment horizontal="center" vertical="center"/>
    </xf>
    <xf numFmtId="170" fontId="69" fillId="0" borderId="20" xfId="0" applyNumberFormat="1" applyFont="1" applyBorder="1"/>
    <xf numFmtId="49" fontId="114" fillId="0" borderId="20" xfId="0" applyNumberFormat="1" applyFont="1" applyBorder="1" applyAlignment="1">
      <alignment horizontal="center" vertical="center"/>
    </xf>
    <xf numFmtId="14" fontId="67" fillId="0" borderId="21" xfId="0" applyNumberFormat="1" applyFont="1" applyBorder="1" applyAlignment="1"/>
    <xf numFmtId="0" fontId="9" fillId="21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4" fontId="0" fillId="0" borderId="18" xfId="0" applyNumberFormat="1" applyBorder="1" applyAlignment="1"/>
    <xf numFmtId="49" fontId="0" fillId="0" borderId="41" xfId="0" applyNumberFormat="1" applyBorder="1" applyAlignment="1">
      <alignment horizontal="center" vertical="center"/>
    </xf>
    <xf numFmtId="14" fontId="0" fillId="0" borderId="42" xfId="0" applyNumberFormat="1" applyBorder="1" applyAlignment="1"/>
    <xf numFmtId="170" fontId="116" fillId="0" borderId="0" xfId="0" applyNumberFormat="1" applyFont="1" applyBorder="1"/>
    <xf numFmtId="170" fontId="117" fillId="0" borderId="0" xfId="0" applyNumberFormat="1" applyFont="1" applyBorder="1"/>
    <xf numFmtId="49" fontId="118" fillId="0" borderId="0" xfId="0" applyNumberFormat="1" applyFont="1" applyBorder="1" applyAlignment="1">
      <alignment horizontal="center" vertical="center"/>
    </xf>
    <xf numFmtId="169" fontId="119" fillId="0" borderId="18" xfId="0" applyNumberFormat="1" applyFont="1" applyBorder="1" applyAlignment="1">
      <alignment horizontal="center"/>
    </xf>
    <xf numFmtId="14" fontId="118" fillId="0" borderId="18" xfId="0" applyNumberFormat="1" applyFont="1" applyBorder="1" applyAlignment="1"/>
    <xf numFmtId="4" fontId="120" fillId="0" borderId="18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70" fontId="11" fillId="0" borderId="13" xfId="0" applyNumberFormat="1" applyFont="1" applyFill="1" applyBorder="1"/>
    <xf numFmtId="170" fontId="32" fillId="0" borderId="13" xfId="0" applyNumberFormat="1" applyFont="1" applyFill="1" applyBorder="1"/>
    <xf numFmtId="49" fontId="0" fillId="0" borderId="13" xfId="0" applyNumberFormat="1" applyBorder="1" applyAlignment="1">
      <alignment horizontal="center" vertical="center"/>
    </xf>
    <xf numFmtId="14" fontId="0" fillId="0" borderId="14" xfId="0" applyNumberFormat="1" applyBorder="1" applyAlignment="1"/>
    <xf numFmtId="170" fontId="11" fillId="20" borderId="0" xfId="0" applyNumberFormat="1" applyFont="1" applyFill="1" applyBorder="1"/>
    <xf numFmtId="49" fontId="9" fillId="20" borderId="0" xfId="0" applyNumberFormat="1" applyFont="1" applyFill="1" applyBorder="1" applyAlignment="1">
      <alignment horizontal="center"/>
    </xf>
    <xf numFmtId="169" fontId="13" fillId="20" borderId="18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4" fontId="0" fillId="0" borderId="21" xfId="0" applyNumberFormat="1" applyBorder="1" applyAlignment="1"/>
    <xf numFmtId="0" fontId="121" fillId="0" borderId="0" xfId="0" applyFont="1" applyBorder="1" applyAlignment="1">
      <alignment horizontal="center" vertical="center" textRotation="255"/>
    </xf>
    <xf numFmtId="169" fontId="13" fillId="0" borderId="0" xfId="0" applyNumberFormat="1" applyFont="1" applyBorder="1" applyAlignment="1">
      <alignment horizontal="center"/>
    </xf>
    <xf numFmtId="14" fontId="0" fillId="0" borderId="0" xfId="0" applyNumberFormat="1" applyBorder="1" applyAlignment="1"/>
    <xf numFmtId="168" fontId="14" fillId="0" borderId="0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22" fillId="0" borderId="0" xfId="0" applyFont="1" applyBorder="1" applyAlignment="1">
      <alignment horizontal="left" vertical="center"/>
    </xf>
    <xf numFmtId="170" fontId="12" fillId="0" borderId="0" xfId="0" applyNumberFormat="1" applyFont="1" applyFill="1" applyBorder="1"/>
    <xf numFmtId="0" fontId="7" fillId="0" borderId="0" xfId="0" applyFont="1" applyAlignment="1">
      <alignment vertical="center"/>
    </xf>
    <xf numFmtId="170" fontId="23" fillId="0" borderId="51" xfId="0" applyNumberFormat="1" applyFont="1" applyBorder="1" applyAlignment="1">
      <alignment horizontal="center" vertical="center"/>
    </xf>
    <xf numFmtId="170" fontId="23" fillId="0" borderId="52" xfId="0" applyNumberFormat="1" applyFont="1" applyBorder="1" applyAlignment="1">
      <alignment horizontal="center" vertical="center"/>
    </xf>
    <xf numFmtId="170" fontId="123" fillId="0" borderId="54" xfId="0" applyNumberFormat="1" applyFont="1" applyBorder="1" applyAlignment="1">
      <alignment horizontal="center" vertical="center"/>
    </xf>
    <xf numFmtId="170" fontId="76" fillId="0" borderId="55" xfId="0" applyNumberFormat="1" applyFont="1" applyBorder="1" applyAlignment="1">
      <alignment horizontal="center" vertical="center" wrapText="1"/>
    </xf>
    <xf numFmtId="4" fontId="37" fillId="0" borderId="5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170" fontId="124" fillId="0" borderId="56" xfId="0" applyNumberFormat="1" applyFont="1" applyBorder="1" applyAlignment="1">
      <alignment horizontal="center" vertical="center"/>
    </xf>
    <xf numFmtId="170" fontId="124" fillId="0" borderId="19" xfId="0" applyNumberFormat="1" applyFont="1" applyBorder="1" applyAlignment="1">
      <alignment horizontal="center" vertical="center"/>
    </xf>
    <xf numFmtId="1" fontId="39" fillId="0" borderId="21" xfId="0" applyNumberFormat="1" applyFont="1" applyBorder="1" applyAlignment="1">
      <alignment horizontal="center" vertical="center"/>
    </xf>
    <xf numFmtId="1" fontId="74" fillId="0" borderId="19" xfId="0" applyNumberFormat="1" applyFont="1" applyBorder="1" applyAlignment="1">
      <alignment horizontal="center" vertical="center"/>
    </xf>
    <xf numFmtId="173" fontId="9" fillId="0" borderId="19" xfId="33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0" fontId="127" fillId="19" borderId="0" xfId="0" applyFont="1" applyFill="1" applyAlignment="1">
      <alignment horizontal="justify" vertical="center" wrapText="1" shrinkToFit="1"/>
    </xf>
    <xf numFmtId="170" fontId="124" fillId="19" borderId="58" xfId="0" applyNumberFormat="1" applyFont="1" applyFill="1" applyBorder="1" applyAlignment="1">
      <alignment horizontal="center" vertical="center"/>
    </xf>
    <xf numFmtId="170" fontId="124" fillId="19" borderId="4" xfId="0" applyNumberFormat="1" applyFont="1" applyFill="1" applyBorder="1" applyAlignment="1">
      <alignment horizontal="center" vertical="center"/>
    </xf>
    <xf numFmtId="173" fontId="9" fillId="0" borderId="4" xfId="33" applyNumberFormat="1" applyFont="1" applyBorder="1" applyAlignment="1">
      <alignment horizontal="right" vertical="center"/>
    </xf>
    <xf numFmtId="182" fontId="66" fillId="0" borderId="0" xfId="33" applyNumberFormat="1" applyFont="1" applyBorder="1" applyAlignment="1">
      <alignment horizontal="center" vertical="center"/>
    </xf>
    <xf numFmtId="182" fontId="129" fillId="0" borderId="0" xfId="33" applyNumberFormat="1" applyFont="1" applyBorder="1" applyAlignment="1">
      <alignment horizontal="center" vertical="center"/>
    </xf>
    <xf numFmtId="170" fontId="130" fillId="16" borderId="58" xfId="0" applyNumberFormat="1" applyFont="1" applyFill="1" applyBorder="1" applyAlignment="1">
      <alignment horizontal="center" vertical="center"/>
    </xf>
    <xf numFmtId="170" fontId="130" fillId="16" borderId="4" xfId="0" applyNumberFormat="1" applyFont="1" applyFill="1" applyBorder="1" applyAlignment="1">
      <alignment horizontal="center" vertical="center"/>
    </xf>
    <xf numFmtId="1" fontId="132" fillId="16" borderId="21" xfId="0" applyNumberFormat="1" applyFont="1" applyFill="1" applyBorder="1" applyAlignment="1">
      <alignment horizontal="center" vertical="center"/>
    </xf>
    <xf numFmtId="1" fontId="133" fillId="16" borderId="19" xfId="0" applyNumberFormat="1" applyFont="1" applyFill="1" applyBorder="1" applyAlignment="1">
      <alignment horizontal="center" vertical="center"/>
    </xf>
    <xf numFmtId="173" fontId="9" fillId="0" borderId="61" xfId="33" applyNumberFormat="1" applyFont="1" applyBorder="1" applyAlignment="1">
      <alignment horizontal="right" vertical="center"/>
    </xf>
    <xf numFmtId="181" fontId="16" fillId="0" borderId="0" xfId="33" applyNumberFormat="1" applyFont="1" applyBorder="1" applyAlignment="1">
      <alignment horizontal="right" vertical="center"/>
    </xf>
    <xf numFmtId="181" fontId="49" fillId="0" borderId="0" xfId="33" applyNumberFormat="1" applyFont="1" applyBorder="1" applyAlignment="1">
      <alignment horizontal="right" vertical="center"/>
    </xf>
    <xf numFmtId="170" fontId="136" fillId="16" borderId="58" xfId="0" applyNumberFormat="1" applyFont="1" applyFill="1" applyBorder="1" applyAlignment="1">
      <alignment horizontal="center" vertical="center"/>
    </xf>
    <xf numFmtId="170" fontId="136" fillId="16" borderId="4" xfId="0" applyNumberFormat="1" applyFont="1" applyFill="1" applyBorder="1" applyAlignment="1">
      <alignment horizontal="center" vertical="center"/>
    </xf>
    <xf numFmtId="1" fontId="39" fillId="16" borderId="21" xfId="0" applyNumberFormat="1" applyFont="1" applyFill="1" applyBorder="1" applyAlignment="1">
      <alignment horizontal="center" vertical="center"/>
    </xf>
    <xf numFmtId="1" fontId="74" fillId="16" borderId="19" xfId="0" applyNumberFormat="1" applyFont="1" applyFill="1" applyBorder="1" applyAlignment="1">
      <alignment horizontal="center" vertical="center"/>
    </xf>
    <xf numFmtId="173" fontId="23" fillId="0" borderId="63" xfId="33" applyNumberFormat="1" applyFont="1" applyBorder="1" applyAlignment="1">
      <alignment horizontal="right" vertical="center"/>
    </xf>
    <xf numFmtId="181" fontId="138" fillId="0" borderId="0" xfId="0" applyNumberFormat="1" applyFont="1" applyBorder="1" applyAlignment="1">
      <alignment horizontal="center" vertical="center"/>
    </xf>
    <xf numFmtId="181" fontId="129" fillId="0" borderId="0" xfId="0" applyNumberFormat="1" applyFont="1" applyBorder="1" applyAlignment="1">
      <alignment horizontal="center" vertical="center"/>
    </xf>
    <xf numFmtId="168" fontId="14" fillId="0" borderId="0" xfId="0" applyNumberFormat="1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80" fontId="139" fillId="0" borderId="0" xfId="0" applyNumberFormat="1" applyFont="1" applyAlignment="1">
      <alignment horizontal="center" vertical="center"/>
    </xf>
    <xf numFmtId="180" fontId="140" fillId="0" borderId="0" xfId="0" applyNumberFormat="1" applyFont="1" applyAlignment="1">
      <alignment horizontal="center" vertical="center"/>
    </xf>
    <xf numFmtId="170" fontId="141" fillId="16" borderId="58" xfId="0" applyNumberFormat="1" applyFont="1" applyFill="1" applyBorder="1" applyAlignment="1">
      <alignment horizontal="center" vertical="center"/>
    </xf>
    <xf numFmtId="170" fontId="141" fillId="16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70" fontId="142" fillId="16" borderId="64" xfId="0" applyNumberFormat="1" applyFont="1" applyFill="1" applyBorder="1" applyAlignment="1">
      <alignment horizontal="center" vertical="center"/>
    </xf>
    <xf numFmtId="170" fontId="142" fillId="16" borderId="65" xfId="0" applyNumberFormat="1" applyFont="1" applyFill="1" applyBorder="1" applyAlignment="1">
      <alignment horizontal="center" vertical="center"/>
    </xf>
    <xf numFmtId="170" fontId="142" fillId="16" borderId="66" xfId="0" applyNumberFormat="1" applyFont="1" applyFill="1" applyBorder="1" applyAlignment="1">
      <alignment horizontal="center" vertical="center"/>
    </xf>
    <xf numFmtId="1" fontId="39" fillId="16" borderId="66" xfId="0" applyNumberFormat="1" applyFont="1" applyFill="1" applyBorder="1" applyAlignment="1">
      <alignment horizontal="center" vertical="center"/>
    </xf>
    <xf numFmtId="1" fontId="74" fillId="16" borderId="61" xfId="0" applyNumberFormat="1" applyFont="1" applyFill="1" applyBorder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4" fontId="49" fillId="0" borderId="0" xfId="0" applyNumberFormat="1" applyFont="1" applyFill="1" applyBorder="1" applyAlignment="1">
      <alignment horizontal="center" vertical="center"/>
    </xf>
    <xf numFmtId="4" fontId="19" fillId="19" borderId="0" xfId="0" applyNumberFormat="1" applyFont="1" applyFill="1" applyAlignment="1">
      <alignment horizontal="center" vertical="center"/>
    </xf>
    <xf numFmtId="170" fontId="143" fillId="0" borderId="62" xfId="0" applyNumberFormat="1" applyFont="1" applyBorder="1" applyAlignment="1">
      <alignment horizontal="center" vertical="center"/>
    </xf>
    <xf numFmtId="170" fontId="143" fillId="0" borderId="63" xfId="0" applyNumberFormat="1" applyFont="1" applyBorder="1" applyAlignment="1">
      <alignment horizontal="center" vertical="center"/>
    </xf>
    <xf numFmtId="1" fontId="126" fillId="0" borderId="69" xfId="0" applyNumberFormat="1" applyFont="1" applyBorder="1" applyAlignment="1">
      <alignment horizontal="center" vertical="center"/>
    </xf>
    <xf numFmtId="1" fontId="128" fillId="0" borderId="6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8" fontId="12" fillId="0" borderId="0" xfId="0" applyNumberFormat="1" applyFont="1" applyAlignment="1">
      <alignment horizontal="center"/>
    </xf>
    <xf numFmtId="4" fontId="49" fillId="0" borderId="0" xfId="0" applyNumberFormat="1" applyFont="1" applyFill="1" applyBorder="1" applyAlignment="1">
      <alignment horizontal="center"/>
    </xf>
    <xf numFmtId="4" fontId="19" fillId="19" borderId="0" xfId="0" applyNumberFormat="1" applyFont="1" applyFill="1" applyAlignment="1">
      <alignment horizontal="center"/>
    </xf>
    <xf numFmtId="170" fontId="145" fillId="0" borderId="70" xfId="0" applyNumberFormat="1" applyFont="1" applyBorder="1" applyAlignment="1">
      <alignment horizontal="left" vertical="center"/>
    </xf>
    <xf numFmtId="0" fontId="9" fillId="0" borderId="71" xfId="0" applyNumberFormat="1" applyFont="1" applyBorder="1" applyAlignment="1">
      <alignment horizontal="center" vertical="center"/>
    </xf>
    <xf numFmtId="170" fontId="11" fillId="0" borderId="72" xfId="0" applyNumberFormat="1" applyFont="1" applyBorder="1" applyAlignment="1">
      <alignment vertical="center"/>
    </xf>
    <xf numFmtId="170" fontId="11" fillId="0" borderId="71" xfId="0" applyNumberFormat="1" applyFont="1" applyBorder="1" applyAlignment="1">
      <alignment vertical="center"/>
    </xf>
    <xf numFmtId="170" fontId="12" fillId="0" borderId="71" xfId="0" applyNumberFormat="1" applyFont="1" applyBorder="1" applyAlignment="1">
      <alignment vertical="center"/>
    </xf>
    <xf numFmtId="49" fontId="9" fillId="0" borderId="71" xfId="0" applyNumberFormat="1" applyFont="1" applyBorder="1" applyAlignment="1">
      <alignment horizontal="center" vertical="center"/>
    </xf>
    <xf numFmtId="169" fontId="11" fillId="0" borderId="71" xfId="0" applyNumberFormat="1" applyFont="1" applyBorder="1" applyAlignment="1">
      <alignment horizontal="center" vertical="center"/>
    </xf>
    <xf numFmtId="0" fontId="10" fillId="0" borderId="71" xfId="0" applyFont="1" applyFill="1" applyBorder="1" applyAlignment="1">
      <alignment horizontal="left" vertical="center"/>
    </xf>
    <xf numFmtId="49" fontId="0" fillId="0" borderId="71" xfId="0" applyNumberFormat="1" applyBorder="1" applyAlignment="1">
      <alignment horizontal="center" vertical="center"/>
    </xf>
    <xf numFmtId="169" fontId="13" fillId="0" borderId="73" xfId="0" applyNumberFormat="1" applyFont="1" applyBorder="1" applyAlignment="1">
      <alignment horizontal="center" vertical="center"/>
    </xf>
    <xf numFmtId="168" fontId="11" fillId="0" borderId="51" xfId="0" applyNumberFormat="1" applyFont="1" applyBorder="1" applyAlignment="1">
      <alignment horizontal="center"/>
    </xf>
    <xf numFmtId="4" fontId="3" fillId="0" borderId="74" xfId="0" applyNumberFormat="1" applyFont="1" applyBorder="1" applyAlignment="1">
      <alignment horizontal="center"/>
    </xf>
    <xf numFmtId="170" fontId="1" fillId="0" borderId="45" xfId="0" applyNumberFormat="1" applyFont="1" applyBorder="1"/>
    <xf numFmtId="49" fontId="1" fillId="0" borderId="22" xfId="0" applyNumberFormat="1" applyFont="1" applyBorder="1" applyAlignment="1">
      <alignment horizontal="center"/>
    </xf>
    <xf numFmtId="170" fontId="1" fillId="0" borderId="22" xfId="0" applyNumberFormat="1" applyFont="1" applyBorder="1"/>
    <xf numFmtId="170" fontId="1" fillId="0" borderId="10" xfId="0" applyNumberFormat="1" applyFont="1" applyBorder="1"/>
    <xf numFmtId="49" fontId="1" fillId="0" borderId="0" xfId="0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/>
    </xf>
    <xf numFmtId="170" fontId="1" fillId="0" borderId="4" xfId="0" applyNumberFormat="1" applyFont="1" applyBorder="1"/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169" fontId="1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170" fontId="1" fillId="0" borderId="4" xfId="0" applyNumberFormat="1" applyFont="1" applyFill="1" applyBorder="1"/>
    <xf numFmtId="49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 vertical="center"/>
    </xf>
    <xf numFmtId="169" fontId="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/>
    <xf numFmtId="168" fontId="146" fillId="0" borderId="4" xfId="0" applyNumberFormat="1" applyFont="1" applyFill="1" applyBorder="1" applyAlignment="1">
      <alignment horizontal="center"/>
    </xf>
    <xf numFmtId="4" fontId="146" fillId="0" borderId="4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12" fillId="0" borderId="0" xfId="0" applyFont="1" applyFill="1" applyBorder="1"/>
    <xf numFmtId="170" fontId="14" fillId="0" borderId="4" xfId="0" applyNumberFormat="1" applyFont="1" applyBorder="1"/>
    <xf numFmtId="49" fontId="47" fillId="0" borderId="4" xfId="0" applyNumberFormat="1" applyFont="1" applyBorder="1" applyAlignment="1">
      <alignment horizontal="center"/>
    </xf>
    <xf numFmtId="170" fontId="14" fillId="0" borderId="4" xfId="0" applyNumberFormat="1" applyFont="1" applyFill="1" applyBorder="1"/>
    <xf numFmtId="170" fontId="48" fillId="0" borderId="4" xfId="0" applyNumberFormat="1" applyFont="1" applyFill="1" applyBorder="1"/>
    <xf numFmtId="49" fontId="49" fillId="0" borderId="4" xfId="0" applyNumberFormat="1" applyFont="1" applyBorder="1" applyAlignment="1">
      <alignment horizontal="center" vertical="center"/>
    </xf>
    <xf numFmtId="169" fontId="15" fillId="0" borderId="4" xfId="0" applyNumberFormat="1" applyFont="1" applyBorder="1" applyAlignment="1">
      <alignment horizontal="center"/>
    </xf>
    <xf numFmtId="0" fontId="16" fillId="0" borderId="4" xfId="0" applyFont="1" applyBorder="1" applyAlignment="1"/>
    <xf numFmtId="168" fontId="15" fillId="0" borderId="4" xfId="0" applyNumberFormat="1" applyFont="1" applyBorder="1" applyAlignment="1">
      <alignment horizontal="center"/>
    </xf>
    <xf numFmtId="0" fontId="125" fillId="0" borderId="0" xfId="0" applyFont="1" applyAlignment="1">
      <alignment horizontal="left"/>
    </xf>
    <xf numFmtId="0" fontId="55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146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147" fillId="0" borderId="0" xfId="0" applyFont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84" fillId="0" borderId="77" xfId="0" applyFont="1" applyBorder="1" applyAlignment="1">
      <alignment horizontal="center" vertical="center"/>
    </xf>
    <xf numFmtId="170" fontId="18" fillId="0" borderId="78" xfId="0" applyNumberFormat="1" applyFont="1" applyBorder="1" applyAlignment="1">
      <alignment horizontal="left" vertical="center"/>
    </xf>
    <xf numFmtId="170" fontId="148" fillId="0" borderId="78" xfId="0" applyNumberFormat="1" applyFont="1" applyBorder="1" applyAlignment="1">
      <alignment horizontal="center" vertical="center"/>
    </xf>
    <xf numFmtId="170" fontId="18" fillId="0" borderId="78" xfId="0" applyNumberFormat="1" applyFont="1" applyBorder="1" applyAlignment="1">
      <alignment horizontal="center" vertical="center"/>
    </xf>
    <xf numFmtId="49" fontId="149" fillId="0" borderId="77" xfId="0" applyNumberFormat="1" applyFont="1" applyBorder="1" applyAlignment="1">
      <alignment horizontal="center" vertical="center"/>
    </xf>
    <xf numFmtId="170" fontId="18" fillId="0" borderId="77" xfId="0" applyNumberFormat="1" applyFont="1" applyBorder="1" applyAlignment="1">
      <alignment horizontal="left" vertical="center"/>
    </xf>
    <xf numFmtId="170" fontId="37" fillId="0" borderId="77" xfId="0" applyNumberFormat="1" applyFont="1" applyBorder="1" applyAlignment="1">
      <alignment horizontal="center" vertical="center"/>
    </xf>
    <xf numFmtId="49" fontId="37" fillId="0" borderId="77" xfId="0" applyNumberFormat="1" applyFont="1" applyBorder="1" applyAlignment="1">
      <alignment horizontal="center" vertical="center"/>
    </xf>
    <xf numFmtId="169" fontId="18" fillId="0" borderId="79" xfId="0" applyNumberFormat="1" applyFont="1" applyBorder="1" applyAlignment="1">
      <alignment horizontal="center" vertical="center"/>
    </xf>
    <xf numFmtId="49" fontId="18" fillId="0" borderId="80" xfId="0" applyNumberFormat="1" applyFont="1" applyBorder="1" applyAlignment="1">
      <alignment horizontal="center" vertical="center"/>
    </xf>
    <xf numFmtId="49" fontId="18" fillId="0" borderId="81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83" xfId="0" applyBorder="1" applyAlignment="1">
      <alignment horizontal="center"/>
    </xf>
    <xf numFmtId="189" fontId="150" fillId="0" borderId="4" xfId="0" applyNumberFormat="1" applyFont="1" applyBorder="1" applyAlignment="1">
      <alignment horizontal="center" vertical="center"/>
    </xf>
    <xf numFmtId="170" fontId="151" fillId="0" borderId="4" xfId="0" applyNumberFormat="1" applyFont="1" applyFill="1" applyBorder="1" applyAlignment="1">
      <alignment horizontal="center" vertical="center"/>
    </xf>
    <xf numFmtId="170" fontId="50" fillId="0" borderId="4" xfId="0" applyNumberFormat="1" applyFont="1" applyFill="1" applyBorder="1" applyAlignment="1">
      <alignment horizontal="center" vertical="center"/>
    </xf>
    <xf numFmtId="170" fontId="9" fillId="0" borderId="4" xfId="0" applyNumberFormat="1" applyFont="1" applyFill="1" applyBorder="1" applyAlignment="1">
      <alignment horizontal="center" vertical="center"/>
    </xf>
    <xf numFmtId="172" fontId="146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69" fontId="11" fillId="0" borderId="4" xfId="0" applyNumberFormat="1" applyFont="1" applyFill="1" applyBorder="1" applyAlignment="1">
      <alignment horizontal="center" vertical="center"/>
    </xf>
    <xf numFmtId="171" fontId="8" fillId="0" borderId="4" xfId="0" applyNumberFormat="1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vertical="center"/>
    </xf>
    <xf numFmtId="0" fontId="0" fillId="0" borderId="85" xfId="0" applyBorder="1" applyAlignment="1">
      <alignment horizontal="center"/>
    </xf>
    <xf numFmtId="0" fontId="0" fillId="0" borderId="86" xfId="0" applyBorder="1"/>
    <xf numFmtId="189" fontId="150" fillId="0" borderId="87" xfId="0" applyNumberFormat="1" applyFont="1" applyBorder="1" applyAlignment="1">
      <alignment horizontal="center" vertical="center"/>
    </xf>
    <xf numFmtId="170" fontId="151" fillId="0" borderId="87" xfId="0" applyNumberFormat="1" applyFont="1" applyFill="1" applyBorder="1" applyAlignment="1">
      <alignment horizontal="center" vertical="center"/>
    </xf>
    <xf numFmtId="170" fontId="50" fillId="0" borderId="87" xfId="0" applyNumberFormat="1" applyFont="1" applyFill="1" applyBorder="1" applyAlignment="1">
      <alignment horizontal="center" vertical="center"/>
    </xf>
    <xf numFmtId="170" fontId="9" fillId="0" borderId="87" xfId="0" applyNumberFormat="1" applyFont="1" applyFill="1" applyBorder="1" applyAlignment="1">
      <alignment horizontal="center" vertical="center"/>
    </xf>
    <xf numFmtId="172" fontId="146" fillId="0" borderId="87" xfId="0" applyNumberFormat="1" applyFont="1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49" fontId="3" fillId="0" borderId="87" xfId="0" applyNumberFormat="1" applyFont="1" applyFill="1" applyBorder="1" applyAlignment="1">
      <alignment horizontal="center" vertical="center"/>
    </xf>
    <xf numFmtId="169" fontId="11" fillId="0" borderId="87" xfId="0" applyNumberFormat="1" applyFont="1" applyFill="1" applyBorder="1" applyAlignment="1">
      <alignment horizontal="center" vertical="center"/>
    </xf>
    <xf numFmtId="49" fontId="1" fillId="0" borderId="87" xfId="0" applyNumberFormat="1" applyFont="1" applyFill="1" applyBorder="1" applyAlignment="1">
      <alignment horizontal="center" vertical="center"/>
    </xf>
    <xf numFmtId="171" fontId="8" fillId="0" borderId="87" xfId="0" applyNumberFormat="1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vertical="center"/>
    </xf>
    <xf numFmtId="0" fontId="152" fillId="0" borderId="0" xfId="0" applyFont="1" applyAlignment="1">
      <alignment horizontal="center" vertical="center"/>
    </xf>
    <xf numFmtId="169" fontId="11" fillId="0" borderId="19" xfId="0" applyNumberFormat="1" applyFont="1" applyBorder="1" applyAlignment="1">
      <alignment horizontal="right" vertical="center"/>
    </xf>
    <xf numFmtId="189" fontId="150" fillId="0" borderId="89" xfId="0" applyNumberFormat="1" applyFont="1" applyBorder="1" applyAlignment="1">
      <alignment horizontal="center" vertical="center"/>
    </xf>
    <xf numFmtId="170" fontId="9" fillId="0" borderId="90" xfId="0" applyNumberFormat="1" applyFont="1" applyBorder="1" applyAlignment="1">
      <alignment horizontal="center" vertical="center"/>
    </xf>
    <xf numFmtId="170" fontId="52" fillId="0" borderId="90" xfId="0" applyNumberFormat="1" applyFont="1" applyBorder="1" applyAlignment="1">
      <alignment horizontal="center" vertical="center"/>
    </xf>
    <xf numFmtId="170" fontId="9" fillId="0" borderId="91" xfId="0" applyNumberFormat="1" applyFont="1" applyBorder="1" applyAlignment="1">
      <alignment horizontal="center" vertical="center"/>
    </xf>
    <xf numFmtId="172" fontId="146" fillId="0" borderId="91" xfId="0" applyNumberFormat="1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169" fontId="11" fillId="0" borderId="91" xfId="0" applyNumberFormat="1" applyFont="1" applyBorder="1" applyAlignment="1">
      <alignment horizontal="center" vertical="center"/>
    </xf>
    <xf numFmtId="49" fontId="1" fillId="0" borderId="91" xfId="0" applyNumberFormat="1" applyFont="1" applyBorder="1" applyAlignment="1">
      <alignment horizontal="center" vertical="center"/>
    </xf>
    <xf numFmtId="171" fontId="3" fillId="0" borderId="91" xfId="0" applyNumberFormat="1" applyFont="1" applyBorder="1" applyAlignment="1">
      <alignment horizontal="center" vertical="center"/>
    </xf>
    <xf numFmtId="0" fontId="11" fillId="0" borderId="9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53" fillId="0" borderId="93" xfId="0" applyFont="1" applyBorder="1" applyAlignment="1">
      <alignment horizontal="center" vertical="center" textRotation="255"/>
    </xf>
    <xf numFmtId="170" fontId="9" fillId="0" borderId="10" xfId="0" applyNumberFormat="1" applyFont="1" applyBorder="1" applyAlignment="1">
      <alignment horizontal="center" vertical="center"/>
    </xf>
    <xf numFmtId="170" fontId="52" fillId="0" borderId="10" xfId="0" applyNumberFormat="1" applyFont="1" applyBorder="1" applyAlignment="1">
      <alignment horizontal="center" vertical="center"/>
    </xf>
    <xf numFmtId="170" fontId="9" fillId="0" borderId="4" xfId="0" applyNumberFormat="1" applyFont="1" applyBorder="1" applyAlignment="1">
      <alignment horizontal="center" vertical="center"/>
    </xf>
    <xf numFmtId="172" fontId="14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71" fontId="3" fillId="0" borderId="4" xfId="0" applyNumberFormat="1" applyFont="1" applyBorder="1" applyAlignment="1">
      <alignment horizontal="center" vertical="center"/>
    </xf>
    <xf numFmtId="0" fontId="11" fillId="0" borderId="84" xfId="0" applyFont="1" applyBorder="1" applyAlignment="1">
      <alignment vertical="center"/>
    </xf>
    <xf numFmtId="170" fontId="151" fillId="0" borderId="21" xfId="0" applyNumberFormat="1" applyFont="1" applyBorder="1" applyAlignment="1">
      <alignment horizontal="center" vertical="center"/>
    </xf>
    <xf numFmtId="170" fontId="50" fillId="0" borderId="21" xfId="0" applyNumberFormat="1" applyFont="1" applyBorder="1" applyAlignment="1">
      <alignment horizontal="center" vertical="center"/>
    </xf>
    <xf numFmtId="170" fontId="9" fillId="0" borderId="19" xfId="0" applyNumberFormat="1" applyFont="1" applyBorder="1" applyAlignment="1">
      <alignment horizontal="center" vertical="center"/>
    </xf>
    <xf numFmtId="172" fontId="146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169" fontId="11" fillId="0" borderId="19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171" fontId="8" fillId="0" borderId="19" xfId="0" applyNumberFormat="1" applyFont="1" applyBorder="1" applyAlignment="1">
      <alignment horizontal="center" vertical="center"/>
    </xf>
    <xf numFmtId="0" fontId="11" fillId="0" borderId="94" xfId="0" applyFont="1" applyBorder="1" applyAlignment="1">
      <alignment vertical="center"/>
    </xf>
    <xf numFmtId="171" fontId="8" fillId="0" borderId="4" xfId="0" applyNumberFormat="1" applyFont="1" applyBorder="1" applyAlignment="1">
      <alignment horizontal="center" vertical="center"/>
    </xf>
    <xf numFmtId="170" fontId="151" fillId="0" borderId="18" xfId="0" applyNumberFormat="1" applyFont="1" applyBorder="1" applyAlignment="1">
      <alignment horizontal="center" vertical="center"/>
    </xf>
    <xf numFmtId="170" fontId="50" fillId="0" borderId="18" xfId="0" applyNumberFormat="1" applyFont="1" applyBorder="1" applyAlignment="1">
      <alignment horizontal="center" vertical="center"/>
    </xf>
    <xf numFmtId="170" fontId="9" fillId="0" borderId="12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169" fontId="11" fillId="0" borderId="12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171" fontId="8" fillId="0" borderId="12" xfId="0" applyNumberFormat="1" applyFont="1" applyBorder="1" applyAlignment="1">
      <alignment horizontal="center" vertical="center"/>
    </xf>
    <xf numFmtId="0" fontId="11" fillId="0" borderId="95" xfId="0" applyFont="1" applyBorder="1" applyAlignment="1">
      <alignment vertical="center"/>
    </xf>
    <xf numFmtId="170" fontId="151" fillId="0" borderId="4" xfId="0" applyNumberFormat="1" applyFont="1" applyBorder="1" applyAlignment="1">
      <alignment horizontal="center" vertical="center"/>
    </xf>
    <xf numFmtId="170" fontId="50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55" fillId="0" borderId="4" xfId="0" applyNumberFormat="1" applyFont="1" applyFill="1" applyBorder="1" applyAlignment="1">
      <alignment horizontal="center" vertical="center"/>
    </xf>
    <xf numFmtId="0" fontId="0" fillId="0" borderId="96" xfId="0" applyBorder="1"/>
    <xf numFmtId="0" fontId="154" fillId="0" borderId="0" xfId="0" applyFont="1" applyAlignment="1">
      <alignment horizontal="center" vertical="center"/>
    </xf>
    <xf numFmtId="0" fontId="0" fillId="0" borderId="97" xfId="0" applyBorder="1" applyAlignment="1">
      <alignment horizontal="center"/>
    </xf>
    <xf numFmtId="189" fontId="150" fillId="0" borderId="98" xfId="0" applyNumberFormat="1" applyFont="1" applyBorder="1" applyAlignment="1">
      <alignment horizontal="center" vertical="center"/>
    </xf>
    <xf numFmtId="170" fontId="155" fillId="0" borderId="99" xfId="0" applyNumberFormat="1" applyFont="1" applyBorder="1" applyAlignment="1">
      <alignment horizontal="center" vertical="center"/>
    </xf>
    <xf numFmtId="170" fontId="156" fillId="0" borderId="100" xfId="0" applyNumberFormat="1" applyFont="1" applyBorder="1" applyAlignment="1">
      <alignment horizontal="center" vertical="center"/>
    </xf>
    <xf numFmtId="172" fontId="157" fillId="0" borderId="100" xfId="0" applyNumberFormat="1" applyFont="1" applyBorder="1" applyAlignment="1">
      <alignment horizontal="center" vertical="center"/>
    </xf>
    <xf numFmtId="0" fontId="156" fillId="0" borderId="100" xfId="0" applyFont="1" applyBorder="1" applyAlignment="1">
      <alignment horizontal="center" vertical="center"/>
    </xf>
    <xf numFmtId="0" fontId="158" fillId="0" borderId="100" xfId="0" applyFont="1" applyBorder="1" applyAlignment="1">
      <alignment horizontal="center" vertical="center"/>
    </xf>
    <xf numFmtId="49" fontId="156" fillId="0" borderId="100" xfId="0" applyNumberFormat="1" applyFont="1" applyBorder="1" applyAlignment="1">
      <alignment horizontal="center" vertical="center"/>
    </xf>
    <xf numFmtId="169" fontId="158" fillId="0" borderId="100" xfId="0" applyNumberFormat="1" applyFont="1" applyBorder="1" applyAlignment="1">
      <alignment horizontal="center" vertical="center"/>
    </xf>
    <xf numFmtId="171" fontId="158" fillId="0" borderId="100" xfId="0" applyNumberFormat="1" applyFont="1" applyBorder="1" applyAlignment="1">
      <alignment horizontal="center" vertical="center"/>
    </xf>
    <xf numFmtId="0" fontId="11" fillId="0" borderId="101" xfId="0" applyFont="1" applyBorder="1" applyAlignment="1">
      <alignment vertical="center"/>
    </xf>
    <xf numFmtId="170" fontId="3" fillId="0" borderId="4" xfId="0" applyNumberFormat="1" applyFont="1" applyBorder="1" applyAlignment="1">
      <alignment horizontal="center" vertical="center"/>
    </xf>
    <xf numFmtId="171" fontId="11" fillId="0" borderId="4" xfId="0" applyNumberFormat="1" applyFont="1" applyBorder="1" applyAlignment="1">
      <alignment horizontal="center" vertical="center"/>
    </xf>
    <xf numFmtId="0" fontId="0" fillId="0" borderId="102" xfId="0" applyBorder="1" applyAlignment="1">
      <alignment horizontal="center"/>
    </xf>
    <xf numFmtId="170" fontId="9" fillId="0" borderId="21" xfId="0" applyNumberFormat="1" applyFont="1" applyBorder="1" applyAlignment="1">
      <alignment horizontal="center" vertical="center"/>
    </xf>
    <xf numFmtId="170" fontId="52" fillId="0" borderId="21" xfId="0" applyNumberFormat="1" applyFont="1" applyBorder="1" applyAlignment="1">
      <alignment horizontal="center" vertical="center"/>
    </xf>
    <xf numFmtId="170" fontId="3" fillId="0" borderId="19" xfId="0" applyNumberFormat="1" applyFont="1" applyBorder="1" applyAlignment="1">
      <alignment horizontal="center" vertical="center"/>
    </xf>
    <xf numFmtId="172" fontId="146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171" fontId="11" fillId="0" borderId="19" xfId="0" applyNumberFormat="1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center" vertical="center"/>
    </xf>
    <xf numFmtId="0" fontId="0" fillId="0" borderId="103" xfId="0" applyBorder="1" applyAlignment="1">
      <alignment horizontal="center"/>
    </xf>
    <xf numFmtId="170" fontId="9" fillId="0" borderId="69" xfId="0" applyNumberFormat="1" applyFont="1" applyBorder="1" applyAlignment="1">
      <alignment horizontal="center" vertical="center"/>
    </xf>
    <xf numFmtId="170" fontId="52" fillId="0" borderId="69" xfId="0" applyNumberFormat="1" applyFont="1" applyBorder="1" applyAlignment="1">
      <alignment horizontal="center" vertical="center"/>
    </xf>
    <xf numFmtId="170" fontId="3" fillId="0" borderId="63" xfId="0" applyNumberFormat="1" applyFont="1" applyBorder="1" applyAlignment="1">
      <alignment horizontal="center" vertical="center"/>
    </xf>
    <xf numFmtId="172" fontId="146" fillId="0" borderId="63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169" fontId="11" fillId="0" borderId="63" xfId="0" applyNumberFormat="1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171" fontId="11" fillId="0" borderId="63" xfId="0" applyNumberFormat="1" applyFont="1" applyBorder="1" applyAlignment="1">
      <alignment horizontal="center" vertical="center"/>
    </xf>
    <xf numFmtId="0" fontId="11" fillId="0" borderId="104" xfId="0" applyFont="1" applyBorder="1" applyAlignment="1">
      <alignment vertical="center"/>
    </xf>
    <xf numFmtId="170" fontId="9" fillId="0" borderId="99" xfId="0" applyNumberFormat="1" applyFont="1" applyBorder="1" applyAlignment="1">
      <alignment horizontal="center" vertical="center"/>
    </xf>
    <xf numFmtId="170" fontId="52" fillId="0" borderId="99" xfId="0" applyNumberFormat="1" applyFont="1" applyBorder="1" applyAlignment="1">
      <alignment horizontal="center" vertical="center"/>
    </xf>
    <xf numFmtId="170" fontId="3" fillId="0" borderId="100" xfId="0" applyNumberFormat="1" applyFont="1" applyBorder="1" applyAlignment="1">
      <alignment horizontal="center" vertical="center"/>
    </xf>
    <xf numFmtId="172" fontId="146" fillId="0" borderId="100" xfId="0" applyNumberFormat="1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49" fontId="3" fillId="0" borderId="100" xfId="0" applyNumberFormat="1" applyFont="1" applyBorder="1" applyAlignment="1">
      <alignment horizontal="center" vertical="center"/>
    </xf>
    <xf numFmtId="169" fontId="11" fillId="0" borderId="100" xfId="0" applyNumberFormat="1" applyFont="1" applyBorder="1" applyAlignment="1">
      <alignment horizontal="center" vertical="center"/>
    </xf>
    <xf numFmtId="49" fontId="1" fillId="0" borderId="100" xfId="0" applyNumberFormat="1" applyFont="1" applyBorder="1" applyAlignment="1">
      <alignment horizontal="center" vertical="center"/>
    </xf>
    <xf numFmtId="171" fontId="11" fillId="0" borderId="100" xfId="0" applyNumberFormat="1" applyFont="1" applyBorder="1" applyAlignment="1">
      <alignment horizontal="center" vertical="center"/>
    </xf>
    <xf numFmtId="0" fontId="87" fillId="0" borderId="84" xfId="0" applyFont="1" applyBorder="1" applyAlignment="1">
      <alignment vertical="center"/>
    </xf>
    <xf numFmtId="0" fontId="0" fillId="0" borderId="0" xfId="0" applyAlignment="1">
      <alignment horizontal="right"/>
    </xf>
    <xf numFmtId="0" fontId="18" fillId="0" borderId="105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84" fillId="0" borderId="52" xfId="0" applyFont="1" applyBorder="1" applyAlignment="1">
      <alignment horizontal="center" vertical="center"/>
    </xf>
    <xf numFmtId="170" fontId="18" fillId="0" borderId="106" xfId="0" applyNumberFormat="1" applyFont="1" applyBorder="1" applyAlignment="1">
      <alignment horizontal="left" vertical="center"/>
    </xf>
    <xf numFmtId="170" fontId="148" fillId="0" borderId="106" xfId="0" applyNumberFormat="1" applyFont="1" applyBorder="1" applyAlignment="1">
      <alignment horizontal="center" vertical="center"/>
    </xf>
    <xf numFmtId="170" fontId="18" fillId="0" borderId="106" xfId="0" applyNumberFormat="1" applyFont="1" applyBorder="1" applyAlignment="1">
      <alignment horizontal="center" vertical="center"/>
    </xf>
    <xf numFmtId="49" fontId="149" fillId="0" borderId="52" xfId="0" applyNumberFormat="1" applyFont="1" applyBorder="1" applyAlignment="1">
      <alignment horizontal="center" vertical="center"/>
    </xf>
    <xf numFmtId="170" fontId="18" fillId="0" borderId="52" xfId="0" applyNumberFormat="1" applyFont="1" applyBorder="1" applyAlignment="1">
      <alignment horizontal="left" vertical="center"/>
    </xf>
    <xf numFmtId="170" fontId="37" fillId="0" borderId="52" xfId="0" applyNumberFormat="1" applyFont="1" applyBorder="1" applyAlignment="1">
      <alignment horizontal="center" vertical="center"/>
    </xf>
    <xf numFmtId="49" fontId="37" fillId="0" borderId="52" xfId="0" applyNumberFormat="1" applyFont="1" applyBorder="1" applyAlignment="1">
      <alignment horizontal="center" vertical="center"/>
    </xf>
    <xf numFmtId="169" fontId="18" fillId="0" borderId="55" xfId="0" applyNumberFormat="1" applyFont="1" applyBorder="1" applyAlignment="1">
      <alignment horizontal="center" vertical="center"/>
    </xf>
    <xf numFmtId="49" fontId="18" fillId="0" borderId="62" xfId="0" applyNumberFormat="1" applyFont="1" applyBorder="1" applyAlignment="1">
      <alignment horizontal="center" vertical="center"/>
    </xf>
    <xf numFmtId="49" fontId="18" fillId="0" borderId="104" xfId="0" applyNumberFormat="1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150" fillId="0" borderId="91" xfId="0" applyFont="1" applyBorder="1" applyAlignment="1">
      <alignment horizontal="center" vertical="center"/>
    </xf>
    <xf numFmtId="170" fontId="53" fillId="0" borderId="90" xfId="0" applyNumberFormat="1" applyFont="1" applyBorder="1" applyAlignment="1">
      <alignment vertical="center"/>
    </xf>
    <xf numFmtId="170" fontId="53" fillId="0" borderId="90" xfId="0" applyNumberFormat="1" applyFont="1" applyBorder="1" applyAlignment="1">
      <alignment horizontal="center" vertical="center"/>
    </xf>
    <xf numFmtId="170" fontId="51" fillId="0" borderId="91" xfId="0" applyNumberFormat="1" applyFont="1" applyBorder="1" applyAlignment="1">
      <alignment horizontal="center" vertical="center"/>
    </xf>
    <xf numFmtId="172" fontId="159" fillId="0" borderId="91" xfId="0" applyNumberFormat="1" applyFont="1" applyBorder="1" applyAlignment="1">
      <alignment horizontal="center" vertical="center"/>
    </xf>
    <xf numFmtId="0" fontId="51" fillId="0" borderId="91" xfId="0" applyFont="1" applyBorder="1" applyAlignment="1">
      <alignment horizontal="center" vertical="center"/>
    </xf>
    <xf numFmtId="0" fontId="54" fillId="0" borderId="91" xfId="0" applyFont="1" applyBorder="1" applyAlignment="1">
      <alignment horizontal="center" vertical="center"/>
    </xf>
    <xf numFmtId="49" fontId="51" fillId="0" borderId="91" xfId="0" applyNumberFormat="1" applyFont="1" applyBorder="1" applyAlignment="1">
      <alignment horizontal="center" vertical="center"/>
    </xf>
    <xf numFmtId="169" fontId="36" fillId="0" borderId="91" xfId="0" applyNumberFormat="1" applyFont="1" applyBorder="1" applyAlignment="1">
      <alignment horizontal="center" vertical="center"/>
    </xf>
    <xf numFmtId="49" fontId="160" fillId="0" borderId="91" xfId="0" applyNumberFormat="1" applyFont="1" applyBorder="1" applyAlignment="1">
      <alignment horizontal="center" vertical="center"/>
    </xf>
    <xf numFmtId="171" fontId="36" fillId="0" borderId="91" xfId="0" applyNumberFormat="1" applyFont="1" applyBorder="1" applyAlignment="1">
      <alignment horizontal="center" vertical="center"/>
    </xf>
    <xf numFmtId="0" fontId="54" fillId="0" borderId="109" xfId="0" applyFont="1" applyBorder="1" applyAlignment="1">
      <alignment vertical="center"/>
    </xf>
    <xf numFmtId="0" fontId="3" fillId="0" borderId="83" xfId="0" applyFont="1" applyBorder="1" applyAlignment="1">
      <alignment horizontal="center" vertical="center"/>
    </xf>
    <xf numFmtId="0" fontId="150" fillId="0" borderId="4" xfId="0" applyFont="1" applyBorder="1" applyAlignment="1">
      <alignment horizontal="center" vertical="center"/>
    </xf>
    <xf numFmtId="170" fontId="53" fillId="0" borderId="21" xfId="0" applyNumberFormat="1" applyFont="1" applyBorder="1" applyAlignment="1">
      <alignment vertical="center"/>
    </xf>
    <xf numFmtId="170" fontId="53" fillId="0" borderId="21" xfId="0" applyNumberFormat="1" applyFont="1" applyBorder="1" applyAlignment="1">
      <alignment horizontal="center" vertical="center"/>
    </xf>
    <xf numFmtId="170" fontId="51" fillId="0" borderId="19" xfId="0" applyNumberFormat="1" applyFont="1" applyBorder="1" applyAlignment="1">
      <alignment horizontal="center" vertical="center"/>
    </xf>
    <xf numFmtId="172" fontId="159" fillId="0" borderId="19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49" fontId="51" fillId="0" borderId="19" xfId="0" applyNumberFormat="1" applyFont="1" applyBorder="1" applyAlignment="1">
      <alignment horizontal="center" vertical="center"/>
    </xf>
    <xf numFmtId="169" fontId="36" fillId="0" borderId="19" xfId="0" applyNumberFormat="1" applyFont="1" applyBorder="1" applyAlignment="1">
      <alignment horizontal="center" vertical="center"/>
    </xf>
    <xf numFmtId="49" fontId="160" fillId="0" borderId="19" xfId="0" applyNumberFormat="1" applyFont="1" applyBorder="1" applyAlignment="1">
      <alignment horizontal="center" vertical="center"/>
    </xf>
    <xf numFmtId="171" fontId="36" fillId="0" borderId="19" xfId="0" applyNumberFormat="1" applyFont="1" applyBorder="1" applyAlignment="1">
      <alignment horizontal="center" vertical="center"/>
    </xf>
    <xf numFmtId="0" fontId="54" fillId="0" borderId="94" xfId="0" applyFont="1" applyBorder="1" applyAlignment="1">
      <alignment vertical="center"/>
    </xf>
    <xf numFmtId="0" fontId="0" fillId="19" borderId="110" xfId="0" applyFill="1" applyBorder="1" applyAlignment="1">
      <alignment vertical="center"/>
    </xf>
    <xf numFmtId="0" fontId="0" fillId="19" borderId="111" xfId="0" applyFill="1" applyBorder="1" applyAlignment="1">
      <alignment vertical="center"/>
    </xf>
    <xf numFmtId="0" fontId="0" fillId="19" borderId="112" xfId="0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0" fontId="0" fillId="23" borderId="45" xfId="0" applyFill="1" applyBorder="1" applyAlignment="1">
      <alignment vertical="center"/>
    </xf>
    <xf numFmtId="0" fontId="0" fillId="23" borderId="22" xfId="0" applyFill="1" applyBorder="1" applyAlignment="1">
      <alignment vertical="center"/>
    </xf>
    <xf numFmtId="0" fontId="0" fillId="23" borderId="10" xfId="0" applyFill="1" applyBorder="1" applyAlignment="1">
      <alignment vertical="center"/>
    </xf>
    <xf numFmtId="0" fontId="0" fillId="19" borderId="0" xfId="0" applyFill="1" applyAlignment="1">
      <alignment vertical="center"/>
    </xf>
    <xf numFmtId="0" fontId="3" fillId="0" borderId="102" xfId="0" applyFont="1" applyBorder="1" applyAlignment="1">
      <alignment horizontal="center" vertical="center"/>
    </xf>
    <xf numFmtId="0" fontId="0" fillId="19" borderId="113" xfId="0" applyFill="1" applyBorder="1" applyAlignment="1">
      <alignment vertical="center"/>
    </xf>
    <xf numFmtId="0" fontId="0" fillId="19" borderId="114" xfId="0" applyFill="1" applyBorder="1" applyAlignment="1">
      <alignment vertical="center"/>
    </xf>
    <xf numFmtId="0" fontId="0" fillId="19" borderId="115" xfId="0" applyFill="1" applyBorder="1" applyAlignment="1">
      <alignment vertical="center"/>
    </xf>
    <xf numFmtId="0" fontId="0" fillId="19" borderId="116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150" fillId="0" borderId="117" xfId="0" applyFont="1" applyBorder="1" applyAlignment="1">
      <alignment horizontal="center" vertical="center"/>
    </xf>
    <xf numFmtId="170" fontId="53" fillId="0" borderId="118" xfId="0" applyNumberFormat="1" applyFont="1" applyBorder="1" applyAlignment="1">
      <alignment vertical="center"/>
    </xf>
    <xf numFmtId="170" fontId="53" fillId="0" borderId="118" xfId="0" applyNumberFormat="1" applyFont="1" applyBorder="1" applyAlignment="1">
      <alignment horizontal="center" vertical="center"/>
    </xf>
    <xf numFmtId="170" fontId="51" fillId="0" borderId="117" xfId="0" applyNumberFormat="1" applyFont="1" applyBorder="1" applyAlignment="1">
      <alignment horizontal="center" vertical="center"/>
    </xf>
    <xf numFmtId="172" fontId="159" fillId="0" borderId="117" xfId="0" applyNumberFormat="1" applyFont="1" applyBorder="1" applyAlignment="1">
      <alignment horizontal="center" vertical="center"/>
    </xf>
    <xf numFmtId="0" fontId="51" fillId="0" borderId="117" xfId="0" applyFont="1" applyBorder="1" applyAlignment="1">
      <alignment horizontal="center" vertical="center"/>
    </xf>
    <xf numFmtId="0" fontId="54" fillId="0" borderId="117" xfId="0" applyFont="1" applyBorder="1" applyAlignment="1">
      <alignment horizontal="center" vertical="center"/>
    </xf>
    <xf numFmtId="49" fontId="51" fillId="0" borderId="117" xfId="0" applyNumberFormat="1" applyFont="1" applyBorder="1" applyAlignment="1">
      <alignment horizontal="center" vertical="center"/>
    </xf>
    <xf numFmtId="169" fontId="36" fillId="0" borderId="117" xfId="0" applyNumberFormat="1" applyFont="1" applyBorder="1" applyAlignment="1">
      <alignment horizontal="center" vertical="center"/>
    </xf>
    <xf numFmtId="49" fontId="160" fillId="0" borderId="117" xfId="0" applyNumberFormat="1" applyFont="1" applyBorder="1" applyAlignment="1">
      <alignment horizontal="center" vertical="center"/>
    </xf>
    <xf numFmtId="171" fontId="36" fillId="0" borderId="117" xfId="0" applyNumberFormat="1" applyFont="1" applyBorder="1" applyAlignment="1">
      <alignment horizontal="center" vertical="center"/>
    </xf>
    <xf numFmtId="0" fontId="54" fillId="0" borderId="119" xfId="0" applyFont="1" applyBorder="1" applyAlignment="1">
      <alignment vertical="center"/>
    </xf>
    <xf numFmtId="0" fontId="0" fillId="23" borderId="4" xfId="0" applyFill="1" applyBorder="1"/>
    <xf numFmtId="0" fontId="0" fillId="23" borderId="45" xfId="0" applyFill="1" applyBorder="1"/>
    <xf numFmtId="0" fontId="0" fillId="23" borderId="10" xfId="0" applyFill="1" applyBorder="1"/>
    <xf numFmtId="0" fontId="150" fillId="0" borderId="19" xfId="0" applyFont="1" applyBorder="1" applyAlignment="1">
      <alignment horizontal="center" vertical="center"/>
    </xf>
    <xf numFmtId="170" fontId="162" fillId="0" borderId="21" xfId="0" applyNumberFormat="1" applyFont="1" applyBorder="1" applyAlignment="1">
      <alignment vertical="center"/>
    </xf>
    <xf numFmtId="170" fontId="163" fillId="0" borderId="19" xfId="0" applyNumberFormat="1" applyFont="1" applyBorder="1" applyAlignment="1">
      <alignment horizontal="center" vertical="center"/>
    </xf>
    <xf numFmtId="172" fontId="164" fillId="0" borderId="19" xfId="0" applyNumberFormat="1" applyFont="1" applyBorder="1" applyAlignment="1">
      <alignment horizontal="center" vertical="center"/>
    </xf>
    <xf numFmtId="0" fontId="163" fillId="0" borderId="19" xfId="0" applyFont="1" applyBorder="1" applyAlignment="1">
      <alignment horizontal="center" vertical="center"/>
    </xf>
    <xf numFmtId="0" fontId="165" fillId="0" borderId="19" xfId="0" applyFont="1" applyBorder="1" applyAlignment="1">
      <alignment horizontal="center" vertical="center"/>
    </xf>
    <xf numFmtId="49" fontId="163" fillId="0" borderId="19" xfId="0" applyNumberFormat="1" applyFont="1" applyBorder="1" applyAlignment="1">
      <alignment horizontal="center" vertical="center"/>
    </xf>
    <xf numFmtId="169" fontId="166" fillId="0" borderId="19" xfId="0" applyNumberFormat="1" applyFont="1" applyBorder="1" applyAlignment="1">
      <alignment horizontal="center" vertical="center"/>
    </xf>
    <xf numFmtId="49" fontId="167" fillId="0" borderId="19" xfId="0" applyNumberFormat="1" applyFont="1" applyFill="1" applyBorder="1" applyAlignment="1">
      <alignment horizontal="center" vertical="center"/>
    </xf>
    <xf numFmtId="171" fontId="166" fillId="0" borderId="19" xfId="0" applyNumberFormat="1" applyFont="1" applyBorder="1" applyAlignment="1">
      <alignment horizontal="center" vertical="center"/>
    </xf>
    <xf numFmtId="0" fontId="165" fillId="0" borderId="94" xfId="0" applyFont="1" applyBorder="1" applyAlignment="1">
      <alignment vertical="center"/>
    </xf>
    <xf numFmtId="0" fontId="0" fillId="19" borderId="0" xfId="0" applyFill="1"/>
    <xf numFmtId="171" fontId="166" fillId="0" borderId="19" xfId="0" applyNumberFormat="1" applyFont="1" applyFill="1" applyBorder="1" applyAlignment="1">
      <alignment horizontal="center" vertical="center"/>
    </xf>
    <xf numFmtId="0" fontId="0" fillId="19" borderId="120" xfId="0" applyFill="1" applyBorder="1"/>
    <xf numFmtId="0" fontId="0" fillId="0" borderId="120" xfId="0" applyBorder="1"/>
    <xf numFmtId="0" fontId="0" fillId="19" borderId="0" xfId="0" applyFill="1" applyBorder="1"/>
    <xf numFmtId="0" fontId="0" fillId="19" borderId="121" xfId="0" applyFill="1" applyBorder="1"/>
    <xf numFmtId="0" fontId="0" fillId="19" borderId="41" xfId="0" applyFill="1" applyBorder="1"/>
    <xf numFmtId="0" fontId="0" fillId="19" borderId="122" xfId="0" applyFill="1" applyBorder="1"/>
    <xf numFmtId="0" fontId="3" fillId="0" borderId="85" xfId="0" applyFont="1" applyBorder="1" applyAlignment="1">
      <alignment horizontal="center" vertical="center"/>
    </xf>
    <xf numFmtId="0" fontId="150" fillId="0" borderId="87" xfId="0" applyFont="1" applyBorder="1" applyAlignment="1">
      <alignment horizontal="center" vertical="center"/>
    </xf>
    <xf numFmtId="170" fontId="162" fillId="0" borderId="123" xfId="0" applyNumberFormat="1" applyFont="1" applyBorder="1" applyAlignment="1">
      <alignment vertical="center"/>
    </xf>
    <xf numFmtId="170" fontId="53" fillId="0" borderId="123" xfId="0" applyNumberFormat="1" applyFont="1" applyBorder="1" applyAlignment="1">
      <alignment horizontal="center" vertical="center"/>
    </xf>
    <xf numFmtId="170" fontId="163" fillId="0" borderId="87" xfId="0" applyNumberFormat="1" applyFont="1" applyBorder="1" applyAlignment="1">
      <alignment horizontal="center" vertical="center"/>
    </xf>
    <xf numFmtId="172" fontId="164" fillId="0" borderId="87" xfId="0" applyNumberFormat="1" applyFont="1" applyBorder="1" applyAlignment="1">
      <alignment horizontal="center" vertical="center"/>
    </xf>
    <xf numFmtId="0" fontId="163" fillId="0" borderId="87" xfId="0" applyFont="1" applyBorder="1" applyAlignment="1">
      <alignment horizontal="center" vertical="center"/>
    </xf>
    <xf numFmtId="0" fontId="165" fillId="0" borderId="87" xfId="0" applyFont="1" applyBorder="1" applyAlignment="1">
      <alignment horizontal="center" vertical="center"/>
    </xf>
    <xf numFmtId="49" fontId="163" fillId="0" borderId="87" xfId="0" applyNumberFormat="1" applyFont="1" applyBorder="1" applyAlignment="1">
      <alignment horizontal="center" vertical="center"/>
    </xf>
    <xf numFmtId="169" fontId="166" fillId="0" borderId="87" xfId="0" applyNumberFormat="1" applyFont="1" applyBorder="1" applyAlignment="1">
      <alignment horizontal="center" vertical="center"/>
    </xf>
    <xf numFmtId="49" fontId="167" fillId="0" borderId="87" xfId="0" applyNumberFormat="1" applyFont="1" applyFill="1" applyBorder="1" applyAlignment="1">
      <alignment horizontal="center" vertical="center"/>
    </xf>
    <xf numFmtId="171" fontId="166" fillId="0" borderId="87" xfId="0" applyNumberFormat="1" applyFont="1" applyFill="1" applyBorder="1" applyAlignment="1">
      <alignment horizontal="center" vertical="center"/>
    </xf>
    <xf numFmtId="0" fontId="165" fillId="0" borderId="88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0" fillId="0" borderId="124" xfId="0" applyBorder="1"/>
    <xf numFmtId="0" fontId="150" fillId="0" borderId="124" xfId="0" applyFont="1" applyBorder="1" applyAlignment="1">
      <alignment horizontal="center" vertical="center"/>
    </xf>
    <xf numFmtId="170" fontId="162" fillId="0" borderId="124" xfId="0" applyNumberFormat="1" applyFont="1" applyBorder="1" applyAlignment="1">
      <alignment vertical="center"/>
    </xf>
    <xf numFmtId="170" fontId="53" fillId="0" borderId="124" xfId="0" applyNumberFormat="1" applyFont="1" applyBorder="1" applyAlignment="1">
      <alignment horizontal="center" vertical="center"/>
    </xf>
    <xf numFmtId="170" fontId="163" fillId="0" borderId="124" xfId="0" applyNumberFormat="1" applyFont="1" applyBorder="1" applyAlignment="1">
      <alignment horizontal="center" vertical="center"/>
    </xf>
    <xf numFmtId="172" fontId="164" fillId="0" borderId="124" xfId="0" applyNumberFormat="1" applyFont="1" applyBorder="1" applyAlignment="1">
      <alignment horizontal="center" vertical="center"/>
    </xf>
    <xf numFmtId="0" fontId="163" fillId="0" borderId="124" xfId="0" applyFont="1" applyBorder="1" applyAlignment="1">
      <alignment horizontal="center" vertical="center"/>
    </xf>
    <xf numFmtId="0" fontId="165" fillId="0" borderId="124" xfId="0" applyFont="1" applyBorder="1" applyAlignment="1">
      <alignment horizontal="center" vertical="center"/>
    </xf>
    <xf numFmtId="49" fontId="163" fillId="0" borderId="124" xfId="0" applyNumberFormat="1" applyFont="1" applyBorder="1" applyAlignment="1">
      <alignment horizontal="center" vertical="center"/>
    </xf>
    <xf numFmtId="169" fontId="166" fillId="0" borderId="124" xfId="0" applyNumberFormat="1" applyFont="1" applyBorder="1" applyAlignment="1">
      <alignment horizontal="center" vertical="center"/>
    </xf>
    <xf numFmtId="49" fontId="167" fillId="0" borderId="124" xfId="0" applyNumberFormat="1" applyFont="1" applyFill="1" applyBorder="1" applyAlignment="1">
      <alignment horizontal="center" vertical="center"/>
    </xf>
    <xf numFmtId="171" fontId="166" fillId="0" borderId="124" xfId="0" applyNumberFormat="1" applyFont="1" applyFill="1" applyBorder="1" applyAlignment="1">
      <alignment horizontal="center" vertical="center"/>
    </xf>
    <xf numFmtId="0" fontId="165" fillId="0" borderId="54" xfId="0" applyFont="1" applyBorder="1" applyAlignment="1">
      <alignment vertical="center"/>
    </xf>
    <xf numFmtId="0" fontId="0" fillId="0" borderId="102" xfId="0" applyBorder="1" applyAlignment="1">
      <alignment horizontal="center" vertical="center"/>
    </xf>
    <xf numFmtId="0" fontId="55" fillId="0" borderId="6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68" fillId="0" borderId="63" xfId="0" applyFont="1" applyBorder="1" applyAlignment="1">
      <alignment horizontal="center" vertical="center"/>
    </xf>
    <xf numFmtId="172" fontId="169" fillId="0" borderId="63" xfId="0" applyNumberFormat="1" applyFont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/>
    </xf>
    <xf numFmtId="169" fontId="87" fillId="0" borderId="63" xfId="0" applyNumberFormat="1" applyFont="1" applyBorder="1" applyAlignment="1">
      <alignment horizontal="center" vertical="center"/>
    </xf>
    <xf numFmtId="49" fontId="170" fillId="0" borderId="63" xfId="0" applyNumberFormat="1" applyFont="1" applyBorder="1" applyAlignment="1">
      <alignment horizontal="center" vertical="center"/>
    </xf>
    <xf numFmtId="171" fontId="87" fillId="0" borderId="63" xfId="0" applyNumberFormat="1" applyFont="1" applyFill="1" applyBorder="1" applyAlignment="1">
      <alignment horizontal="center" vertical="center"/>
    </xf>
    <xf numFmtId="0" fontId="8" fillId="0" borderId="104" xfId="0" applyFont="1" applyBorder="1" applyAlignment="1">
      <alignment vertical="center"/>
    </xf>
    <xf numFmtId="0" fontId="0" fillId="0" borderId="83" xfId="0" applyBorder="1" applyAlignment="1">
      <alignment horizontal="center" vertical="center"/>
    </xf>
    <xf numFmtId="0" fontId="55" fillId="0" borderId="125" xfId="0" applyFont="1" applyBorder="1" applyAlignment="1">
      <alignment horizontal="center" vertical="center"/>
    </xf>
    <xf numFmtId="0" fontId="171" fillId="0" borderId="125" xfId="0" applyFont="1" applyBorder="1" applyAlignment="1">
      <alignment horizontal="center" vertical="center"/>
    </xf>
    <xf numFmtId="0" fontId="168" fillId="0" borderId="125" xfId="0" applyFont="1" applyBorder="1" applyAlignment="1">
      <alignment horizontal="center" vertical="center"/>
    </xf>
    <xf numFmtId="172" fontId="172" fillId="0" borderId="125" xfId="0" applyNumberFormat="1" applyFont="1" applyBorder="1" applyAlignment="1">
      <alignment horizontal="center" vertical="center"/>
    </xf>
    <xf numFmtId="49" fontId="171" fillId="0" borderId="125" xfId="0" applyNumberFormat="1" applyFont="1" applyBorder="1" applyAlignment="1">
      <alignment horizontal="center" vertical="center"/>
    </xf>
    <xf numFmtId="169" fontId="173" fillId="0" borderId="125" xfId="0" applyNumberFormat="1" applyFont="1" applyBorder="1" applyAlignment="1">
      <alignment horizontal="center" vertical="center"/>
    </xf>
    <xf numFmtId="49" fontId="174" fillId="0" borderId="125" xfId="0" applyNumberFormat="1" applyFont="1" applyBorder="1" applyAlignment="1">
      <alignment horizontal="center" vertical="center"/>
    </xf>
    <xf numFmtId="171" fontId="175" fillId="0" borderId="125" xfId="0" applyNumberFormat="1" applyFont="1" applyFill="1" applyBorder="1" applyAlignment="1">
      <alignment horizontal="center" vertical="center"/>
    </xf>
    <xf numFmtId="0" fontId="171" fillId="0" borderId="126" xfId="0" applyFont="1" applyBorder="1" applyAlignment="1">
      <alignment vertical="center"/>
    </xf>
    <xf numFmtId="0" fontId="55" fillId="0" borderId="127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51" fillId="0" borderId="127" xfId="0" applyFont="1" applyBorder="1" applyAlignment="1">
      <alignment horizontal="center" vertical="center"/>
    </xf>
    <xf numFmtId="172" fontId="146" fillId="0" borderId="127" xfId="0" applyNumberFormat="1" applyFont="1" applyBorder="1" applyAlignment="1">
      <alignment horizontal="center" vertical="center"/>
    </xf>
    <xf numFmtId="49" fontId="0" fillId="0" borderId="127" xfId="0" applyNumberFormat="1" applyBorder="1" applyAlignment="1">
      <alignment horizontal="center" vertical="center"/>
    </xf>
    <xf numFmtId="169" fontId="11" fillId="0" borderId="127" xfId="0" applyNumberFormat="1" applyFont="1" applyBorder="1" applyAlignment="1">
      <alignment horizontal="center" vertical="center"/>
    </xf>
    <xf numFmtId="49" fontId="176" fillId="0" borderId="127" xfId="0" applyNumberFormat="1" applyFont="1" applyBorder="1" applyAlignment="1">
      <alignment horizontal="center" vertical="center"/>
    </xf>
    <xf numFmtId="171" fontId="11" fillId="0" borderId="127" xfId="0" applyNumberFormat="1" applyFont="1" applyFill="1" applyBorder="1" applyAlignment="1">
      <alignment horizontal="center" vertical="center"/>
    </xf>
    <xf numFmtId="0" fontId="0" fillId="0" borderId="12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176" fillId="0" borderId="19" xfId="0" applyNumberFormat="1" applyFont="1" applyBorder="1" applyAlignment="1">
      <alignment horizontal="center" vertical="center"/>
    </xf>
    <xf numFmtId="171" fontId="11" fillId="0" borderId="19" xfId="0" applyNumberFormat="1" applyFont="1" applyFill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55" fillId="0" borderId="87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51" fillId="0" borderId="87" xfId="0" applyFont="1" applyBorder="1" applyAlignment="1">
      <alignment horizontal="center" vertical="center"/>
    </xf>
    <xf numFmtId="172" fontId="146" fillId="0" borderId="87" xfId="0" applyNumberFormat="1" applyFont="1" applyBorder="1" applyAlignment="1">
      <alignment horizontal="center" vertical="center"/>
    </xf>
    <xf numFmtId="49" fontId="0" fillId="0" borderId="87" xfId="0" applyNumberFormat="1" applyBorder="1" applyAlignment="1">
      <alignment horizontal="center" vertical="center"/>
    </xf>
    <xf numFmtId="169" fontId="11" fillId="0" borderId="87" xfId="0" applyNumberFormat="1" applyFont="1" applyBorder="1" applyAlignment="1">
      <alignment horizontal="center" vertical="center"/>
    </xf>
    <xf numFmtId="49" fontId="176" fillId="0" borderId="87" xfId="0" applyNumberFormat="1" applyFont="1" applyBorder="1" applyAlignment="1">
      <alignment horizontal="center" vertical="center"/>
    </xf>
    <xf numFmtId="171" fontId="11" fillId="0" borderId="87" xfId="0" applyNumberFormat="1" applyFont="1" applyFill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5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176" fillId="0" borderId="4" xfId="0" applyNumberFormat="1" applyFont="1" applyBorder="1" applyAlignment="1">
      <alignment horizontal="center" vertical="center"/>
    </xf>
    <xf numFmtId="171" fontId="11" fillId="0" borderId="4" xfId="0" applyNumberFormat="1" applyFont="1" applyFill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19" borderId="129" xfId="0" applyFill="1" applyBorder="1"/>
    <xf numFmtId="0" fontId="0" fillId="0" borderId="129" xfId="0" applyBorder="1"/>
    <xf numFmtId="0" fontId="0" fillId="23" borderId="22" xfId="0" applyFill="1" applyBorder="1"/>
    <xf numFmtId="0" fontId="0" fillId="0" borderId="85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172" fontId="146" fillId="0" borderId="54" xfId="0" applyNumberFormat="1" applyFon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169" fontId="11" fillId="0" borderId="54" xfId="0" applyNumberFormat="1" applyFont="1" applyBorder="1" applyAlignment="1">
      <alignment horizontal="center" vertical="center"/>
    </xf>
    <xf numFmtId="49" fontId="176" fillId="0" borderId="54" xfId="0" applyNumberFormat="1" applyFont="1" applyBorder="1" applyAlignment="1">
      <alignment horizontal="center" vertical="center"/>
    </xf>
    <xf numFmtId="171" fontId="11" fillId="0" borderId="54" xfId="0" applyNumberFormat="1" applyFont="1" applyFill="1" applyBorder="1" applyAlignment="1">
      <alignment horizontal="center" vertical="center"/>
    </xf>
    <xf numFmtId="0" fontId="0" fillId="0" borderId="131" xfId="0" applyBorder="1" applyAlignment="1">
      <alignment vertical="center"/>
    </xf>
    <xf numFmtId="0" fontId="0" fillId="19" borderId="113" xfId="0" applyFill="1" applyBorder="1"/>
    <xf numFmtId="0" fontId="0" fillId="19" borderId="114" xfId="0" applyFill="1" applyBorder="1"/>
    <xf numFmtId="0" fontId="0" fillId="0" borderId="132" xfId="0" applyBorder="1" applyAlignment="1">
      <alignment horizontal="center" vertical="center"/>
    </xf>
    <xf numFmtId="0" fontId="55" fillId="0" borderId="133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53" fillId="0" borderId="91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49" fontId="0" fillId="0" borderId="91" xfId="0" applyNumberFormat="1" applyBorder="1" applyAlignment="1">
      <alignment horizontal="center" vertical="center"/>
    </xf>
    <xf numFmtId="49" fontId="176" fillId="0" borderId="91" xfId="0" applyNumberFormat="1" applyFont="1" applyBorder="1" applyAlignment="1">
      <alignment horizontal="center" vertical="center"/>
    </xf>
    <xf numFmtId="171" fontId="11" fillId="0" borderId="91" xfId="0" applyNumberFormat="1" applyFont="1" applyFill="1" applyBorder="1" applyAlignment="1">
      <alignment horizontal="center" vertical="center"/>
    </xf>
    <xf numFmtId="0" fontId="0" fillId="0" borderId="109" xfId="0" applyBorder="1" applyAlignment="1">
      <alignment vertical="center"/>
    </xf>
    <xf numFmtId="0" fontId="55" fillId="0" borderId="5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5" fillId="0" borderId="134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53" fillId="0" borderId="87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55" fillId="0" borderId="123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149" fillId="0" borderId="96" xfId="0" applyFont="1" applyBorder="1" applyAlignment="1">
      <alignment horizontal="center" vertical="center" textRotation="255" wrapText="1"/>
    </xf>
    <xf numFmtId="0" fontId="55" fillId="0" borderId="96" xfId="0" applyFont="1" applyBorder="1" applyAlignment="1">
      <alignment horizontal="center" vertical="center"/>
    </xf>
    <xf numFmtId="0" fontId="51" fillId="0" borderId="96" xfId="0" applyFont="1" applyBorder="1" applyAlignment="1">
      <alignment horizontal="center" vertical="center"/>
    </xf>
    <xf numFmtId="172" fontId="146" fillId="0" borderId="96" xfId="0" applyNumberFormat="1" applyFont="1" applyBorder="1" applyAlignment="1">
      <alignment horizontal="center" vertical="center"/>
    </xf>
    <xf numFmtId="49" fontId="0" fillId="0" borderId="96" xfId="0" applyNumberFormat="1" applyBorder="1" applyAlignment="1">
      <alignment horizontal="center" vertical="center"/>
    </xf>
    <xf numFmtId="169" fontId="11" fillId="0" borderId="96" xfId="0" applyNumberFormat="1" applyFont="1" applyBorder="1" applyAlignment="1">
      <alignment horizontal="center" vertical="center"/>
    </xf>
    <xf numFmtId="49" fontId="176" fillId="0" borderId="96" xfId="0" applyNumberFormat="1" applyFont="1" applyBorder="1" applyAlignment="1">
      <alignment horizontal="center" vertical="center"/>
    </xf>
    <xf numFmtId="171" fontId="11" fillId="0" borderId="96" xfId="0" applyNumberFormat="1" applyFont="1" applyFill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19" borderId="13" xfId="0" applyFill="1" applyBorder="1"/>
    <xf numFmtId="0" fontId="0" fillId="0" borderId="13" xfId="0" applyBorder="1"/>
    <xf numFmtId="0" fontId="0" fillId="24" borderId="47" xfId="0" applyFill="1" applyBorder="1" applyAlignment="1">
      <alignment horizontal="center" vertical="center"/>
    </xf>
    <xf numFmtId="0" fontId="150" fillId="24" borderId="47" xfId="0" applyFont="1" applyFill="1" applyBorder="1" applyAlignment="1">
      <alignment horizontal="center" vertical="center"/>
    </xf>
    <xf numFmtId="170" fontId="9" fillId="24" borderId="47" xfId="0" applyNumberFormat="1" applyFont="1" applyFill="1" applyBorder="1" applyAlignment="1">
      <alignment horizontal="center" vertical="center"/>
    </xf>
    <xf numFmtId="170" fontId="52" fillId="24" borderId="47" xfId="0" applyNumberFormat="1" applyFont="1" applyFill="1" applyBorder="1" applyAlignment="1">
      <alignment horizontal="center" vertical="center"/>
    </xf>
    <xf numFmtId="170" fontId="3" fillId="24" borderId="47" xfId="0" applyNumberFormat="1" applyFont="1" applyFill="1" applyBorder="1" applyAlignment="1">
      <alignment horizontal="center" vertical="center"/>
    </xf>
    <xf numFmtId="172" fontId="177" fillId="22" borderId="47" xfId="0" applyNumberFormat="1" applyFont="1" applyFill="1" applyBorder="1" applyAlignment="1">
      <alignment horizontal="center" vertical="center"/>
    </xf>
    <xf numFmtId="0" fontId="3" fillId="22" borderId="47" xfId="0" applyFont="1" applyFill="1" applyBorder="1" applyAlignment="1">
      <alignment horizontal="center" vertical="center"/>
    </xf>
    <xf numFmtId="0" fontId="12" fillId="22" borderId="47" xfId="0" applyFont="1" applyFill="1" applyBorder="1" applyAlignment="1">
      <alignment horizontal="center" vertical="center"/>
    </xf>
    <xf numFmtId="49" fontId="3" fillId="22" borderId="47" xfId="0" applyNumberFormat="1" applyFont="1" applyFill="1" applyBorder="1" applyAlignment="1">
      <alignment horizontal="center" vertical="center"/>
    </xf>
    <xf numFmtId="169" fontId="11" fillId="22" borderId="47" xfId="0" applyNumberFormat="1" applyFont="1" applyFill="1" applyBorder="1" applyAlignment="1">
      <alignment horizontal="center" vertical="center"/>
    </xf>
    <xf numFmtId="49" fontId="1" fillId="22" borderId="47" xfId="0" applyNumberFormat="1" applyFont="1" applyFill="1" applyBorder="1" applyAlignment="1">
      <alignment horizontal="center" vertical="center"/>
    </xf>
    <xf numFmtId="171" fontId="11" fillId="22" borderId="47" xfId="0" applyNumberFormat="1" applyFont="1" applyFill="1" applyBorder="1" applyAlignment="1">
      <alignment horizontal="center" vertical="center"/>
    </xf>
    <xf numFmtId="0" fontId="11" fillId="22" borderId="47" xfId="0" applyFont="1" applyFill="1" applyBorder="1" applyAlignment="1">
      <alignment vertical="center"/>
    </xf>
    <xf numFmtId="0" fontId="0" fillId="22" borderId="47" xfId="0" applyFill="1" applyBorder="1" applyAlignment="1">
      <alignment horizontal="center" vertical="center"/>
    </xf>
    <xf numFmtId="0" fontId="150" fillId="22" borderId="47" xfId="0" applyFont="1" applyFill="1" applyBorder="1" applyAlignment="1">
      <alignment horizontal="center" vertical="center"/>
    </xf>
    <xf numFmtId="170" fontId="9" fillId="22" borderId="47" xfId="0" applyNumberFormat="1" applyFont="1" applyFill="1" applyBorder="1" applyAlignment="1">
      <alignment horizontal="center" vertical="center"/>
    </xf>
    <xf numFmtId="170" fontId="52" fillId="22" borderId="47" xfId="0" applyNumberFormat="1" applyFont="1" applyFill="1" applyBorder="1" applyAlignment="1">
      <alignment horizontal="center" vertical="center"/>
    </xf>
    <xf numFmtId="170" fontId="3" fillId="22" borderId="47" xfId="0" applyNumberFormat="1" applyFont="1" applyFill="1" applyBorder="1" applyAlignment="1">
      <alignment horizontal="center" vertical="center"/>
    </xf>
    <xf numFmtId="0" fontId="18" fillId="0" borderId="0" xfId="0" applyFont="1"/>
    <xf numFmtId="0" fontId="3" fillId="0" borderId="0" xfId="0" applyFont="1"/>
    <xf numFmtId="0" fontId="51" fillId="0" borderId="0" xfId="0" applyFont="1" applyAlignment="1">
      <alignment horizontal="center" vertical="center"/>
    </xf>
    <xf numFmtId="172" fontId="146" fillId="0" borderId="0" xfId="0" applyNumberFormat="1" applyFont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170" fontId="52" fillId="0" borderId="91" xfId="0" applyNumberFormat="1" applyFont="1" applyBorder="1" applyAlignment="1">
      <alignment horizontal="center" vertical="center"/>
    </xf>
    <xf numFmtId="170" fontId="3" fillId="0" borderId="91" xfId="0" applyNumberFormat="1" applyFont="1" applyBorder="1" applyAlignment="1">
      <alignment horizontal="center" vertical="center"/>
    </xf>
    <xf numFmtId="172" fontId="177" fillId="0" borderId="91" xfId="0" applyNumberFormat="1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49" fontId="179" fillId="0" borderId="91" xfId="0" applyNumberFormat="1" applyFont="1" applyBorder="1" applyAlignment="1">
      <alignment horizontal="center" vertical="center"/>
    </xf>
    <xf numFmtId="171" fontId="11" fillId="0" borderId="91" xfId="0" applyNumberFormat="1" applyFont="1" applyBorder="1" applyAlignment="1">
      <alignment horizontal="center" vertical="center"/>
    </xf>
    <xf numFmtId="0" fontId="11" fillId="0" borderId="109" xfId="0" applyFont="1" applyBorder="1" applyAlignment="1">
      <alignment vertical="center"/>
    </xf>
    <xf numFmtId="172" fontId="177" fillId="0" borderId="4" xfId="0" applyNumberFormat="1" applyFont="1" applyBorder="1" applyAlignment="1">
      <alignment horizontal="center" vertical="center"/>
    </xf>
    <xf numFmtId="170" fontId="9" fillId="0" borderId="87" xfId="0" applyNumberFormat="1" applyFont="1" applyBorder="1" applyAlignment="1">
      <alignment horizontal="center" vertical="center"/>
    </xf>
    <xf numFmtId="170" fontId="52" fillId="0" borderId="87" xfId="0" applyNumberFormat="1" applyFont="1" applyBorder="1" applyAlignment="1">
      <alignment horizontal="center" vertical="center"/>
    </xf>
    <xf numFmtId="170" fontId="3" fillId="0" borderId="87" xfId="0" applyNumberFormat="1" applyFont="1" applyBorder="1" applyAlignment="1">
      <alignment horizontal="center" vertical="center"/>
    </xf>
    <xf numFmtId="172" fontId="177" fillId="0" borderId="87" xfId="0" applyNumberFormat="1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49" fontId="3" fillId="0" borderId="87" xfId="0" applyNumberFormat="1" applyFont="1" applyBorder="1" applyAlignment="1">
      <alignment horizontal="center" vertical="center"/>
    </xf>
    <xf numFmtId="49" fontId="179" fillId="0" borderId="87" xfId="0" applyNumberFormat="1" applyFont="1" applyBorder="1" applyAlignment="1">
      <alignment horizontal="center" vertical="center"/>
    </xf>
    <xf numFmtId="171" fontId="11" fillId="0" borderId="87" xfId="0" applyNumberFormat="1" applyFont="1" applyBorder="1" applyAlignment="1">
      <alignment horizontal="center" vertical="center"/>
    </xf>
    <xf numFmtId="0" fontId="11" fillId="0" borderId="88" xfId="0" applyFont="1" applyBorder="1" applyAlignment="1">
      <alignment vertical="center"/>
    </xf>
    <xf numFmtId="170" fontId="52" fillId="0" borderId="19" xfId="0" applyNumberFormat="1" applyFont="1" applyBorder="1" applyAlignment="1">
      <alignment horizontal="center" vertical="center"/>
    </xf>
    <xf numFmtId="172" fontId="177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9" fontId="179" fillId="0" borderId="19" xfId="0" applyNumberFormat="1" applyFont="1" applyBorder="1" applyAlignment="1">
      <alignment horizontal="center" vertical="center"/>
    </xf>
    <xf numFmtId="0" fontId="150" fillId="0" borderId="136" xfId="0" applyFont="1" applyBorder="1" applyAlignment="1">
      <alignment horizontal="center" vertical="center"/>
    </xf>
    <xf numFmtId="170" fontId="9" fillId="0" borderId="137" xfId="0" applyNumberFormat="1" applyFont="1" applyBorder="1" applyAlignment="1">
      <alignment horizontal="center" vertical="center"/>
    </xf>
    <xf numFmtId="170" fontId="52" fillId="0" borderId="137" xfId="0" applyNumberFormat="1" applyFont="1" applyBorder="1" applyAlignment="1">
      <alignment horizontal="center" vertical="center"/>
    </xf>
    <xf numFmtId="172" fontId="146" fillId="0" borderId="136" xfId="0" applyNumberFormat="1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49" fontId="3" fillId="0" borderId="136" xfId="0" applyNumberFormat="1" applyFont="1" applyBorder="1" applyAlignment="1">
      <alignment horizontal="center" vertical="center"/>
    </xf>
    <xf numFmtId="169" fontId="11" fillId="0" borderId="136" xfId="0" applyNumberFormat="1" applyFont="1" applyBorder="1" applyAlignment="1">
      <alignment horizontal="center" vertical="center"/>
    </xf>
    <xf numFmtId="49" fontId="1" fillId="0" borderId="136" xfId="0" applyNumberFormat="1" applyFont="1" applyBorder="1" applyAlignment="1">
      <alignment horizontal="center" vertical="center"/>
    </xf>
    <xf numFmtId="171" fontId="11" fillId="0" borderId="136" xfId="0" applyNumberFormat="1" applyFont="1" applyBorder="1" applyAlignment="1">
      <alignment horizontal="center" vertical="center"/>
    </xf>
    <xf numFmtId="0" fontId="11" fillId="0" borderId="138" xfId="0" applyFont="1" applyBorder="1" applyAlignment="1">
      <alignment vertical="center"/>
    </xf>
    <xf numFmtId="171" fontId="87" fillId="0" borderId="19" xfId="0" applyNumberFormat="1" applyFont="1" applyBorder="1" applyAlignment="1">
      <alignment horizontal="center" vertical="center"/>
    </xf>
    <xf numFmtId="171" fontId="87" fillId="0" borderId="4" xfId="0" applyNumberFormat="1" applyFont="1" applyBorder="1" applyAlignment="1">
      <alignment horizontal="center" vertical="center"/>
    </xf>
    <xf numFmtId="0" fontId="150" fillId="0" borderId="12" xfId="0" applyFont="1" applyBorder="1" applyAlignment="1">
      <alignment horizontal="center" vertical="center"/>
    </xf>
    <xf numFmtId="171" fontId="87" fillId="0" borderId="12" xfId="0" applyNumberFormat="1" applyFont="1" applyBorder="1" applyAlignment="1">
      <alignment horizontal="center" vertical="center"/>
    </xf>
    <xf numFmtId="0" fontId="150" fillId="0" borderId="4" xfId="0" applyFont="1" applyFill="1" applyBorder="1" applyAlignment="1">
      <alignment horizontal="center" vertical="center"/>
    </xf>
    <xf numFmtId="171" fontId="87" fillId="0" borderId="4" xfId="0" applyNumberFormat="1" applyFont="1" applyFill="1" applyBorder="1" applyAlignment="1">
      <alignment horizontal="center" vertical="center"/>
    </xf>
    <xf numFmtId="0" fontId="150" fillId="0" borderId="87" xfId="0" applyFont="1" applyFill="1" applyBorder="1" applyAlignment="1">
      <alignment horizontal="center" vertical="center"/>
    </xf>
    <xf numFmtId="171" fontId="87" fillId="0" borderId="87" xfId="0" applyNumberFormat="1" applyFont="1" applyFill="1" applyBorder="1" applyAlignment="1">
      <alignment horizontal="center" vertical="center"/>
    </xf>
    <xf numFmtId="0" fontId="0" fillId="0" borderId="54" xfId="0" applyBorder="1"/>
    <xf numFmtId="0" fontId="0" fillId="0" borderId="135" xfId="0" applyBorder="1" applyAlignment="1">
      <alignment horizontal="center"/>
    </xf>
    <xf numFmtId="171" fontId="11" fillId="0" borderId="12" xfId="0" applyNumberFormat="1" applyFont="1" applyBorder="1" applyAlignment="1">
      <alignment horizontal="center" vertical="center"/>
    </xf>
    <xf numFmtId="170" fontId="87" fillId="0" borderId="90" xfId="0" applyNumberFormat="1" applyFont="1" applyBorder="1" applyAlignment="1">
      <alignment horizontal="center" vertical="center"/>
    </xf>
    <xf numFmtId="170" fontId="87" fillId="0" borderId="137" xfId="0" applyNumberFormat="1" applyFont="1" applyBorder="1" applyAlignment="1">
      <alignment horizontal="center" vertical="center"/>
    </xf>
    <xf numFmtId="170" fontId="87" fillId="0" borderId="21" xfId="0" applyNumberFormat="1" applyFont="1" applyBorder="1" applyAlignment="1">
      <alignment horizontal="center" vertical="center"/>
    </xf>
    <xf numFmtId="170" fontId="87" fillId="0" borderId="18" xfId="0" applyNumberFormat="1" applyFont="1" applyBorder="1" applyAlignment="1">
      <alignment horizontal="center" vertical="center"/>
    </xf>
    <xf numFmtId="170" fontId="87" fillId="0" borderId="4" xfId="0" applyNumberFormat="1" applyFont="1" applyBorder="1" applyAlignment="1">
      <alignment horizontal="center" vertical="center"/>
    </xf>
    <xf numFmtId="170" fontId="87" fillId="0" borderId="4" xfId="0" applyNumberFormat="1" applyFont="1" applyFill="1" applyBorder="1" applyAlignment="1">
      <alignment horizontal="center" vertical="center"/>
    </xf>
    <xf numFmtId="170" fontId="87" fillId="0" borderId="87" xfId="0" applyNumberFormat="1" applyFont="1" applyFill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170" fontId="87" fillId="0" borderId="123" xfId="0" applyNumberFormat="1" applyFont="1" applyBorder="1" applyAlignment="1">
      <alignment horizontal="center" vertical="center"/>
    </xf>
    <xf numFmtId="170" fontId="52" fillId="0" borderId="123" xfId="0" applyNumberFormat="1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139" xfId="0" applyFont="1" applyBorder="1" applyAlignment="1">
      <alignment vertical="center"/>
    </xf>
    <xf numFmtId="0" fontId="153" fillId="0" borderId="140" xfId="0" applyFont="1" applyBorder="1" applyAlignment="1">
      <alignment horizontal="center" vertical="center" textRotation="255"/>
    </xf>
    <xf numFmtId="170" fontId="9" fillId="0" borderId="123" xfId="0" applyNumberFormat="1" applyFont="1" applyBorder="1" applyAlignment="1">
      <alignment horizontal="center" vertical="center"/>
    </xf>
    <xf numFmtId="49" fontId="1" fillId="0" borderId="87" xfId="0" applyNumberFormat="1" applyFont="1" applyBorder="1" applyAlignment="1">
      <alignment horizontal="center" vertical="center"/>
    </xf>
    <xf numFmtId="0" fontId="55" fillId="0" borderId="91" xfId="0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49" fontId="30" fillId="0" borderId="87" xfId="0" applyNumberFormat="1" applyFont="1" applyBorder="1" applyAlignment="1">
      <alignment horizontal="center" vertical="center"/>
    </xf>
    <xf numFmtId="0" fontId="0" fillId="0" borderId="132" xfId="0" applyBorder="1" applyAlignment="1">
      <alignment horizontal="center"/>
    </xf>
    <xf numFmtId="170" fontId="9" fillId="0" borderId="18" xfId="0" applyNumberFormat="1" applyFont="1" applyBorder="1" applyAlignment="1">
      <alignment horizontal="center" vertical="center"/>
    </xf>
    <xf numFmtId="170" fontId="52" fillId="0" borderId="18" xfId="0" applyNumberFormat="1" applyFont="1" applyBorder="1" applyAlignment="1">
      <alignment horizontal="center" vertical="center"/>
    </xf>
    <xf numFmtId="172" fontId="146" fillId="0" borderId="17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69" fontId="11" fillId="0" borderId="17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171" fontId="11" fillId="0" borderId="17" xfId="0" applyNumberFormat="1" applyFont="1" applyFill="1" applyBorder="1" applyAlignment="1">
      <alignment horizontal="center" vertical="center"/>
    </xf>
    <xf numFmtId="49" fontId="12" fillId="0" borderId="91" xfId="0" applyNumberFormat="1" applyFont="1" applyBorder="1" applyAlignment="1">
      <alignment horizontal="center" vertical="center"/>
    </xf>
    <xf numFmtId="49" fontId="12" fillId="0" borderId="87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63" xfId="0" applyNumberFormat="1" applyFont="1" applyBorder="1" applyAlignment="1">
      <alignment horizontal="center" vertical="center"/>
    </xf>
    <xf numFmtId="0" fontId="150" fillId="0" borderId="17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171" fontId="11" fillId="0" borderId="17" xfId="0" applyNumberFormat="1" applyFont="1" applyBorder="1" applyAlignment="1">
      <alignment horizontal="center" vertical="center"/>
    </xf>
    <xf numFmtId="174" fontId="182" fillId="0" borderId="83" xfId="0" applyNumberFormat="1" applyFont="1" applyBorder="1" applyAlignment="1">
      <alignment horizontal="center"/>
    </xf>
    <xf numFmtId="170" fontId="183" fillId="0" borderId="21" xfId="0" applyNumberFormat="1" applyFont="1" applyBorder="1" applyAlignment="1">
      <alignment horizontal="center" vertical="center"/>
    </xf>
    <xf numFmtId="170" fontId="87" fillId="0" borderId="19" xfId="0" applyNumberFormat="1" applyFont="1" applyBorder="1" applyAlignment="1">
      <alignment horizontal="center" vertical="center"/>
    </xf>
    <xf numFmtId="188" fontId="169" fillId="0" borderId="19" xfId="0" applyNumberFormat="1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169" fontId="87" fillId="0" borderId="19" xfId="0" applyNumberFormat="1" applyFont="1" applyBorder="1" applyAlignment="1">
      <alignment horizontal="center" vertical="center"/>
    </xf>
    <xf numFmtId="0" fontId="127" fillId="0" borderId="94" xfId="0" applyFont="1" applyBorder="1" applyAlignment="1">
      <alignment vertical="center"/>
    </xf>
    <xf numFmtId="169" fontId="87" fillId="0" borderId="4" xfId="0" applyNumberFormat="1" applyFont="1" applyBorder="1" applyAlignment="1">
      <alignment horizontal="center" vertical="center"/>
    </xf>
    <xf numFmtId="0" fontId="127" fillId="0" borderId="84" xfId="0" applyFont="1" applyBorder="1" applyAlignment="1">
      <alignment vertical="center"/>
    </xf>
    <xf numFmtId="170" fontId="183" fillId="0" borderId="18" xfId="0" applyNumberFormat="1" applyFont="1" applyBorder="1" applyAlignment="1">
      <alignment horizontal="center" vertical="center"/>
    </xf>
    <xf numFmtId="170" fontId="87" fillId="0" borderId="12" xfId="0" applyNumberFormat="1" applyFont="1" applyBorder="1" applyAlignment="1">
      <alignment horizontal="center" vertical="center"/>
    </xf>
    <xf numFmtId="188" fontId="169" fillId="0" borderId="17" xfId="0" applyNumberFormat="1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169" fontId="87" fillId="0" borderId="12" xfId="0" applyNumberFormat="1" applyFont="1" applyBorder="1" applyAlignment="1">
      <alignment horizontal="center" vertical="center"/>
    </xf>
    <xf numFmtId="0" fontId="127" fillId="0" borderId="95" xfId="0" applyFont="1" applyBorder="1" applyAlignment="1">
      <alignment vertical="center"/>
    </xf>
    <xf numFmtId="170" fontId="183" fillId="0" borderId="4" xfId="0" applyNumberFormat="1" applyFont="1" applyBorder="1" applyAlignment="1">
      <alignment horizontal="center" vertical="center"/>
    </xf>
    <xf numFmtId="188" fontId="169" fillId="0" borderId="4" xfId="0" applyNumberFormat="1" applyFont="1" applyBorder="1" applyAlignment="1">
      <alignment horizontal="center" vertical="center"/>
    </xf>
    <xf numFmtId="0" fontId="87" fillId="0" borderId="4" xfId="0" applyFont="1" applyBorder="1" applyAlignment="1">
      <alignment horizontal="center" vertical="center"/>
    </xf>
    <xf numFmtId="0" fontId="0" fillId="22" borderId="132" xfId="0" applyFill="1" applyBorder="1" applyAlignment="1">
      <alignment horizontal="center"/>
    </xf>
    <xf numFmtId="0" fontId="150" fillId="22" borderId="4" xfId="0" applyFont="1" applyFill="1" applyBorder="1" applyAlignment="1">
      <alignment horizontal="center" vertical="center"/>
    </xf>
    <xf numFmtId="170" fontId="183" fillId="22" borderId="4" xfId="0" applyNumberFormat="1" applyFont="1" applyFill="1" applyBorder="1" applyAlignment="1">
      <alignment horizontal="center" vertical="center"/>
    </xf>
    <xf numFmtId="170" fontId="50" fillId="22" borderId="4" xfId="0" applyNumberFormat="1" applyFont="1" applyFill="1" applyBorder="1" applyAlignment="1">
      <alignment horizontal="center" vertical="center"/>
    </xf>
    <xf numFmtId="172" fontId="169" fillId="22" borderId="4" xfId="0" applyNumberFormat="1" applyFont="1" applyFill="1" applyBorder="1" applyAlignment="1">
      <alignment horizontal="center" vertical="center"/>
    </xf>
    <xf numFmtId="0" fontId="185" fillId="22" borderId="4" xfId="0" applyFont="1" applyFill="1" applyBorder="1" applyAlignment="1">
      <alignment horizontal="center" vertical="center"/>
    </xf>
    <xf numFmtId="0" fontId="87" fillId="22" borderId="4" xfId="0" applyFont="1" applyFill="1" applyBorder="1" applyAlignment="1">
      <alignment horizontal="center" vertical="center"/>
    </xf>
    <xf numFmtId="49" fontId="8" fillId="22" borderId="4" xfId="0" applyNumberFormat="1" applyFont="1" applyFill="1" applyBorder="1" applyAlignment="1">
      <alignment horizontal="center" vertical="center"/>
    </xf>
    <xf numFmtId="169" fontId="87" fillId="22" borderId="4" xfId="0" applyNumberFormat="1" applyFont="1" applyFill="1" applyBorder="1" applyAlignment="1">
      <alignment horizontal="center" vertical="center"/>
    </xf>
    <xf numFmtId="49" fontId="1" fillId="22" borderId="4" xfId="0" applyNumberFormat="1" applyFont="1" applyFill="1" applyBorder="1" applyAlignment="1">
      <alignment horizontal="center" vertical="center"/>
    </xf>
    <xf numFmtId="171" fontId="87" fillId="22" borderId="4" xfId="0" applyNumberFormat="1" applyFont="1" applyFill="1" applyBorder="1" applyAlignment="1">
      <alignment horizontal="center" vertical="center"/>
    </xf>
    <xf numFmtId="0" fontId="87" fillId="22" borderId="84" xfId="0" applyFont="1" applyFill="1" applyBorder="1" applyAlignment="1">
      <alignment vertical="center"/>
    </xf>
    <xf numFmtId="0" fontId="0" fillId="22" borderId="103" xfId="0" applyFill="1" applyBorder="1" applyAlignment="1">
      <alignment horizontal="center"/>
    </xf>
    <xf numFmtId="0" fontId="150" fillId="22" borderId="87" xfId="0" applyFont="1" applyFill="1" applyBorder="1" applyAlignment="1">
      <alignment horizontal="center" vertical="center"/>
    </xf>
    <xf numFmtId="170" fontId="183" fillId="22" borderId="87" xfId="0" applyNumberFormat="1" applyFont="1" applyFill="1" applyBorder="1" applyAlignment="1">
      <alignment horizontal="center" vertical="center"/>
    </xf>
    <xf numFmtId="170" fontId="50" fillId="22" borderId="87" xfId="0" applyNumberFormat="1" applyFont="1" applyFill="1" applyBorder="1" applyAlignment="1">
      <alignment horizontal="center" vertical="center"/>
    </xf>
    <xf numFmtId="172" fontId="169" fillId="22" borderId="87" xfId="0" applyNumberFormat="1" applyFont="1" applyFill="1" applyBorder="1" applyAlignment="1">
      <alignment horizontal="center" vertical="center"/>
    </xf>
    <xf numFmtId="0" fontId="185" fillId="22" borderId="87" xfId="0" applyFont="1" applyFill="1" applyBorder="1" applyAlignment="1">
      <alignment horizontal="center" vertical="center"/>
    </xf>
    <xf numFmtId="0" fontId="87" fillId="22" borderId="87" xfId="0" applyFont="1" applyFill="1" applyBorder="1" applyAlignment="1">
      <alignment horizontal="center" vertical="center"/>
    </xf>
    <xf numFmtId="49" fontId="8" fillId="22" borderId="87" xfId="0" applyNumberFormat="1" applyFont="1" applyFill="1" applyBorder="1" applyAlignment="1">
      <alignment horizontal="center" vertical="center"/>
    </xf>
    <xf numFmtId="169" fontId="87" fillId="22" borderId="87" xfId="0" applyNumberFormat="1" applyFont="1" applyFill="1" applyBorder="1" applyAlignment="1">
      <alignment horizontal="center" vertical="center"/>
    </xf>
    <xf numFmtId="49" fontId="1" fillId="22" borderId="87" xfId="0" applyNumberFormat="1" applyFont="1" applyFill="1" applyBorder="1" applyAlignment="1">
      <alignment horizontal="center" vertical="center"/>
    </xf>
    <xf numFmtId="171" fontId="87" fillId="22" borderId="87" xfId="0" applyNumberFormat="1" applyFont="1" applyFill="1" applyBorder="1" applyAlignment="1">
      <alignment horizontal="center" vertical="center"/>
    </xf>
    <xf numFmtId="0" fontId="87" fillId="22" borderId="88" xfId="0" applyFont="1" applyFill="1" applyBorder="1" applyAlignment="1">
      <alignment vertical="center"/>
    </xf>
    <xf numFmtId="0" fontId="0" fillId="0" borderId="105" xfId="0" applyBorder="1" applyAlignment="1">
      <alignment horizontal="center"/>
    </xf>
    <xf numFmtId="0" fontId="153" fillId="0" borderId="51" xfId="0" applyFont="1" applyBorder="1" applyAlignment="1">
      <alignment horizontal="center" vertical="center" textRotation="255"/>
    </xf>
    <xf numFmtId="0" fontId="150" fillId="0" borderId="52" xfId="0" applyFont="1" applyBorder="1" applyAlignment="1">
      <alignment horizontal="center" vertical="center"/>
    </xf>
    <xf numFmtId="170" fontId="9" fillId="0" borderId="106" xfId="0" applyNumberFormat="1" applyFont="1" applyBorder="1" applyAlignment="1">
      <alignment horizontal="center" vertical="center"/>
    </xf>
    <xf numFmtId="170" fontId="52" fillId="0" borderId="106" xfId="0" applyNumberFormat="1" applyFont="1" applyBorder="1" applyAlignment="1">
      <alignment horizontal="center" vertical="center"/>
    </xf>
    <xf numFmtId="172" fontId="146" fillId="0" borderId="52" xfId="0" applyNumberFormat="1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49" fontId="12" fillId="0" borderId="52" xfId="0" applyNumberFormat="1" applyFont="1" applyBorder="1" applyAlignment="1">
      <alignment horizontal="center" vertical="center"/>
    </xf>
    <xf numFmtId="169" fontId="11" fillId="0" borderId="52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171" fontId="11" fillId="0" borderId="52" xfId="0" applyNumberFormat="1" applyFont="1" applyBorder="1" applyAlignment="1">
      <alignment horizontal="center" vertical="center"/>
    </xf>
    <xf numFmtId="0" fontId="11" fillId="0" borderId="74" xfId="0" applyFont="1" applyBorder="1" applyAlignment="1">
      <alignment vertical="center"/>
    </xf>
    <xf numFmtId="49" fontId="10" fillId="0" borderId="91" xfId="0" applyNumberFormat="1" applyFont="1" applyBorder="1" applyAlignment="1">
      <alignment horizontal="center" vertical="center"/>
    </xf>
    <xf numFmtId="0" fontId="11" fillId="22" borderId="109" xfId="0" applyFont="1" applyFill="1" applyBorder="1" applyAlignment="1">
      <alignment vertical="center"/>
    </xf>
    <xf numFmtId="49" fontId="10" fillId="0" borderId="87" xfId="0" applyNumberFormat="1" applyFont="1" applyBorder="1" applyAlignment="1">
      <alignment horizontal="center" vertical="center"/>
    </xf>
    <xf numFmtId="0" fontId="11" fillId="22" borderId="88" xfId="0" applyFont="1" applyFill="1" applyBorder="1" applyAlignment="1">
      <alignment vertical="center"/>
    </xf>
    <xf numFmtId="49" fontId="10" fillId="0" borderId="19" xfId="0" applyNumberFormat="1" applyFont="1" applyBorder="1" applyAlignment="1">
      <alignment horizontal="center" vertical="center"/>
    </xf>
    <xf numFmtId="49" fontId="18" fillId="0" borderId="141" xfId="0" applyNumberFormat="1" applyFont="1" applyBorder="1" applyAlignment="1">
      <alignment horizontal="center" vertical="center"/>
    </xf>
    <xf numFmtId="49" fontId="18" fillId="0" borderId="142" xfId="0" applyNumberFormat="1" applyFont="1" applyBorder="1" applyAlignment="1">
      <alignment horizontal="center" vertical="center"/>
    </xf>
    <xf numFmtId="0" fontId="55" fillId="0" borderId="100" xfId="0" applyFont="1" applyBorder="1" applyAlignment="1">
      <alignment horizontal="center" vertical="center"/>
    </xf>
    <xf numFmtId="170" fontId="11" fillId="0" borderId="19" xfId="0" applyNumberFormat="1" applyFont="1" applyBorder="1" applyAlignment="1">
      <alignment horizontal="center" vertical="center"/>
    </xf>
    <xf numFmtId="170" fontId="11" fillId="0" borderId="12" xfId="0" applyNumberFormat="1" applyFont="1" applyBorder="1" applyAlignment="1">
      <alignment horizontal="center" vertical="center"/>
    </xf>
    <xf numFmtId="170" fontId="52" fillId="0" borderId="12" xfId="0" applyNumberFormat="1" applyFont="1" applyBorder="1" applyAlignment="1">
      <alignment horizontal="center" vertical="center"/>
    </xf>
    <xf numFmtId="170" fontId="11" fillId="0" borderId="91" xfId="0" applyNumberFormat="1" applyFont="1" applyBorder="1" applyAlignment="1">
      <alignment horizontal="center" vertical="center"/>
    </xf>
    <xf numFmtId="170" fontId="11" fillId="0" borderId="87" xfId="0" applyNumberFormat="1" applyFont="1" applyBorder="1" applyAlignment="1">
      <alignment horizontal="center" vertical="center"/>
    </xf>
    <xf numFmtId="0" fontId="55" fillId="0" borderId="143" xfId="0" applyFont="1" applyBorder="1" applyAlignment="1">
      <alignment horizontal="center" vertical="center"/>
    </xf>
    <xf numFmtId="170" fontId="11" fillId="0" borderId="143" xfId="0" applyNumberFormat="1" applyFont="1" applyBorder="1" applyAlignment="1">
      <alignment horizontal="center" vertical="center"/>
    </xf>
    <xf numFmtId="170" fontId="52" fillId="0" borderId="143" xfId="0" applyNumberFormat="1" applyFont="1" applyBorder="1" applyAlignment="1">
      <alignment horizontal="center" vertical="center"/>
    </xf>
    <xf numFmtId="172" fontId="146" fillId="0" borderId="143" xfId="0" applyNumberFormat="1" applyFont="1" applyBorder="1" applyAlignment="1">
      <alignment horizontal="center" vertical="center"/>
    </xf>
    <xf numFmtId="0" fontId="11" fillId="0" borderId="143" xfId="0" applyFont="1" applyBorder="1" applyAlignment="1">
      <alignment horizontal="center" vertical="center"/>
    </xf>
    <xf numFmtId="49" fontId="0" fillId="0" borderId="143" xfId="0" applyNumberFormat="1" applyBorder="1" applyAlignment="1">
      <alignment horizontal="center" vertical="center"/>
    </xf>
    <xf numFmtId="169" fontId="11" fillId="0" borderId="143" xfId="0" applyNumberFormat="1" applyFont="1" applyBorder="1" applyAlignment="1">
      <alignment horizontal="center" vertical="center"/>
    </xf>
    <xf numFmtId="49" fontId="176" fillId="0" borderId="143" xfId="0" applyNumberFormat="1" applyFont="1" applyBorder="1" applyAlignment="1">
      <alignment horizontal="center" vertical="center"/>
    </xf>
    <xf numFmtId="171" fontId="11" fillId="0" borderId="143" xfId="0" applyNumberFormat="1" applyFont="1" applyFill="1" applyBorder="1" applyAlignment="1">
      <alignment horizontal="center" vertical="center"/>
    </xf>
    <xf numFmtId="0" fontId="0" fillId="0" borderId="144" xfId="0" applyBorder="1" applyAlignment="1">
      <alignment vertical="center"/>
    </xf>
    <xf numFmtId="172" fontId="150" fillId="0" borderId="19" xfId="0" applyNumberFormat="1" applyFont="1" applyBorder="1" applyAlignment="1">
      <alignment horizontal="center" vertical="center"/>
    </xf>
    <xf numFmtId="49" fontId="187" fillId="0" borderId="19" xfId="0" applyNumberFormat="1" applyFont="1" applyBorder="1" applyAlignment="1">
      <alignment horizontal="center" vertical="center"/>
    </xf>
    <xf numFmtId="49" fontId="187" fillId="0" borderId="87" xfId="0" applyNumberFormat="1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180" fillId="0" borderId="145" xfId="0" applyFont="1" applyBorder="1" applyAlignment="1">
      <alignment horizontal="center" vertical="center" textRotation="255"/>
    </xf>
    <xf numFmtId="0" fontId="55" fillId="0" borderId="146" xfId="0" applyFont="1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51" fillId="0" borderId="146" xfId="0" applyFont="1" applyBorder="1" applyAlignment="1">
      <alignment horizontal="center" vertical="center"/>
    </xf>
    <xf numFmtId="172" fontId="146" fillId="0" borderId="146" xfId="0" applyNumberFormat="1" applyFont="1" applyBorder="1" applyAlignment="1">
      <alignment horizontal="center" vertical="center"/>
    </xf>
    <xf numFmtId="0" fontId="11" fillId="0" borderId="146" xfId="0" applyFont="1" applyBorder="1" applyAlignment="1">
      <alignment horizontal="center" vertical="center"/>
    </xf>
    <xf numFmtId="49" fontId="0" fillId="0" borderId="146" xfId="0" applyNumberFormat="1" applyBorder="1" applyAlignment="1">
      <alignment horizontal="center" vertical="center"/>
    </xf>
    <xf numFmtId="169" fontId="11" fillId="0" borderId="146" xfId="0" applyNumberFormat="1" applyFont="1" applyBorder="1" applyAlignment="1">
      <alignment horizontal="center" vertical="center"/>
    </xf>
    <xf numFmtId="49" fontId="176" fillId="0" borderId="146" xfId="0" applyNumberFormat="1" applyFont="1" applyBorder="1" applyAlignment="1">
      <alignment horizontal="center" vertical="center"/>
    </xf>
    <xf numFmtId="171" fontId="11" fillId="0" borderId="146" xfId="0" applyNumberFormat="1" applyFont="1" applyFill="1" applyBorder="1" applyAlignment="1">
      <alignment horizontal="center" vertical="center"/>
    </xf>
    <xf numFmtId="0" fontId="0" fillId="0" borderId="147" xfId="0" applyBorder="1" applyAlignment="1">
      <alignment vertical="center"/>
    </xf>
    <xf numFmtId="0" fontId="149" fillId="0" borderId="145" xfId="0" applyFont="1" applyBorder="1" applyAlignment="1">
      <alignment horizontal="center" vertical="center" textRotation="255" wrapText="1"/>
    </xf>
    <xf numFmtId="0" fontId="150" fillId="0" borderId="146" xfId="0" applyFont="1" applyBorder="1" applyAlignment="1">
      <alignment horizontal="center" vertical="center"/>
    </xf>
    <xf numFmtId="170" fontId="9" fillId="0" borderId="146" xfId="0" applyNumberFormat="1" applyFont="1" applyBorder="1" applyAlignment="1">
      <alignment horizontal="center" vertical="center"/>
    </xf>
    <xf numFmtId="170" fontId="52" fillId="0" borderId="146" xfId="0" applyNumberFormat="1" applyFont="1" applyBorder="1" applyAlignment="1">
      <alignment horizontal="center" vertical="center"/>
    </xf>
    <xf numFmtId="49" fontId="3" fillId="0" borderId="146" xfId="0" applyNumberFormat="1" applyFont="1" applyBorder="1" applyAlignment="1">
      <alignment horizontal="center" vertical="center"/>
    </xf>
    <xf numFmtId="49" fontId="179" fillId="0" borderId="146" xfId="0" applyNumberFormat="1" applyFont="1" applyBorder="1" applyAlignment="1">
      <alignment horizontal="center" vertical="center"/>
    </xf>
    <xf numFmtId="171" fontId="11" fillId="0" borderId="146" xfId="0" applyNumberFormat="1" applyFont="1" applyBorder="1" applyAlignment="1">
      <alignment horizontal="center" vertical="center"/>
    </xf>
    <xf numFmtId="0" fontId="11" fillId="0" borderId="147" xfId="0" applyFont="1" applyBorder="1" applyAlignment="1">
      <alignment vertical="center"/>
    </xf>
    <xf numFmtId="172" fontId="146" fillId="0" borderId="148" xfId="0" applyNumberFormat="1" applyFont="1" applyBorder="1" applyAlignment="1">
      <alignment horizontal="center" vertical="center"/>
    </xf>
    <xf numFmtId="49" fontId="179" fillId="0" borderId="63" xfId="0" applyNumberFormat="1" applyFont="1" applyBorder="1" applyAlignment="1">
      <alignment horizontal="center" vertical="center"/>
    </xf>
    <xf numFmtId="0" fontId="0" fillId="0" borderId="108" xfId="0" applyBorder="1" applyAlignment="1">
      <alignment horizontal="center"/>
    </xf>
    <xf numFmtId="0" fontId="0" fillId="0" borderId="145" xfId="0" applyBorder="1"/>
    <xf numFmtId="0" fontId="0" fillId="0" borderId="146" xfId="0" applyBorder="1"/>
    <xf numFmtId="0" fontId="51" fillId="0" borderId="146" xfId="0" applyFont="1" applyBorder="1" applyAlignment="1">
      <alignment horizontal="center"/>
    </xf>
    <xf numFmtId="0" fontId="0" fillId="0" borderId="146" xfId="0" applyBorder="1" applyAlignment="1">
      <alignment horizontal="center"/>
    </xf>
    <xf numFmtId="0" fontId="146" fillId="0" borderId="146" xfId="0" applyFont="1" applyBorder="1" applyAlignment="1">
      <alignment horizontal="center"/>
    </xf>
    <xf numFmtId="49" fontId="0" fillId="0" borderId="146" xfId="0" applyNumberFormat="1" applyBorder="1" applyAlignment="1">
      <alignment horizontal="center"/>
    </xf>
    <xf numFmtId="49" fontId="0" fillId="0" borderId="146" xfId="0" applyNumberFormat="1" applyBorder="1"/>
    <xf numFmtId="0" fontId="0" fillId="0" borderId="146" xfId="0" applyBorder="1" applyAlignment="1"/>
    <xf numFmtId="0" fontId="150" fillId="0" borderId="21" xfId="0" applyFont="1" applyBorder="1" applyAlignment="1">
      <alignment horizontal="center" vertical="center"/>
    </xf>
    <xf numFmtId="0" fontId="150" fillId="0" borderId="14" xfId="0" applyFont="1" applyBorder="1" applyAlignment="1">
      <alignment horizontal="center" vertical="center"/>
    </xf>
    <xf numFmtId="172" fontId="146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179" fillId="0" borderId="12" xfId="0" applyNumberFormat="1" applyFont="1" applyBorder="1" applyAlignment="1">
      <alignment horizontal="center" vertical="center"/>
    </xf>
    <xf numFmtId="0" fontId="0" fillId="0" borderId="95" xfId="0" applyBorder="1" applyAlignment="1">
      <alignment vertical="center"/>
    </xf>
    <xf numFmtId="0" fontId="150" fillId="0" borderId="133" xfId="0" applyFont="1" applyBorder="1" applyAlignment="1">
      <alignment horizontal="center" vertical="center"/>
    </xf>
    <xf numFmtId="0" fontId="150" fillId="0" borderId="134" xfId="0" applyFont="1" applyBorder="1" applyAlignment="1">
      <alignment horizontal="center" vertical="center"/>
    </xf>
    <xf numFmtId="0" fontId="149" fillId="0" borderId="54" xfId="0" applyFont="1" applyBorder="1" applyAlignment="1">
      <alignment horizontal="center" vertical="center" textRotation="255" wrapText="1"/>
    </xf>
    <xf numFmtId="0" fontId="0" fillId="0" borderId="54" xfId="0" applyBorder="1" applyAlignment="1">
      <alignment vertical="center"/>
    </xf>
    <xf numFmtId="0" fontId="150" fillId="0" borderId="149" xfId="0" applyFont="1" applyBorder="1" applyAlignment="1">
      <alignment horizontal="center" vertical="center"/>
    </xf>
    <xf numFmtId="171" fontId="1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176" fillId="0" borderId="0" xfId="0" applyFont="1" applyAlignment="1">
      <alignment horizontal="left"/>
    </xf>
    <xf numFmtId="0" fontId="176" fillId="0" borderId="0" xfId="0" applyFont="1" applyAlignment="1">
      <alignment horizontal="center"/>
    </xf>
    <xf numFmtId="165" fontId="1" fillId="0" borderId="0" xfId="33" applyFont="1"/>
    <xf numFmtId="4" fontId="0" fillId="0" borderId="0" xfId="0" applyNumberFormat="1" applyAlignment="1">
      <alignment horizontal="center"/>
    </xf>
    <xf numFmtId="164" fontId="0" fillId="0" borderId="0" xfId="0" applyNumberFormat="1"/>
    <xf numFmtId="171" fontId="18" fillId="0" borderId="130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left" vertical="center" indent="1"/>
    </xf>
    <xf numFmtId="0" fontId="18" fillId="0" borderId="54" xfId="0" applyFont="1" applyBorder="1" applyAlignment="1">
      <alignment horizontal="left" vertical="center" indent="1"/>
    </xf>
    <xf numFmtId="0" fontId="189" fillId="0" borderId="51" xfId="0" applyFont="1" applyBorder="1" applyAlignment="1">
      <alignment horizontal="center" vertical="center"/>
    </xf>
    <xf numFmtId="166" fontId="22" fillId="0" borderId="52" xfId="0" applyNumberFormat="1" applyFont="1" applyBorder="1" applyAlignment="1">
      <alignment horizontal="center" vertical="center"/>
    </xf>
    <xf numFmtId="0" fontId="55" fillId="0" borderId="106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 wrapText="1" shrinkToFit="1"/>
    </xf>
    <xf numFmtId="0" fontId="16" fillId="0" borderId="74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175" fontId="12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0" fillId="0" borderId="108" xfId="0" applyBorder="1" applyAlignment="1">
      <alignment vertical="center"/>
    </xf>
    <xf numFmtId="171" fontId="190" fillId="0" borderId="150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37" fillId="0" borderId="96" xfId="0" applyFont="1" applyFill="1" applyBorder="1" applyAlignment="1">
      <alignment vertical="center"/>
    </xf>
    <xf numFmtId="0" fontId="149" fillId="0" borderId="151" xfId="0" applyFont="1" applyFill="1" applyBorder="1" applyAlignment="1">
      <alignment horizontal="center" vertical="center"/>
    </xf>
    <xf numFmtId="166" fontId="3" fillId="0" borderId="89" xfId="0" applyNumberFormat="1" applyFont="1" applyBorder="1" applyAlignment="1">
      <alignment horizontal="center" vertical="center"/>
    </xf>
    <xf numFmtId="2" fontId="3" fillId="0" borderId="89" xfId="0" applyNumberFormat="1" applyFont="1" applyBorder="1" applyAlignment="1">
      <alignment horizontal="center" vertical="center"/>
    </xf>
    <xf numFmtId="4" fontId="69" fillId="0" borderId="150" xfId="0" applyNumberFormat="1" applyFont="1" applyBorder="1" applyAlignment="1">
      <alignment horizontal="center" vertical="center"/>
    </xf>
    <xf numFmtId="4" fontId="11" fillId="0" borderId="150" xfId="0" applyNumberFormat="1" applyFont="1" applyBorder="1" applyAlignment="1">
      <alignment horizontal="right" vertical="center"/>
    </xf>
    <xf numFmtId="175" fontId="12" fillId="0" borderId="152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164" fontId="192" fillId="0" borderId="0" xfId="0" applyNumberFormat="1" applyFont="1" applyAlignment="1">
      <alignment horizontal="right" vertical="center"/>
    </xf>
    <xf numFmtId="0" fontId="13" fillId="0" borderId="132" xfId="0" applyFont="1" applyBorder="1" applyAlignment="1">
      <alignment horizontal="center" vertical="center"/>
    </xf>
    <xf numFmtId="171" fontId="190" fillId="0" borderId="14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149" fillId="0" borderId="93" xfId="0" applyFont="1" applyBorder="1" applyAlignment="1">
      <alignment horizontal="center" vertical="center"/>
    </xf>
    <xf numFmtId="166" fontId="3" fillId="0" borderId="23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4" fontId="11" fillId="0" borderId="140" xfId="0" applyNumberFormat="1" applyFont="1" applyBorder="1" applyAlignment="1">
      <alignment horizontal="center" vertical="center"/>
    </xf>
    <xf numFmtId="4" fontId="33" fillId="0" borderId="140" xfId="0" applyNumberFormat="1" applyFont="1" applyBorder="1" applyAlignment="1">
      <alignment horizontal="right" vertical="center"/>
    </xf>
    <xf numFmtId="175" fontId="12" fillId="0" borderId="153" xfId="0" applyNumberFormat="1" applyFont="1" applyBorder="1" applyAlignment="1">
      <alignment vertical="center"/>
    </xf>
    <xf numFmtId="0" fontId="0" fillId="0" borderId="103" xfId="0" applyBorder="1" applyAlignment="1">
      <alignment vertical="center"/>
    </xf>
    <xf numFmtId="171" fontId="190" fillId="0" borderId="154" xfId="0" applyNumberFormat="1" applyFont="1" applyBorder="1" applyAlignment="1">
      <alignment horizontal="center" vertical="center"/>
    </xf>
    <xf numFmtId="0" fontId="11" fillId="0" borderId="63" xfId="0" applyFont="1" applyBorder="1" applyAlignment="1">
      <alignment vertical="center"/>
    </xf>
    <xf numFmtId="0" fontId="11" fillId="0" borderId="124" xfId="0" applyFont="1" applyBorder="1" applyAlignment="1">
      <alignment vertical="center"/>
    </xf>
    <xf numFmtId="1" fontId="18" fillId="0" borderId="62" xfId="0" applyNumberFormat="1" applyFont="1" applyBorder="1" applyAlignment="1">
      <alignment horizontal="center" vertical="center"/>
    </xf>
    <xf numFmtId="166" fontId="3" fillId="0" borderId="155" xfId="0" applyNumberFormat="1" applyFont="1" applyBorder="1" applyAlignment="1">
      <alignment horizontal="center" vertical="center"/>
    </xf>
    <xf numFmtId="2" fontId="3" fillId="0" borderId="63" xfId="0" applyNumberFormat="1" applyFont="1" applyBorder="1" applyAlignment="1">
      <alignment horizontal="center" vertical="center"/>
    </xf>
    <xf numFmtId="179" fontId="11" fillId="21" borderId="154" xfId="0" applyNumberFormat="1" applyFont="1" applyFill="1" applyBorder="1" applyAlignment="1">
      <alignment horizontal="center" vertical="center"/>
    </xf>
    <xf numFmtId="4" fontId="25" fillId="0" borderId="154" xfId="0" applyNumberFormat="1" applyFont="1" applyBorder="1" applyAlignment="1">
      <alignment horizontal="right" vertical="center"/>
    </xf>
    <xf numFmtId="175" fontId="12" fillId="0" borderId="156" xfId="0" applyNumberFormat="1" applyFont="1" applyBorder="1" applyAlignment="1">
      <alignment vertical="center"/>
    </xf>
    <xf numFmtId="0" fontId="11" fillId="0" borderId="20" xfId="0" applyFont="1" applyBorder="1"/>
    <xf numFmtId="166" fontId="11" fillId="0" borderId="0" xfId="0" applyNumberFormat="1" applyFont="1"/>
    <xf numFmtId="0" fontId="0" fillId="0" borderId="132" xfId="0" applyBorder="1" applyAlignment="1">
      <alignment vertical="center"/>
    </xf>
    <xf numFmtId="0" fontId="11" fillId="0" borderId="23" xfId="0" applyFont="1" applyBorder="1" applyAlignment="1">
      <alignment vertical="center"/>
    </xf>
    <xf numFmtId="1" fontId="18" fillId="0" borderId="93" xfId="0" applyNumberFormat="1" applyFont="1" applyBorder="1" applyAlignment="1">
      <alignment horizontal="center" vertical="center"/>
    </xf>
    <xf numFmtId="179" fontId="11" fillId="0" borderId="140" xfId="0" applyNumberFormat="1" applyFont="1" applyFill="1" applyBorder="1" applyAlignment="1">
      <alignment horizontal="center" vertical="center"/>
    </xf>
    <xf numFmtId="4" fontId="25" fillId="0" borderId="140" xfId="0" applyNumberFormat="1" applyFont="1" applyBorder="1" applyAlignment="1">
      <alignment horizontal="right" vertical="center"/>
    </xf>
    <xf numFmtId="166" fontId="11" fillId="0" borderId="20" xfId="0" applyNumberFormat="1" applyFont="1" applyBorder="1"/>
    <xf numFmtId="0" fontId="11" fillId="0" borderId="89" xfId="0" applyFont="1" applyBorder="1" applyAlignment="1">
      <alignment vertical="center"/>
    </xf>
    <xf numFmtId="0" fontId="37" fillId="0" borderId="152" xfId="0" applyFont="1" applyFill="1" applyBorder="1" applyAlignment="1">
      <alignment vertical="center"/>
    </xf>
    <xf numFmtId="0" fontId="37" fillId="0" borderId="153" xfId="0" applyFont="1" applyBorder="1" applyAlignment="1">
      <alignment vertical="center"/>
    </xf>
    <xf numFmtId="171" fontId="190" fillId="0" borderId="157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158" xfId="0" applyFont="1" applyBorder="1" applyAlignment="1">
      <alignment vertical="center"/>
    </xf>
    <xf numFmtId="1" fontId="18" fillId="0" borderId="56" xfId="0" applyNumberFormat="1" applyFont="1" applyBorder="1" applyAlignment="1">
      <alignment horizontal="center" vertical="center"/>
    </xf>
    <xf numFmtId="166" fontId="3" fillId="0" borderId="24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51" fillId="0" borderId="63" xfId="0" applyFont="1" applyBorder="1" applyAlignment="1">
      <alignment horizontal="center" vertical="center"/>
    </xf>
    <xf numFmtId="0" fontId="12" fillId="0" borderId="132" xfId="0" applyFont="1" applyBorder="1" applyAlignment="1">
      <alignment horizontal="center" vertical="center"/>
    </xf>
    <xf numFmtId="0" fontId="193" fillId="0" borderId="103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1" fillId="0" borderId="132" xfId="0" applyFont="1" applyBorder="1" applyAlignment="1">
      <alignment vertical="center"/>
    </xf>
    <xf numFmtId="171" fontId="19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 wrapText="1" shrinkToFit="1"/>
    </xf>
    <xf numFmtId="4" fontId="11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75" fontId="3" fillId="0" borderId="0" xfId="33" applyNumberFormat="1" applyFont="1" applyBorder="1" applyAlignment="1">
      <alignment horizontal="center" vertical="center"/>
    </xf>
    <xf numFmtId="4" fontId="55" fillId="0" borderId="0" xfId="33" applyNumberFormat="1" applyFont="1" applyBorder="1" applyAlignment="1">
      <alignment horizontal="center" vertical="center"/>
    </xf>
    <xf numFmtId="4" fontId="67" fillId="0" borderId="0" xfId="33" applyNumberFormat="1" applyFont="1" applyBorder="1" applyAlignment="1">
      <alignment horizontal="center" vertical="center"/>
    </xf>
    <xf numFmtId="4" fontId="191" fillId="0" borderId="0" xfId="33" applyNumberFormat="1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right" vertical="center"/>
    </xf>
    <xf numFmtId="175" fontId="12" fillId="0" borderId="0" xfId="0" applyNumberFormat="1" applyFont="1" applyBorder="1" applyAlignment="1">
      <alignment vertical="center"/>
    </xf>
    <xf numFmtId="164" fontId="194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/>
    </xf>
    <xf numFmtId="4" fontId="0" fillId="0" borderId="0" xfId="0" applyNumberFormat="1"/>
    <xf numFmtId="166" fontId="3" fillId="0" borderId="159" xfId="0" applyNumberFormat="1" applyFont="1" applyBorder="1" applyAlignment="1">
      <alignment horizontal="center" vertical="center"/>
    </xf>
    <xf numFmtId="0" fontId="146" fillId="0" borderId="9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2" fillId="0" borderId="96" xfId="0" applyFont="1" applyFill="1" applyBorder="1" applyAlignment="1">
      <alignment vertical="center"/>
    </xf>
    <xf numFmtId="0" fontId="55" fillId="0" borderId="0" xfId="0" applyFont="1"/>
    <xf numFmtId="4" fontId="55" fillId="0" borderId="159" xfId="33" applyNumberFormat="1" applyFont="1" applyBorder="1" applyAlignment="1">
      <alignment horizontal="center" vertical="center"/>
    </xf>
    <xf numFmtId="4" fontId="55" fillId="0" borderId="23" xfId="33" applyNumberFormat="1" applyFont="1" applyBorder="1" applyAlignment="1">
      <alignment horizontal="center" vertical="center"/>
    </xf>
    <xf numFmtId="1" fontId="195" fillId="0" borderId="62" xfId="0" applyNumberFormat="1" applyFont="1" applyBorder="1" applyAlignment="1">
      <alignment horizontal="center" vertical="center"/>
    </xf>
    <xf numFmtId="4" fontId="55" fillId="0" borderId="155" xfId="33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1" fillId="0" borderId="159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1" fontId="3" fillId="0" borderId="56" xfId="0" applyNumberFormat="1" applyFont="1" applyBorder="1" applyAlignment="1">
      <alignment horizontal="center" vertical="center"/>
    </xf>
    <xf numFmtId="0" fontId="11" fillId="0" borderId="155" xfId="0" applyFont="1" applyBorder="1" applyAlignment="1">
      <alignment vertical="center"/>
    </xf>
    <xf numFmtId="1" fontId="3" fillId="0" borderId="6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46" fillId="0" borderId="56" xfId="0" applyFont="1" applyBorder="1" applyAlignment="1">
      <alignment horizontal="center" vertical="center"/>
    </xf>
    <xf numFmtId="175" fontId="12" fillId="0" borderId="0" xfId="0" applyNumberFormat="1" applyFont="1"/>
    <xf numFmtId="0" fontId="22" fillId="0" borderId="96" xfId="0" applyFont="1" applyFill="1" applyBorder="1" applyAlignment="1">
      <alignment vertical="center"/>
    </xf>
    <xf numFmtId="4" fontId="0" fillId="0" borderId="140" xfId="0" applyNumberForma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164" fontId="12" fillId="0" borderId="152" xfId="0" applyNumberFormat="1" applyFont="1" applyBorder="1" applyAlignment="1">
      <alignment vertical="center"/>
    </xf>
    <xf numFmtId="164" fontId="12" fillId="0" borderId="153" xfId="0" applyNumberFormat="1" applyFont="1" applyBorder="1" applyAlignment="1">
      <alignment vertical="center"/>
    </xf>
    <xf numFmtId="164" fontId="12" fillId="0" borderId="156" xfId="0" applyNumberFormat="1" applyFont="1" applyBorder="1" applyAlignment="1">
      <alignment vertical="center"/>
    </xf>
    <xf numFmtId="171" fontId="11" fillId="0" borderId="140" xfId="0" applyNumberFormat="1" applyFont="1" applyBorder="1" applyAlignment="1">
      <alignment horizontal="center" vertical="center"/>
    </xf>
    <xf numFmtId="0" fontId="197" fillId="0" borderId="17" xfId="0" applyFont="1" applyBorder="1" applyAlignment="1">
      <alignment vertical="center"/>
    </xf>
    <xf numFmtId="0" fontId="199" fillId="0" borderId="0" xfId="0" applyFont="1" applyFill="1" applyBorder="1" applyAlignment="1">
      <alignment vertical="center"/>
    </xf>
    <xf numFmtId="0" fontId="200" fillId="0" borderId="93" xfId="0" applyFont="1" applyFill="1" applyBorder="1" applyAlignment="1">
      <alignment horizontal="center" vertical="center"/>
    </xf>
    <xf numFmtId="166" fontId="201" fillId="0" borderId="23" xfId="0" applyNumberFormat="1" applyFont="1" applyBorder="1" applyAlignment="1">
      <alignment horizontal="center" vertical="center"/>
    </xf>
    <xf numFmtId="2" fontId="201" fillId="0" borderId="23" xfId="0" applyNumberFormat="1" applyFont="1" applyBorder="1" applyAlignment="1">
      <alignment horizontal="center" vertical="center"/>
    </xf>
    <xf numFmtId="4" fontId="33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97" fillId="0" borderId="0" xfId="0" applyFont="1" applyFill="1" applyBorder="1" applyAlignment="1">
      <alignment vertical="center"/>
    </xf>
    <xf numFmtId="2" fontId="3" fillId="0" borderId="23" xfId="0" applyNumberFormat="1" applyFont="1" applyBorder="1" applyAlignment="1">
      <alignment horizontal="center" vertical="center"/>
    </xf>
    <xf numFmtId="171" fontId="11" fillId="0" borderId="154" xfId="0" applyNumberFormat="1" applyFont="1" applyBorder="1" applyAlignment="1">
      <alignment horizontal="center" vertical="center"/>
    </xf>
    <xf numFmtId="0" fontId="146" fillId="0" borderId="62" xfId="0" applyFont="1" applyBorder="1" applyAlignment="1">
      <alignment horizontal="center" vertical="center"/>
    </xf>
    <xf numFmtId="2" fontId="3" fillId="0" borderId="155" xfId="0" applyNumberFormat="1" applyFont="1" applyBorder="1" applyAlignment="1">
      <alignment horizontal="center" vertical="center"/>
    </xf>
    <xf numFmtId="4" fontId="55" fillId="0" borderId="124" xfId="33" applyNumberFormat="1" applyFont="1" applyBorder="1" applyAlignment="1">
      <alignment horizontal="center" vertical="center"/>
    </xf>
    <xf numFmtId="4" fontId="37" fillId="0" borderId="154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49" fillId="0" borderId="93" xfId="0" applyFont="1" applyFill="1" applyBorder="1" applyAlignment="1">
      <alignment horizontal="center" vertical="center"/>
    </xf>
    <xf numFmtId="0" fontId="197" fillId="0" borderId="0" xfId="0" applyFont="1" applyBorder="1" applyAlignment="1">
      <alignment vertical="center"/>
    </xf>
    <xf numFmtId="0" fontId="200" fillId="0" borderId="93" xfId="0" applyFont="1" applyBorder="1" applyAlignment="1">
      <alignment horizontal="center" vertical="center"/>
    </xf>
    <xf numFmtId="0" fontId="197" fillId="0" borderId="63" xfId="0" applyFont="1" applyBorder="1" applyAlignment="1">
      <alignment vertical="center"/>
    </xf>
    <xf numFmtId="0" fontId="197" fillId="0" borderId="124" xfId="0" applyFont="1" applyBorder="1" applyAlignment="1">
      <alignment vertical="center"/>
    </xf>
    <xf numFmtId="0" fontId="200" fillId="0" borderId="62" xfId="0" applyFont="1" applyBorder="1" applyAlignment="1">
      <alignment horizontal="center" vertical="center"/>
    </xf>
    <xf numFmtId="166" fontId="201" fillId="0" borderId="155" xfId="0" applyNumberFormat="1" applyFont="1" applyBorder="1" applyAlignment="1">
      <alignment horizontal="center" vertical="center"/>
    </xf>
    <xf numFmtId="2" fontId="201" fillId="0" borderId="155" xfId="0" applyNumberFormat="1" applyFont="1" applyBorder="1" applyAlignment="1">
      <alignment horizontal="center" vertical="center"/>
    </xf>
    <xf numFmtId="0" fontId="22" fillId="0" borderId="124" xfId="0" applyFont="1" applyBorder="1" applyAlignment="1">
      <alignment vertical="center"/>
    </xf>
    <xf numFmtId="4" fontId="0" fillId="0" borderId="154" xfId="0" applyNumberFormat="1" applyBorder="1"/>
    <xf numFmtId="171" fontId="11" fillId="0" borderId="0" xfId="0" applyNumberFormat="1" applyFont="1" applyAlignment="1">
      <alignment horizontal="center"/>
    </xf>
    <xf numFmtId="165" fontId="37" fillId="0" borderId="4" xfId="33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165" fontId="37" fillId="0" borderId="10" xfId="33" applyFont="1" applyBorder="1" applyAlignment="1">
      <alignment horizontal="center"/>
    </xf>
    <xf numFmtId="4" fontId="11" fillId="0" borderId="4" xfId="0" applyNumberFormat="1" applyFont="1" applyBorder="1" applyAlignment="1">
      <alignment horizontal="right"/>
    </xf>
    <xf numFmtId="4" fontId="33" fillId="0" borderId="4" xfId="0" applyNumberFormat="1" applyFont="1" applyBorder="1" applyAlignment="1">
      <alignment horizontal="right"/>
    </xf>
    <xf numFmtId="4" fontId="33" fillId="0" borderId="45" xfId="0" applyNumberFormat="1" applyFont="1" applyBorder="1" applyAlignment="1">
      <alignment horizontal="right"/>
    </xf>
    <xf numFmtId="4" fontId="73" fillId="0" borderId="59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right"/>
    </xf>
    <xf numFmtId="4" fontId="14" fillId="0" borderId="4" xfId="0" applyNumberFormat="1" applyFont="1" applyBorder="1" applyAlignment="1">
      <alignment horizontal="center"/>
    </xf>
    <xf numFmtId="0" fontId="51" fillId="0" borderId="0" xfId="0" applyFont="1"/>
    <xf numFmtId="0" fontId="203" fillId="0" borderId="0" xfId="0" applyFont="1" applyAlignment="1">
      <alignment horizontal="left"/>
    </xf>
    <xf numFmtId="0" fontId="203" fillId="0" borderId="0" xfId="0" applyFont="1" applyAlignment="1">
      <alignment horizontal="center"/>
    </xf>
    <xf numFmtId="165" fontId="51" fillId="0" borderId="0" xfId="33" applyFont="1"/>
    <xf numFmtId="4" fontId="51" fillId="0" borderId="0" xfId="0" applyNumberFormat="1" applyFont="1" applyAlignment="1">
      <alignment horizontal="center"/>
    </xf>
    <xf numFmtId="4" fontId="51" fillId="0" borderId="0" xfId="0" applyNumberFormat="1" applyFont="1"/>
    <xf numFmtId="175" fontId="54" fillId="0" borderId="0" xfId="0" applyNumberFormat="1" applyFont="1"/>
    <xf numFmtId="0" fontId="54" fillId="0" borderId="0" xfId="0" applyFont="1"/>
    <xf numFmtId="164" fontId="51" fillId="0" borderId="0" xfId="0" applyNumberFormat="1" applyFont="1"/>
    <xf numFmtId="0" fontId="36" fillId="0" borderId="0" xfId="0" applyFont="1"/>
    <xf numFmtId="0" fontId="51" fillId="0" borderId="0" xfId="0" applyFont="1" applyAlignment="1">
      <alignment vertical="center"/>
    </xf>
    <xf numFmtId="171" fontId="204" fillId="0" borderId="130" xfId="0" applyNumberFormat="1" applyFont="1" applyBorder="1" applyAlignment="1">
      <alignment horizontal="center" vertical="center"/>
    </xf>
    <xf numFmtId="0" fontId="204" fillId="0" borderId="52" xfId="0" applyFont="1" applyBorder="1" applyAlignment="1">
      <alignment horizontal="left" vertical="center" indent="1"/>
    </xf>
    <xf numFmtId="0" fontId="204" fillId="0" borderId="54" xfId="0" applyFont="1" applyBorder="1" applyAlignment="1">
      <alignment horizontal="left" vertical="center" indent="1"/>
    </xf>
    <xf numFmtId="0" fontId="205" fillId="0" borderId="106" xfId="0" applyFont="1" applyBorder="1" applyAlignment="1">
      <alignment horizontal="center" vertical="center"/>
    </xf>
    <xf numFmtId="166" fontId="206" fillId="0" borderId="52" xfId="0" applyNumberFormat="1" applyFont="1" applyBorder="1" applyAlignment="1">
      <alignment horizontal="center" vertical="center"/>
    </xf>
    <xf numFmtId="0" fontId="51" fillId="0" borderId="106" xfId="0" applyFont="1" applyBorder="1" applyAlignment="1">
      <alignment horizontal="center" vertical="center"/>
    </xf>
    <xf numFmtId="0" fontId="51" fillId="0" borderId="74" xfId="0" applyFont="1" applyBorder="1" applyAlignment="1">
      <alignment horizontal="center" vertical="center"/>
    </xf>
    <xf numFmtId="4" fontId="51" fillId="0" borderId="0" xfId="0" applyNumberFormat="1" applyFont="1" applyAlignment="1">
      <alignment horizontal="center" vertical="center"/>
    </xf>
    <xf numFmtId="4" fontId="51" fillId="0" borderId="0" xfId="0" applyNumberFormat="1" applyFont="1" applyAlignment="1">
      <alignment vertical="center"/>
    </xf>
    <xf numFmtId="175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164" fontId="51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171" fontId="207" fillId="0" borderId="150" xfId="0" applyNumberFormat="1" applyFont="1" applyBorder="1" applyAlignment="1">
      <alignment horizontal="center" vertical="center"/>
    </xf>
    <xf numFmtId="0" fontId="36" fillId="0" borderId="89" xfId="0" applyFont="1" applyBorder="1" applyAlignment="1">
      <alignment vertical="center"/>
    </xf>
    <xf numFmtId="0" fontId="206" fillId="22" borderId="96" xfId="0" applyFont="1" applyFill="1" applyBorder="1" applyAlignment="1">
      <alignment vertical="center"/>
    </xf>
    <xf numFmtId="0" fontId="208" fillId="22" borderId="160" xfId="0" applyFont="1" applyFill="1" applyBorder="1" applyAlignment="1">
      <alignment horizontal="center" vertical="center"/>
    </xf>
    <xf numFmtId="166" fontId="51" fillId="0" borderId="159" xfId="0" applyNumberFormat="1" applyFont="1" applyBorder="1" applyAlignment="1">
      <alignment horizontal="center" vertical="center"/>
    </xf>
    <xf numFmtId="2" fontId="51" fillId="0" borderId="159" xfId="0" applyNumberFormat="1" applyFont="1" applyBorder="1" applyAlignment="1">
      <alignment horizontal="center" vertical="center"/>
    </xf>
    <xf numFmtId="4" fontId="51" fillId="0" borderId="152" xfId="33" applyNumberFormat="1" applyFont="1" applyBorder="1" applyAlignment="1">
      <alignment horizontal="center" vertical="center"/>
    </xf>
    <xf numFmtId="171" fontId="207" fillId="0" borderId="157" xfId="0" applyNumberFormat="1" applyFont="1" applyBorder="1" applyAlignment="1">
      <alignment horizontal="center" vertical="center"/>
    </xf>
    <xf numFmtId="0" fontId="36" fillId="0" borderId="19" xfId="0" applyFont="1" applyBorder="1" applyAlignment="1">
      <alignment vertical="center"/>
    </xf>
    <xf numFmtId="0" fontId="206" fillId="22" borderId="20" xfId="0" applyFont="1" applyFill="1" applyBorder="1" applyAlignment="1">
      <alignment vertical="center"/>
    </xf>
    <xf numFmtId="0" fontId="208" fillId="22" borderId="21" xfId="0" applyFont="1" applyFill="1" applyBorder="1" applyAlignment="1">
      <alignment horizontal="center" vertical="center"/>
    </xf>
    <xf numFmtId="166" fontId="51" fillId="0" borderId="24" xfId="0" applyNumberFormat="1" applyFont="1" applyBorder="1" applyAlignment="1">
      <alignment horizontal="center" vertical="center"/>
    </xf>
    <xf numFmtId="2" fontId="51" fillId="0" borderId="24" xfId="0" applyNumberFormat="1" applyFont="1" applyBorder="1" applyAlignment="1">
      <alignment horizontal="center" vertical="center"/>
    </xf>
    <xf numFmtId="4" fontId="51" fillId="0" borderId="153" xfId="33" applyNumberFormat="1" applyFont="1" applyBorder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2" fontId="51" fillId="0" borderId="0" xfId="0" applyNumberFormat="1" applyFont="1" applyAlignment="1">
      <alignment vertical="center"/>
    </xf>
    <xf numFmtId="171" fontId="207" fillId="0" borderId="140" xfId="0" applyNumberFormat="1" applyFont="1" applyBorder="1" applyAlignment="1">
      <alignment horizontal="center" vertical="center"/>
    </xf>
    <xf numFmtId="0" fontId="36" fillId="0" borderId="17" xfId="0" applyFont="1" applyBorder="1" applyAlignment="1">
      <alignment vertical="center"/>
    </xf>
    <xf numFmtId="0" fontId="206" fillId="22" borderId="0" xfId="0" applyFont="1" applyFill="1" applyBorder="1" applyAlignment="1">
      <alignment vertical="center"/>
    </xf>
    <xf numFmtId="0" fontId="208" fillId="22" borderId="18" xfId="0" applyFont="1" applyFill="1" applyBorder="1" applyAlignment="1">
      <alignment horizontal="center" vertical="center"/>
    </xf>
    <xf numFmtId="166" fontId="51" fillId="0" borderId="23" xfId="0" applyNumberFormat="1" applyFont="1" applyBorder="1" applyAlignment="1">
      <alignment horizontal="center" vertical="center"/>
    </xf>
    <xf numFmtId="2" fontId="51" fillId="0" borderId="23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171" fontId="207" fillId="0" borderId="130" xfId="0" applyNumberFormat="1" applyFont="1" applyBorder="1" applyAlignment="1">
      <alignment horizontal="center" vertical="center"/>
    </xf>
    <xf numFmtId="0" fontId="36" fillId="0" borderId="52" xfId="0" applyFont="1" applyBorder="1" applyAlignment="1">
      <alignment vertical="center"/>
    </xf>
    <xf numFmtId="0" fontId="52" fillId="0" borderId="52" xfId="0" applyFont="1" applyBorder="1" applyAlignment="1">
      <alignment horizontal="center" vertical="justify" wrapText="1"/>
    </xf>
    <xf numFmtId="0" fontId="206" fillId="0" borderId="55" xfId="0" applyFont="1" applyFill="1" applyBorder="1" applyAlignment="1">
      <alignment vertical="center"/>
    </xf>
    <xf numFmtId="0" fontId="208" fillId="0" borderId="106" xfId="0" applyFont="1" applyFill="1" applyBorder="1" applyAlignment="1">
      <alignment horizontal="center" vertical="center"/>
    </xf>
    <xf numFmtId="166" fontId="51" fillId="0" borderId="55" xfId="0" applyNumberFormat="1" applyFont="1" applyBorder="1" applyAlignment="1">
      <alignment horizontal="center" vertical="center"/>
    </xf>
    <xf numFmtId="2" fontId="51" fillId="0" borderId="55" xfId="0" applyNumberFormat="1" applyFont="1" applyBorder="1" applyAlignment="1">
      <alignment horizontal="center" vertical="center"/>
    </xf>
    <xf numFmtId="175" fontId="51" fillId="0" borderId="106" xfId="33" applyNumberFormat="1" applyFont="1" applyBorder="1" applyAlignment="1">
      <alignment horizontal="right" vertical="center"/>
    </xf>
    <xf numFmtId="4" fontId="51" fillId="0" borderId="54" xfId="33" applyNumberFormat="1" applyFont="1" applyBorder="1" applyAlignment="1">
      <alignment horizontal="center" vertical="center"/>
    </xf>
    <xf numFmtId="173" fontId="191" fillId="0" borderId="105" xfId="33" applyNumberFormat="1" applyFont="1" applyBorder="1" applyAlignment="1">
      <alignment vertical="center"/>
    </xf>
    <xf numFmtId="4" fontId="51" fillId="0" borderId="130" xfId="0" applyNumberFormat="1" applyFont="1" applyBorder="1" applyAlignment="1">
      <alignment horizontal="center" vertical="center"/>
    </xf>
    <xf numFmtId="0" fontId="54" fillId="0" borderId="54" xfId="0" applyFont="1" applyBorder="1" applyAlignment="1">
      <alignment vertical="center"/>
    </xf>
    <xf numFmtId="175" fontId="36" fillId="0" borderId="107" xfId="0" applyNumberFormat="1" applyFont="1" applyBorder="1" applyAlignment="1">
      <alignment vertical="center"/>
    </xf>
    <xf numFmtId="166" fontId="54" fillId="0" borderId="0" xfId="0" applyNumberFormat="1" applyFont="1" applyBorder="1" applyAlignment="1">
      <alignment horizontal="right" vertical="center"/>
    </xf>
    <xf numFmtId="164" fontId="204" fillId="0" borderId="0" xfId="0" applyNumberFormat="1" applyFont="1" applyAlignment="1">
      <alignment horizontal="center" vertical="center"/>
    </xf>
    <xf numFmtId="171" fontId="207" fillId="0" borderId="154" xfId="0" applyNumberFormat="1" applyFont="1" applyBorder="1" applyAlignment="1">
      <alignment horizontal="center" vertical="center"/>
    </xf>
    <xf numFmtId="0" fontId="36" fillId="0" borderId="63" xfId="0" applyFont="1" applyBorder="1" applyAlignment="1">
      <alignment vertical="center"/>
    </xf>
    <xf numFmtId="0" fontId="52" fillId="0" borderId="63" xfId="0" applyFont="1" applyBorder="1" applyAlignment="1">
      <alignment horizontal="center" vertical="justify" wrapText="1"/>
    </xf>
    <xf numFmtId="0" fontId="206" fillId="0" borderId="0" xfId="0" applyFont="1" applyFill="1" applyBorder="1" applyAlignment="1">
      <alignment vertical="center"/>
    </xf>
    <xf numFmtId="0" fontId="208" fillId="0" borderId="69" xfId="0" applyFont="1" applyFill="1" applyBorder="1" applyAlignment="1">
      <alignment horizontal="center" vertical="center"/>
    </xf>
    <xf numFmtId="166" fontId="51" fillId="0" borderId="155" xfId="0" applyNumberFormat="1" applyFont="1" applyBorder="1" applyAlignment="1">
      <alignment horizontal="center" vertical="center"/>
    </xf>
    <xf numFmtId="2" fontId="51" fillId="0" borderId="155" xfId="0" applyNumberFormat="1" applyFont="1" applyBorder="1" applyAlignment="1">
      <alignment horizontal="center" vertical="center"/>
    </xf>
    <xf numFmtId="175" fontId="51" fillId="0" borderId="69" xfId="33" applyNumberFormat="1" applyFont="1" applyBorder="1" applyAlignment="1">
      <alignment horizontal="right" vertical="center"/>
    </xf>
    <xf numFmtId="4" fontId="51" fillId="0" borderId="124" xfId="33" applyNumberFormat="1" applyFont="1" applyBorder="1" applyAlignment="1">
      <alignment horizontal="center" vertical="center"/>
    </xf>
    <xf numFmtId="173" fontId="191" fillId="0" borderId="103" xfId="33" applyNumberFormat="1" applyFont="1" applyBorder="1" applyAlignment="1">
      <alignment vertical="center"/>
    </xf>
    <xf numFmtId="0" fontId="206" fillId="0" borderId="96" xfId="0" applyFont="1" applyFill="1" applyBorder="1" applyAlignment="1">
      <alignment vertical="center"/>
    </xf>
    <xf numFmtId="0" fontId="208" fillId="0" borderId="160" xfId="0" applyFont="1" applyFill="1" applyBorder="1" applyAlignment="1">
      <alignment horizontal="center" vertical="center"/>
    </xf>
    <xf numFmtId="4" fontId="51" fillId="0" borderId="96" xfId="33" applyNumberFormat="1" applyFont="1" applyBorder="1" applyAlignment="1">
      <alignment horizontal="center" vertical="center"/>
    </xf>
    <xf numFmtId="4" fontId="36" fillId="0" borderId="151" xfId="0" applyNumberFormat="1" applyFont="1" applyBorder="1" applyAlignment="1">
      <alignment horizontal="center" vertical="center"/>
    </xf>
    <xf numFmtId="4" fontId="36" fillId="0" borderId="159" xfId="0" applyNumberFormat="1" applyFont="1" applyBorder="1" applyAlignment="1">
      <alignment horizontal="right" vertical="center"/>
    </xf>
    <xf numFmtId="175" fontId="36" fillId="0" borderId="152" xfId="0" applyNumberFormat="1" applyFont="1" applyBorder="1" applyAlignment="1">
      <alignment vertical="center"/>
    </xf>
    <xf numFmtId="164" fontId="36" fillId="0" borderId="0" xfId="0" applyNumberFormat="1" applyFont="1" applyBorder="1" applyAlignment="1">
      <alignment horizontal="right" vertical="center"/>
    </xf>
    <xf numFmtId="4" fontId="36" fillId="0" borderId="0" xfId="0" applyNumberFormat="1" applyFont="1" applyAlignment="1">
      <alignment vertical="center"/>
    </xf>
    <xf numFmtId="0" fontId="36" fillId="0" borderId="0" xfId="0" applyFont="1" applyBorder="1" applyAlignment="1">
      <alignment vertical="center"/>
    </xf>
    <xf numFmtId="0" fontId="51" fillId="0" borderId="18" xfId="0" applyFont="1" applyBorder="1" applyAlignment="1">
      <alignment horizontal="center" vertical="center"/>
    </xf>
    <xf numFmtId="4" fontId="51" fillId="0" borderId="0" xfId="33" applyNumberFormat="1" applyFont="1" applyBorder="1" applyAlignment="1">
      <alignment horizontal="center" vertical="center"/>
    </xf>
    <xf numFmtId="4" fontId="51" fillId="0" borderId="93" xfId="0" applyNumberFormat="1" applyFont="1" applyBorder="1" applyAlignment="1">
      <alignment horizontal="center" vertical="center"/>
    </xf>
    <xf numFmtId="4" fontId="36" fillId="0" borderId="23" xfId="0" applyNumberFormat="1" applyFont="1" applyBorder="1" applyAlignment="1">
      <alignment horizontal="right" vertical="center"/>
    </xf>
    <xf numFmtId="175" fontId="36" fillId="0" borderId="153" xfId="0" applyNumberFormat="1" applyFont="1" applyBorder="1" applyAlignment="1">
      <alignment vertical="center"/>
    </xf>
    <xf numFmtId="0" fontId="36" fillId="0" borderId="124" xfId="0" applyFont="1" applyBorder="1" applyAlignment="1">
      <alignment vertical="center"/>
    </xf>
    <xf numFmtId="0" fontId="51" fillId="0" borderId="69" xfId="0" applyFont="1" applyBorder="1" applyAlignment="1">
      <alignment horizontal="center" vertical="center"/>
    </xf>
    <xf numFmtId="179" fontId="36" fillId="21" borderId="62" xfId="0" applyNumberFormat="1" applyFont="1" applyFill="1" applyBorder="1" applyAlignment="1">
      <alignment horizontal="center" vertical="center"/>
    </xf>
    <xf numFmtId="4" fontId="206" fillId="0" borderId="155" xfId="0" applyNumberFormat="1" applyFont="1" applyBorder="1" applyAlignment="1">
      <alignment horizontal="right" vertical="center"/>
    </xf>
    <xf numFmtId="175" fontId="36" fillId="0" borderId="156" xfId="0" applyNumberFormat="1" applyFont="1" applyBorder="1" applyAlignment="1">
      <alignment vertical="center"/>
    </xf>
    <xf numFmtId="0" fontId="208" fillId="0" borderId="18" xfId="0" applyFont="1" applyFill="1" applyBorder="1" applyAlignment="1">
      <alignment horizontal="center" vertical="center"/>
    </xf>
    <xf numFmtId="175" fontId="54" fillId="0" borderId="153" xfId="0" applyNumberFormat="1" applyFont="1" applyBorder="1" applyAlignment="1">
      <alignment vertical="center"/>
    </xf>
    <xf numFmtId="4" fontId="54" fillId="0" borderId="0" xfId="0" applyNumberFormat="1" applyFont="1" applyAlignment="1">
      <alignment vertical="center"/>
    </xf>
    <xf numFmtId="164" fontId="36" fillId="0" borderId="0" xfId="0" applyNumberFormat="1" applyFont="1" applyAlignment="1">
      <alignment horizontal="right" vertical="center"/>
    </xf>
    <xf numFmtId="171" fontId="209" fillId="0" borderId="140" xfId="0" applyNumberFormat="1" applyFont="1" applyBorder="1" applyAlignment="1">
      <alignment horizontal="center" vertical="center"/>
    </xf>
    <xf numFmtId="0" fontId="209" fillId="0" borderId="18" xfId="0" applyFont="1" applyBorder="1" applyAlignment="1">
      <alignment horizontal="center" vertical="center"/>
    </xf>
    <xf numFmtId="4" fontId="51" fillId="0" borderId="140" xfId="0" applyNumberFormat="1" applyFont="1" applyBorder="1" applyAlignment="1">
      <alignment horizontal="center" vertical="center"/>
    </xf>
    <xf numFmtId="4" fontId="206" fillId="0" borderId="23" xfId="0" applyNumberFormat="1" applyFont="1" applyBorder="1" applyAlignment="1">
      <alignment horizontal="right" vertical="center"/>
    </xf>
    <xf numFmtId="171" fontId="209" fillId="0" borderId="154" xfId="0" applyNumberFormat="1" applyFont="1" applyBorder="1" applyAlignment="1">
      <alignment horizontal="center" vertical="center"/>
    </xf>
    <xf numFmtId="0" fontId="209" fillId="0" borderId="69" xfId="0" applyFont="1" applyBorder="1" applyAlignment="1">
      <alignment horizontal="center" vertical="center"/>
    </xf>
    <xf numFmtId="4" fontId="51" fillId="0" borderId="156" xfId="33" applyNumberFormat="1" applyFont="1" applyBorder="1" applyAlignment="1">
      <alignment horizontal="center" vertical="center"/>
    </xf>
    <xf numFmtId="4" fontId="148" fillId="0" borderId="155" xfId="0" applyNumberFormat="1" applyFont="1" applyBorder="1" applyAlignment="1">
      <alignment horizontal="center" vertical="center"/>
    </xf>
    <xf numFmtId="175" fontId="54" fillId="0" borderId="156" xfId="0" applyNumberFormat="1" applyFont="1" applyBorder="1" applyAlignment="1">
      <alignment vertical="center"/>
    </xf>
    <xf numFmtId="166" fontId="148" fillId="18" borderId="0" xfId="0" applyNumberFormat="1" applyFont="1" applyFill="1" applyBorder="1" applyAlignment="1">
      <alignment horizontal="right" vertical="center"/>
    </xf>
    <xf numFmtId="0" fontId="148" fillId="0" borderId="0" xfId="0" applyFont="1" applyFill="1" applyBorder="1" applyAlignment="1">
      <alignment vertical="center"/>
    </xf>
    <xf numFmtId="2" fontId="54" fillId="0" borderId="0" xfId="0" applyNumberFormat="1" applyFont="1" applyBorder="1" applyAlignment="1">
      <alignment horizontal="right" vertical="center"/>
    </xf>
    <xf numFmtId="0" fontId="206" fillId="0" borderId="0" xfId="0" applyFont="1" applyBorder="1" applyAlignment="1">
      <alignment vertical="center"/>
    </xf>
    <xf numFmtId="0" fontId="208" fillId="0" borderId="18" xfId="0" applyFont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36" fillId="0" borderId="23" xfId="0" applyFont="1" applyBorder="1" applyAlignment="1">
      <alignment vertical="center"/>
    </xf>
    <xf numFmtId="0" fontId="36" fillId="0" borderId="155" xfId="0" applyFont="1" applyBorder="1" applyAlignment="1">
      <alignment vertical="center"/>
    </xf>
    <xf numFmtId="0" fontId="148" fillId="0" borderId="96" xfId="0" applyFont="1" applyFill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1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 shrinkToFit="1"/>
    </xf>
    <xf numFmtId="171" fontId="146" fillId="0" borderId="0" xfId="0" applyNumberFormat="1" applyFont="1" applyBorder="1" applyAlignment="1">
      <alignment horizontal="center" vertical="center"/>
    </xf>
    <xf numFmtId="0" fontId="158" fillId="0" borderId="0" xfId="0" applyFont="1" applyBorder="1" applyAlignment="1">
      <alignment vertical="center"/>
    </xf>
    <xf numFmtId="0" fontId="157" fillId="0" borderId="0" xfId="0" applyFont="1" applyBorder="1" applyAlignment="1">
      <alignment horizontal="center" vertical="center"/>
    </xf>
    <xf numFmtId="166" fontId="156" fillId="0" borderId="0" xfId="0" applyNumberFormat="1" applyFont="1" applyBorder="1" applyAlignment="1">
      <alignment horizontal="center" vertical="center"/>
    </xf>
    <xf numFmtId="2" fontId="156" fillId="0" borderId="0" xfId="0" applyNumberFormat="1" applyFont="1" applyBorder="1" applyAlignment="1">
      <alignment horizontal="center" vertical="center"/>
    </xf>
    <xf numFmtId="175" fontId="1" fillId="0" borderId="0" xfId="33" applyNumberFormat="1" applyFont="1" applyBorder="1" applyAlignment="1">
      <alignment horizontal="right" vertical="center"/>
    </xf>
    <xf numFmtId="173" fontId="66" fillId="0" borderId="153" xfId="33" applyNumberFormat="1" applyFont="1" applyBorder="1" applyAlignment="1">
      <alignment vertical="center"/>
    </xf>
    <xf numFmtId="175" fontId="11" fillId="0" borderId="0" xfId="0" applyNumberFormat="1" applyFont="1" applyBorder="1" applyAlignment="1">
      <alignment vertical="center"/>
    </xf>
    <xf numFmtId="2" fontId="49" fillId="0" borderId="0" xfId="0" applyNumberFormat="1" applyFont="1" applyBorder="1" applyAlignment="1">
      <alignment horizontal="right" vertical="center"/>
    </xf>
    <xf numFmtId="166" fontId="49" fillId="0" borderId="0" xfId="0" applyNumberFormat="1" applyFont="1" applyBorder="1" applyAlignment="1">
      <alignment horizontal="right" vertical="center"/>
    </xf>
    <xf numFmtId="164" fontId="192" fillId="0" borderId="0" xfId="0" applyNumberFormat="1" applyFont="1" applyBorder="1" applyAlignment="1">
      <alignment horizontal="right" vertical="center"/>
    </xf>
    <xf numFmtId="2" fontId="55" fillId="0" borderId="0" xfId="0" applyNumberFormat="1" applyFont="1" applyBorder="1" applyAlignment="1">
      <alignment horizontal="center" vertical="center"/>
    </xf>
    <xf numFmtId="171" fontId="190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66" fontId="0" fillId="0" borderId="0" xfId="0" applyNumberFormat="1" applyAlignment="1">
      <alignment horizontal="center" vertical="center"/>
    </xf>
    <xf numFmtId="175" fontId="0" fillId="0" borderId="153" xfId="0" applyNumberFormat="1" applyBorder="1" applyAlignment="1">
      <alignment vertical="center"/>
    </xf>
    <xf numFmtId="175" fontId="49" fillId="0" borderId="0" xfId="0" applyNumberFormat="1" applyFont="1" applyAlignment="1">
      <alignment vertical="center"/>
    </xf>
    <xf numFmtId="171" fontId="12" fillId="0" borderId="0" xfId="0" applyNumberFormat="1" applyFont="1" applyAlignment="1">
      <alignment horizontal="center" vertical="center"/>
    </xf>
    <xf numFmtId="175" fontId="0" fillId="0" borderId="161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211" fillId="0" borderId="0" xfId="0" applyFont="1"/>
    <xf numFmtId="0" fontId="212" fillId="0" borderId="0" xfId="0" applyFont="1" applyAlignment="1">
      <alignment horizontal="right" vertical="center"/>
    </xf>
    <xf numFmtId="0" fontId="63" fillId="0" borderId="4" xfId="0" applyFont="1" applyBorder="1" applyAlignment="1">
      <alignment horizontal="center" vertical="center"/>
    </xf>
    <xf numFmtId="166" fontId="29" fillId="0" borderId="0" xfId="0" applyNumberFormat="1" applyFont="1" applyAlignment="1">
      <alignment horizontal="left" vertical="center"/>
    </xf>
    <xf numFmtId="0" fontId="0" fillId="0" borderId="124" xfId="0" applyBorder="1" applyAlignment="1">
      <alignment horizontal="center" vertical="center"/>
    </xf>
    <xf numFmtId="175" fontId="149" fillId="0" borderId="156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horizontal="right" vertical="center"/>
    </xf>
    <xf numFmtId="175" fontId="67" fillId="0" borderId="0" xfId="0" applyNumberFormat="1" applyFont="1" applyAlignment="1">
      <alignment vertical="center"/>
    </xf>
    <xf numFmtId="183" fontId="12" fillId="0" borderId="0" xfId="0" applyNumberFormat="1" applyFont="1" applyAlignment="1">
      <alignment vertical="center"/>
    </xf>
    <xf numFmtId="165" fontId="1" fillId="0" borderId="0" xfId="33" applyFont="1" applyAlignment="1">
      <alignment vertical="center"/>
    </xf>
    <xf numFmtId="0" fontId="0" fillId="0" borderId="0" xfId="0" applyBorder="1" applyAlignment="1">
      <alignment horizontal="left" vertical="center" indent="1"/>
    </xf>
    <xf numFmtId="0" fontId="11" fillId="0" borderId="162" xfId="0" applyFont="1" applyBorder="1" applyAlignment="1">
      <alignment vertical="center"/>
    </xf>
    <xf numFmtId="16" fontId="11" fillId="0" borderId="14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175" fontId="0" fillId="0" borderId="0" xfId="0" applyNumberFormat="1" applyAlignment="1">
      <alignment vertical="center"/>
    </xf>
    <xf numFmtId="0" fontId="11" fillId="0" borderId="24" xfId="0" applyFont="1" applyBorder="1" applyAlignment="1">
      <alignment horizontal="right" vertical="center"/>
    </xf>
    <xf numFmtId="0" fontId="11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71" fontId="18" fillId="0" borderId="51" xfId="0" applyNumberFormat="1" applyFont="1" applyBorder="1" applyAlignment="1">
      <alignment horizontal="center" vertical="center"/>
    </xf>
    <xf numFmtId="0" fontId="24" fillId="0" borderId="52" xfId="0" applyFont="1" applyBorder="1" applyAlignment="1">
      <alignment horizontal="left" vertical="center" indent="1"/>
    </xf>
    <xf numFmtId="0" fontId="18" fillId="0" borderId="55" xfId="0" applyFont="1" applyBorder="1" applyAlignment="1">
      <alignment horizontal="left" vertical="center" indent="1"/>
    </xf>
    <xf numFmtId="0" fontId="37" fillId="0" borderId="51" xfId="0" applyFont="1" applyBorder="1" applyAlignment="1">
      <alignment horizontal="center" vertical="center"/>
    </xf>
    <xf numFmtId="166" fontId="18" fillId="0" borderId="74" xfId="0" applyNumberFormat="1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0" fontId="55" fillId="0" borderId="55" xfId="0" applyFont="1" applyBorder="1" applyAlignment="1">
      <alignment horizontal="center" vertical="center"/>
    </xf>
    <xf numFmtId="183" fontId="12" fillId="0" borderId="4" xfId="0" applyNumberFormat="1" applyFon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33" fillId="0" borderId="45" xfId="0" applyFont="1" applyBorder="1" applyAlignment="1">
      <alignment horizontal="center" vertical="center"/>
    </xf>
    <xf numFmtId="16" fontId="11" fillId="0" borderId="162" xfId="0" applyNumberFormat="1" applyFont="1" applyBorder="1" applyAlignment="1">
      <alignment vertical="center"/>
    </xf>
    <xf numFmtId="171" fontId="11" fillId="0" borderId="133" xfId="0" applyNumberFormat="1" applyFont="1" applyBorder="1" applyAlignment="1">
      <alignment horizontal="center" vertical="center"/>
    </xf>
    <xf numFmtId="0" fontId="11" fillId="0" borderId="91" xfId="0" applyFont="1" applyBorder="1" applyAlignment="1">
      <alignment vertical="center" wrapText="1"/>
    </xf>
    <xf numFmtId="0" fontId="11" fillId="0" borderId="163" xfId="0" applyFont="1" applyBorder="1" applyAlignment="1">
      <alignment vertical="center"/>
    </xf>
    <xf numFmtId="0" fontId="0" fillId="0" borderId="133" xfId="0" applyBorder="1" applyAlignment="1">
      <alignment horizontal="center" vertical="center"/>
    </xf>
    <xf numFmtId="166" fontId="0" fillId="0" borderId="109" xfId="0" applyNumberFormat="1" applyBorder="1" applyAlignment="1">
      <alignment horizontal="center" vertical="center"/>
    </xf>
    <xf numFmtId="166" fontId="0" fillId="0" borderId="133" xfId="0" applyNumberFormat="1" applyBorder="1" applyAlignment="1">
      <alignment horizontal="center" vertical="center"/>
    </xf>
    <xf numFmtId="4" fontId="1" fillId="0" borderId="91" xfId="33" applyNumberFormat="1" applyFont="1" applyBorder="1" applyAlignment="1">
      <alignment horizontal="center" vertical="center"/>
    </xf>
    <xf numFmtId="0" fontId="0" fillId="0" borderId="163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85" fontId="12" fillId="0" borderId="0" xfId="0" applyNumberFormat="1" applyFont="1" applyAlignment="1">
      <alignment horizontal="center" vertical="center"/>
    </xf>
    <xf numFmtId="164" fontId="11" fillId="0" borderId="0" xfId="0" applyNumberFormat="1" applyFont="1" applyBorder="1" applyAlignment="1">
      <alignment horizontal="right" vertical="center"/>
    </xf>
    <xf numFmtId="4" fontId="55" fillId="0" borderId="0" xfId="0" applyNumberFormat="1" applyFont="1" applyAlignment="1">
      <alignment vertical="center"/>
    </xf>
    <xf numFmtId="164" fontId="11" fillId="0" borderId="23" xfId="0" applyNumberFormat="1" applyFont="1" applyBorder="1" applyAlignment="1">
      <alignment vertical="center"/>
    </xf>
    <xf numFmtId="164" fontId="11" fillId="0" borderId="18" xfId="0" applyNumberFormat="1" applyFont="1" applyBorder="1" applyAlignment="1">
      <alignment vertical="center"/>
    </xf>
    <xf numFmtId="164" fontId="192" fillId="0" borderId="23" xfId="0" applyNumberFormat="1" applyFont="1" applyBorder="1" applyAlignment="1">
      <alignment vertical="center"/>
    </xf>
    <xf numFmtId="164" fontId="214" fillId="0" borderId="18" xfId="0" applyNumberFormat="1" applyFont="1" applyBorder="1" applyAlignment="1">
      <alignment vertical="center"/>
    </xf>
    <xf numFmtId="171" fontId="11" fillId="0" borderId="134" xfId="0" applyNumberFormat="1" applyFont="1" applyBorder="1" applyAlignment="1">
      <alignment horizontal="center" vertical="center"/>
    </xf>
    <xf numFmtId="0" fontId="11" fillId="0" borderId="87" xfId="0" applyFont="1" applyBorder="1" applyAlignment="1">
      <alignment vertical="center" wrapText="1"/>
    </xf>
    <xf numFmtId="0" fontId="11" fillId="0" borderId="164" xfId="0" applyFont="1" applyBorder="1" applyAlignment="1">
      <alignment vertical="center"/>
    </xf>
    <xf numFmtId="0" fontId="0" fillId="0" borderId="134" xfId="0" applyBorder="1" applyAlignment="1">
      <alignment horizontal="center" vertical="center"/>
    </xf>
    <xf numFmtId="166" fontId="0" fillId="0" borderId="88" xfId="0" applyNumberFormat="1" applyBorder="1" applyAlignment="1">
      <alignment horizontal="center" vertical="center"/>
    </xf>
    <xf numFmtId="166" fontId="0" fillId="0" borderId="165" xfId="0" applyNumberFormat="1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171" fontId="11" fillId="0" borderId="51" xfId="0" applyNumberFormat="1" applyFont="1" applyBorder="1" applyAlignment="1">
      <alignment horizontal="center" vertical="center"/>
    </xf>
    <xf numFmtId="0" fontId="11" fillId="0" borderId="52" xfId="0" applyFont="1" applyBorder="1" applyAlignment="1">
      <alignment vertical="center" wrapText="1"/>
    </xf>
    <xf numFmtId="0" fontId="0" fillId="0" borderId="51" xfId="0" applyBorder="1" applyAlignment="1">
      <alignment horizontal="center" vertical="center"/>
    </xf>
    <xf numFmtId="166" fontId="0" fillId="0" borderId="74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2" fontId="151" fillId="0" borderId="107" xfId="33" applyNumberFormat="1" applyFont="1" applyBorder="1" applyAlignment="1">
      <alignment horizontal="center" vertical="center"/>
    </xf>
    <xf numFmtId="164" fontId="11" fillId="0" borderId="20" xfId="0" applyNumberFormat="1" applyFont="1" applyBorder="1" applyAlignment="1">
      <alignment vertical="center"/>
    </xf>
    <xf numFmtId="4" fontId="55" fillId="0" borderId="20" xfId="0" applyNumberFormat="1" applyFont="1" applyBorder="1" applyAlignment="1">
      <alignment vertical="center"/>
    </xf>
    <xf numFmtId="0" fontId="11" fillId="0" borderId="135" xfId="0" applyFon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0" fontId="11" fillId="0" borderId="103" xfId="0" applyFont="1" applyBorder="1" applyAlignment="1">
      <alignment vertical="center"/>
    </xf>
    <xf numFmtId="166" fontId="0" fillId="0" borderId="134" xfId="0" applyNumberFormat="1" applyBorder="1" applyAlignment="1">
      <alignment horizontal="center" vertical="center"/>
    </xf>
    <xf numFmtId="4" fontId="1" fillId="0" borderId="87" xfId="33" applyNumberFormat="1" applyFont="1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171" fontId="1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93" fillId="0" borderId="0" xfId="0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4" fontId="1" fillId="0" borderId="0" xfId="33" applyNumberFormat="1" applyFont="1" applyBorder="1" applyAlignment="1">
      <alignment horizontal="center" vertical="center"/>
    </xf>
    <xf numFmtId="2" fontId="151" fillId="0" borderId="0" xfId="33" applyNumberFormat="1" applyFont="1" applyBorder="1" applyAlignment="1">
      <alignment horizontal="center" vertical="center"/>
    </xf>
    <xf numFmtId="164" fontId="23" fillId="0" borderId="130" xfId="0" applyNumberFormat="1" applyFont="1" applyBorder="1" applyAlignment="1">
      <alignment vertical="center"/>
    </xf>
    <xf numFmtId="4" fontId="84" fillId="0" borderId="54" xfId="0" applyNumberFormat="1" applyFont="1" applyBorder="1" applyAlignment="1">
      <alignment vertical="center"/>
    </xf>
    <xf numFmtId="164" fontId="11" fillId="0" borderId="24" xfId="0" applyNumberFormat="1" applyFont="1" applyBorder="1" applyAlignment="1">
      <alignment vertical="center"/>
    </xf>
    <xf numFmtId="164" fontId="11" fillId="0" borderId="21" xfId="0" applyNumberFormat="1" applyFont="1" applyBorder="1" applyAlignment="1">
      <alignment vertical="center"/>
    </xf>
    <xf numFmtId="164" fontId="192" fillId="0" borderId="24" xfId="0" applyNumberFormat="1" applyFont="1" applyBorder="1" applyAlignment="1">
      <alignment vertical="center"/>
    </xf>
    <xf numFmtId="164" fontId="214" fillId="0" borderId="21" xfId="0" applyNumberFormat="1" applyFont="1" applyBorder="1" applyAlignment="1">
      <alignment vertical="center"/>
    </xf>
    <xf numFmtId="166" fontId="0" fillId="0" borderId="91" xfId="0" applyNumberFormat="1" applyBorder="1" applyAlignment="1">
      <alignment horizontal="center" vertical="center"/>
    </xf>
    <xf numFmtId="2" fontId="151" fillId="0" borderId="152" xfId="33" applyNumberFormat="1" applyFont="1" applyBorder="1" applyAlignment="1">
      <alignment horizontal="center" vertical="center"/>
    </xf>
    <xf numFmtId="166" fontId="0" fillId="0" borderId="87" xfId="0" applyNumberFormat="1" applyBorder="1" applyAlignment="1">
      <alignment horizontal="center" vertical="center"/>
    </xf>
    <xf numFmtId="0" fontId="22" fillId="0" borderId="124" xfId="0" applyFont="1" applyBorder="1" applyAlignment="1">
      <alignment horizontal="left" vertical="center"/>
    </xf>
    <xf numFmtId="2" fontId="151" fillId="0" borderId="156" xfId="33" applyNumberFormat="1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171" fontId="22" fillId="0" borderId="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166" fontId="18" fillId="0" borderId="4" xfId="0" applyNumberFormat="1" applyFont="1" applyBorder="1" applyAlignment="1">
      <alignment horizontal="center" vertical="center"/>
    </xf>
    <xf numFmtId="166" fontId="24" fillId="0" borderId="4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75" fontId="13" fillId="0" borderId="4" xfId="0" applyNumberFormat="1" applyFont="1" applyBorder="1" applyAlignment="1">
      <alignment horizontal="center" vertical="center"/>
    </xf>
    <xf numFmtId="0" fontId="26" fillId="0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166" fontId="0" fillId="0" borderId="4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171" fontId="12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46" fillId="0" borderId="4" xfId="0" applyFont="1" applyBorder="1" applyAlignment="1">
      <alignment horizontal="center" vertical="center"/>
    </xf>
    <xf numFmtId="166" fontId="11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55" fillId="19" borderId="4" xfId="0" applyFont="1" applyFill="1" applyBorder="1" applyAlignment="1">
      <alignment vertical="center"/>
    </xf>
    <xf numFmtId="166" fontId="33" fillId="19" borderId="4" xfId="0" applyNumberFormat="1" applyFont="1" applyFill="1" applyBorder="1" applyAlignment="1">
      <alignment vertical="center"/>
    </xf>
    <xf numFmtId="4" fontId="55" fillId="19" borderId="4" xfId="0" applyNumberFormat="1" applyFont="1" applyFill="1" applyBorder="1" applyAlignment="1">
      <alignment horizontal="center" vertical="center"/>
    </xf>
    <xf numFmtId="4" fontId="55" fillId="19" borderId="4" xfId="0" applyNumberFormat="1" applyFont="1" applyFill="1" applyBorder="1" applyAlignment="1">
      <alignment vertical="center"/>
    </xf>
    <xf numFmtId="166" fontId="11" fillId="18" borderId="4" xfId="0" applyNumberFormat="1" applyFont="1" applyFill="1" applyBorder="1" applyAlignment="1">
      <alignment horizontal="center" vertical="center"/>
    </xf>
    <xf numFmtId="0" fontId="0" fillId="18" borderId="4" xfId="0" applyFill="1" applyBorder="1" applyAlignment="1">
      <alignment vertical="center"/>
    </xf>
    <xf numFmtId="166" fontId="11" fillId="18" borderId="4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vertical="center"/>
    </xf>
    <xf numFmtId="166" fontId="0" fillId="18" borderId="4" xfId="0" applyNumberFormat="1" applyFill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67" fontId="12" fillId="0" borderId="135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18" fillId="0" borderId="105" xfId="0" applyNumberFormat="1" applyFont="1" applyBorder="1" applyAlignment="1">
      <alignment horizontal="center" vertical="center"/>
    </xf>
    <xf numFmtId="4" fontId="12" fillId="0" borderId="85" xfId="0" applyNumberFormat="1" applyFont="1" applyBorder="1" applyAlignment="1">
      <alignment horizontal="center" vertical="center"/>
    </xf>
    <xf numFmtId="4" fontId="0" fillId="0" borderId="105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164" fontId="33" fillId="0" borderId="0" xfId="0" applyNumberFormat="1" applyFont="1" applyAlignment="1">
      <alignment vertical="center"/>
    </xf>
    <xf numFmtId="0" fontId="37" fillId="0" borderId="0" xfId="0" applyFont="1" applyFill="1" applyBorder="1" applyAlignment="1">
      <alignment vertical="center"/>
    </xf>
    <xf numFmtId="0" fontId="149" fillId="0" borderId="18" xfId="0" applyFont="1" applyFill="1" applyBorder="1" applyAlignment="1">
      <alignment horizontal="center" vertical="center"/>
    </xf>
    <xf numFmtId="4" fontId="55" fillId="0" borderId="153" xfId="33" applyNumberFormat="1" applyFont="1" applyBorder="1" applyAlignment="1">
      <alignment horizontal="center" vertical="center"/>
    </xf>
    <xf numFmtId="0" fontId="146" fillId="0" borderId="18" xfId="0" applyFont="1" applyBorder="1" applyAlignment="1">
      <alignment horizontal="center" vertical="center"/>
    </xf>
    <xf numFmtId="0" fontId="146" fillId="0" borderId="69" xfId="0" applyFont="1" applyBorder="1" applyAlignment="1">
      <alignment horizontal="center" vertical="center"/>
    </xf>
    <xf numFmtId="4" fontId="55" fillId="0" borderId="156" xfId="33" applyNumberFormat="1" applyFont="1" applyBorder="1" applyAlignment="1">
      <alignment horizontal="center" vertical="center"/>
    </xf>
    <xf numFmtId="10" fontId="1" fillId="0" borderId="0" xfId="36" applyNumberFormat="1" applyFont="1"/>
    <xf numFmtId="0" fontId="18" fillId="0" borderId="130" xfId="0" applyFont="1" applyBorder="1" applyAlignment="1">
      <alignment horizontal="left" vertical="center" indent="1"/>
    </xf>
    <xf numFmtId="0" fontId="37" fillId="0" borderId="58" xfId="0" applyFont="1" applyFill="1" applyBorder="1" applyAlignment="1">
      <alignment vertical="center"/>
    </xf>
    <xf numFmtId="0" fontId="149" fillId="0" borderId="4" xfId="0" applyFont="1" applyFill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37" fillId="0" borderId="58" xfId="0" applyFont="1" applyBorder="1" applyAlignment="1">
      <alignment vertical="center"/>
    </xf>
    <xf numFmtId="0" fontId="149" fillId="0" borderId="4" xfId="0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1" fontId="18" fillId="0" borderId="4" xfId="0" applyNumberFormat="1" applyFont="1" applyBorder="1" applyAlignment="1">
      <alignment horizontal="center" vertical="center"/>
    </xf>
    <xf numFmtId="0" fontId="11" fillId="0" borderId="134" xfId="0" applyFont="1" applyBorder="1" applyAlignment="1">
      <alignment vertical="center"/>
    </xf>
    <xf numFmtId="1" fontId="18" fillId="0" borderId="87" xfId="0" applyNumberFormat="1" applyFont="1" applyBorder="1" applyAlignment="1">
      <alignment horizontal="center" vertical="center"/>
    </xf>
    <xf numFmtId="166" fontId="3" fillId="0" borderId="87" xfId="0" applyNumberFormat="1" applyFont="1" applyBorder="1" applyAlignment="1">
      <alignment horizontal="center" vertical="center"/>
    </xf>
    <xf numFmtId="2" fontId="3" fillId="0" borderId="87" xfId="0" applyNumberFormat="1" applyFont="1" applyBorder="1" applyAlignment="1">
      <alignment horizontal="center" vertical="center"/>
    </xf>
    <xf numFmtId="0" fontId="36" fillId="21" borderId="0" xfId="0" applyFont="1" applyFill="1" applyAlignment="1">
      <alignment horizontal="left" indent="1"/>
    </xf>
    <xf numFmtId="0" fontId="11" fillId="21" borderId="0" xfId="0" applyFont="1" applyFill="1" applyAlignment="1">
      <alignment horizontal="left" vertical="center" indent="1"/>
    </xf>
    <xf numFmtId="0" fontId="14" fillId="21" borderId="0" xfId="0" applyFont="1" applyFill="1" applyAlignment="1">
      <alignment horizontal="left" indent="1"/>
    </xf>
    <xf numFmtId="0" fontId="15" fillId="21" borderId="0" xfId="0" applyFont="1" applyFill="1" applyBorder="1"/>
    <xf numFmtId="0" fontId="27" fillId="21" borderId="0" xfId="0" applyFont="1" applyFill="1" applyBorder="1"/>
    <xf numFmtId="0" fontId="15" fillId="21" borderId="0" xfId="0" applyFont="1" applyFill="1"/>
    <xf numFmtId="0" fontId="15" fillId="21" borderId="15" xfId="0" applyFont="1" applyFill="1" applyBorder="1"/>
    <xf numFmtId="0" fontId="19" fillId="21" borderId="0" xfId="0" applyFont="1" applyFill="1" applyBorder="1"/>
    <xf numFmtId="0" fontId="15" fillId="21" borderId="43" xfId="0" applyFont="1" applyFill="1" applyBorder="1"/>
    <xf numFmtId="0" fontId="15" fillId="21" borderId="20" xfId="0" applyFont="1" applyFill="1" applyBorder="1"/>
    <xf numFmtId="0" fontId="15" fillId="21" borderId="0" xfId="0" applyFont="1" applyFill="1" applyBorder="1" applyAlignment="1">
      <alignment vertical="center"/>
    </xf>
    <xf numFmtId="4" fontId="15" fillId="21" borderId="0" xfId="0" applyNumberFormat="1" applyFont="1" applyFill="1" applyBorder="1" applyAlignment="1">
      <alignment horizontal="center" vertical="center"/>
    </xf>
    <xf numFmtId="4" fontId="15" fillId="21" borderId="0" xfId="0" applyNumberFormat="1" applyFont="1" applyFill="1" applyBorder="1" applyAlignment="1">
      <alignment horizontal="center"/>
    </xf>
    <xf numFmtId="0" fontId="217" fillId="0" borderId="0" xfId="0" applyFont="1" applyAlignment="1">
      <alignment horizontal="center"/>
    </xf>
    <xf numFmtId="0" fontId="218" fillId="20" borderId="15" xfId="0" applyFont="1" applyFill="1" applyBorder="1" applyAlignment="1">
      <alignment horizontal="center"/>
    </xf>
    <xf numFmtId="0" fontId="218" fillId="0" borderId="0" xfId="0" applyFont="1" applyAlignment="1">
      <alignment horizontal="center"/>
    </xf>
    <xf numFmtId="49" fontId="220" fillId="0" borderId="0" xfId="0" applyNumberFormat="1" applyFont="1" applyBorder="1" applyAlignment="1">
      <alignment horizontal="center"/>
    </xf>
    <xf numFmtId="0" fontId="218" fillId="20" borderId="0" xfId="0" applyFont="1" applyFill="1" applyBorder="1" applyAlignment="1">
      <alignment horizontal="center"/>
    </xf>
    <xf numFmtId="0" fontId="218" fillId="0" borderId="0" xfId="0" applyFont="1" applyBorder="1" applyAlignment="1">
      <alignment horizontal="center"/>
    </xf>
    <xf numFmtId="0" fontId="218" fillId="0" borderId="0" xfId="0" applyFont="1" applyFill="1" applyBorder="1" applyAlignment="1">
      <alignment horizontal="center"/>
    </xf>
    <xf numFmtId="0" fontId="222" fillId="16" borderId="0" xfId="0" applyFont="1" applyFill="1" applyBorder="1" applyAlignment="1">
      <alignment horizontal="center" vertical="center"/>
    </xf>
    <xf numFmtId="0" fontId="226" fillId="0" borderId="0" xfId="0" applyFont="1" applyFill="1" applyBorder="1" applyAlignment="1">
      <alignment horizontal="center" vertical="center"/>
    </xf>
    <xf numFmtId="0" fontId="225" fillId="0" borderId="0" xfId="0" applyFont="1" applyBorder="1" applyAlignment="1">
      <alignment horizontal="center"/>
    </xf>
    <xf numFmtId="0" fontId="222" fillId="0" borderId="0" xfId="0" applyFont="1" applyFill="1" applyBorder="1" applyAlignment="1">
      <alignment horizontal="center" vertical="center"/>
    </xf>
    <xf numFmtId="0" fontId="218" fillId="19" borderId="0" xfId="0" applyFont="1" applyFill="1" applyBorder="1" applyAlignment="1">
      <alignment horizontal="center"/>
    </xf>
    <xf numFmtId="0" fontId="221" fillId="0" borderId="0" xfId="0" applyFont="1" applyBorder="1" applyAlignment="1">
      <alignment horizontal="center" vertical="center"/>
    </xf>
    <xf numFmtId="0" fontId="218" fillId="0" borderId="0" xfId="0" applyFont="1" applyBorder="1" applyAlignment="1">
      <alignment horizontal="center" vertical="center"/>
    </xf>
    <xf numFmtId="0" fontId="230" fillId="20" borderId="0" xfId="0" applyFont="1" applyFill="1" applyBorder="1" applyAlignment="1">
      <alignment horizontal="center"/>
    </xf>
    <xf numFmtId="0" fontId="217" fillId="0" borderId="0" xfId="0" applyFont="1" applyBorder="1" applyAlignment="1">
      <alignment horizontal="center" vertical="center"/>
    </xf>
    <xf numFmtId="178" fontId="217" fillId="0" borderId="0" xfId="0" applyNumberFormat="1" applyFont="1" applyBorder="1" applyAlignment="1">
      <alignment horizontal="center" vertical="center"/>
    </xf>
    <xf numFmtId="182" fontId="231" fillId="0" borderId="0" xfId="33" applyNumberFormat="1" applyFont="1" applyBorder="1" applyAlignment="1">
      <alignment horizontal="center" vertical="center"/>
    </xf>
    <xf numFmtId="181" fontId="232" fillId="0" borderId="0" xfId="33" applyNumberFormat="1" applyFont="1" applyBorder="1" applyAlignment="1">
      <alignment horizontal="center" vertical="center"/>
    </xf>
    <xf numFmtId="181" fontId="233" fillId="0" borderId="0" xfId="0" applyNumberFormat="1" applyFont="1" applyBorder="1" applyAlignment="1">
      <alignment horizontal="center" vertical="center"/>
    </xf>
    <xf numFmtId="180" fontId="234" fillId="0" borderId="0" xfId="0" applyNumberFormat="1" applyFont="1" applyAlignment="1">
      <alignment horizontal="center" vertical="center"/>
    </xf>
    <xf numFmtId="0" fontId="217" fillId="0" borderId="0" xfId="0" applyFont="1" applyAlignment="1">
      <alignment horizontal="center" vertical="center"/>
    </xf>
    <xf numFmtId="168" fontId="218" fillId="0" borderId="0" xfId="0" applyNumberFormat="1" applyFont="1" applyAlignment="1">
      <alignment horizontal="center" vertical="center"/>
    </xf>
    <xf numFmtId="168" fontId="218" fillId="0" borderId="0" xfId="0" applyNumberFormat="1" applyFont="1" applyAlignment="1">
      <alignment horizontal="center"/>
    </xf>
    <xf numFmtId="0" fontId="217" fillId="0" borderId="0" xfId="0" applyFont="1" applyBorder="1" applyAlignment="1">
      <alignment horizontal="center"/>
    </xf>
    <xf numFmtId="0" fontId="217" fillId="0" borderId="0" xfId="0" applyFont="1" applyFill="1" applyBorder="1" applyAlignment="1">
      <alignment horizontal="center"/>
    </xf>
    <xf numFmtId="0" fontId="14" fillId="16" borderId="45" xfId="0" applyFont="1" applyFill="1" applyBorder="1" applyAlignment="1">
      <alignment vertical="center"/>
    </xf>
    <xf numFmtId="0" fontId="72" fillId="0" borderId="45" xfId="0" applyFont="1" applyFill="1" applyBorder="1" applyAlignment="1">
      <alignment vertical="center"/>
    </xf>
    <xf numFmtId="0" fontId="41" fillId="0" borderId="45" xfId="0" applyFont="1" applyBorder="1" applyAlignment="1">
      <alignment horizontal="left" indent="1"/>
    </xf>
    <xf numFmtId="0" fontId="33" fillId="0" borderId="45" xfId="0" applyFont="1" applyBorder="1" applyAlignment="1">
      <alignment horizontal="left" vertical="center" indent="1"/>
    </xf>
    <xf numFmtId="0" fontId="11" fillId="0" borderId="45" xfId="0" applyFont="1" applyBorder="1" applyAlignment="1">
      <alignment horizontal="left" vertical="center"/>
    </xf>
    <xf numFmtId="0" fontId="12" fillId="20" borderId="45" xfId="0" applyFont="1" applyFill="1" applyBorder="1"/>
    <xf numFmtId="0" fontId="219" fillId="21" borderId="0" xfId="0" applyFont="1" applyFill="1" applyBorder="1" applyAlignment="1">
      <alignment horizontal="center"/>
    </xf>
    <xf numFmtId="0" fontId="221" fillId="18" borderId="0" xfId="0" applyFont="1" applyFill="1" applyBorder="1" applyAlignment="1">
      <alignment horizontal="center"/>
    </xf>
    <xf numFmtId="0" fontId="222" fillId="21" borderId="0" xfId="0" applyFont="1" applyFill="1" applyBorder="1" applyAlignment="1">
      <alignment horizontal="center"/>
    </xf>
    <xf numFmtId="0" fontId="222" fillId="21" borderId="0" xfId="0" applyFont="1" applyFill="1" applyBorder="1" applyAlignment="1">
      <alignment horizontal="center" vertical="center"/>
    </xf>
    <xf numFmtId="0" fontId="221" fillId="0" borderId="0" xfId="0" applyFont="1" applyBorder="1" applyAlignment="1">
      <alignment horizontal="center"/>
    </xf>
    <xf numFmtId="0" fontId="223" fillId="0" borderId="0" xfId="0" applyFont="1" applyBorder="1" applyAlignment="1">
      <alignment horizontal="center"/>
    </xf>
    <xf numFmtId="4" fontId="218" fillId="0" borderId="0" xfId="0" applyNumberFormat="1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224" fillId="16" borderId="0" xfId="0" applyFont="1" applyFill="1" applyBorder="1" applyAlignment="1">
      <alignment horizontal="center"/>
    </xf>
    <xf numFmtId="0" fontId="224" fillId="0" borderId="0" xfId="0" applyFont="1" applyBorder="1" applyAlignment="1">
      <alignment horizontal="center"/>
    </xf>
    <xf numFmtId="2" fontId="218" fillId="0" borderId="0" xfId="0" applyNumberFormat="1" applyFont="1" applyBorder="1" applyAlignment="1">
      <alignment horizontal="center"/>
    </xf>
    <xf numFmtId="0" fontId="227" fillId="0" borderId="0" xfId="0" applyFont="1" applyBorder="1" applyAlignment="1">
      <alignment horizontal="center" vertical="center"/>
    </xf>
    <xf numFmtId="0" fontId="228" fillId="0" borderId="0" xfId="0" applyFont="1" applyBorder="1" applyAlignment="1">
      <alignment horizontal="center" vertical="center"/>
    </xf>
    <xf numFmtId="0" fontId="225" fillId="0" borderId="0" xfId="0" applyFont="1" applyFill="1" applyBorder="1" applyAlignment="1">
      <alignment horizontal="center" vertical="center"/>
    </xf>
    <xf numFmtId="0" fontId="226" fillId="16" borderId="0" xfId="0" applyFont="1" applyFill="1" applyBorder="1" applyAlignment="1">
      <alignment horizontal="center" vertical="center"/>
    </xf>
    <xf numFmtId="0" fontId="222" fillId="0" borderId="0" xfId="0" applyFont="1" applyBorder="1" applyAlignment="1">
      <alignment horizontal="center"/>
    </xf>
    <xf numFmtId="0" fontId="185" fillId="0" borderId="0" xfId="0" applyFont="1" applyBorder="1" applyAlignment="1">
      <alignment horizontal="center"/>
    </xf>
    <xf numFmtId="0" fontId="222" fillId="16" borderId="0" xfId="0" applyFont="1" applyFill="1" applyBorder="1" applyAlignment="1">
      <alignment horizontal="center"/>
    </xf>
    <xf numFmtId="0" fontId="226" fillId="16" borderId="0" xfId="0" applyFont="1" applyFill="1" applyBorder="1" applyAlignment="1">
      <alignment horizontal="center"/>
    </xf>
    <xf numFmtId="0" fontId="221" fillId="16" borderId="0" xfId="0" applyFont="1" applyFill="1" applyBorder="1" applyAlignment="1">
      <alignment horizontal="center"/>
    </xf>
    <xf numFmtId="0" fontId="229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20" borderId="166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21" borderId="17" xfId="0" applyFont="1" applyFill="1" applyBorder="1" applyAlignment="1">
      <alignment horizontal="left"/>
    </xf>
    <xf numFmtId="0" fontId="12" fillId="21" borderId="19" xfId="0" applyFont="1" applyFill="1" applyBorder="1" applyAlignment="1">
      <alignment horizontal="left"/>
    </xf>
    <xf numFmtId="0" fontId="12" fillId="18" borderId="19" xfId="0" applyFont="1" applyFill="1" applyBorder="1" applyAlignment="1">
      <alignment horizontal="left"/>
    </xf>
    <xf numFmtId="0" fontId="12" fillId="18" borderId="17" xfId="0" applyFont="1" applyFill="1" applyBorder="1" applyAlignment="1">
      <alignment horizontal="left"/>
    </xf>
    <xf numFmtId="0" fontId="12" fillId="0" borderId="167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left"/>
    </xf>
    <xf numFmtId="0" fontId="49" fillId="0" borderId="17" xfId="0" applyFont="1" applyFill="1" applyBorder="1" applyAlignment="1">
      <alignment horizontal="left"/>
    </xf>
    <xf numFmtId="0" fontId="49" fillId="0" borderId="19" xfId="0" applyFont="1" applyFill="1" applyBorder="1" applyAlignment="1">
      <alignment horizontal="left"/>
    </xf>
    <xf numFmtId="0" fontId="54" fillId="22" borderId="17" xfId="0" applyFont="1" applyFill="1" applyBorder="1" applyAlignment="1">
      <alignment horizontal="left"/>
    </xf>
    <xf numFmtId="0" fontId="56" fillId="0" borderId="17" xfId="0" applyFont="1" applyFill="1" applyBorder="1" applyAlignment="1">
      <alignment horizontal="left"/>
    </xf>
    <xf numFmtId="0" fontId="49" fillId="22" borderId="17" xfId="0" applyFont="1" applyFill="1" applyBorder="1" applyAlignment="1">
      <alignment horizontal="left"/>
    </xf>
    <xf numFmtId="0" fontId="56" fillId="22" borderId="17" xfId="0" applyFont="1" applyFill="1" applyBorder="1" applyAlignment="1">
      <alignment horizontal="left"/>
    </xf>
    <xf numFmtId="0" fontId="49" fillId="22" borderId="19" xfId="0" applyFont="1" applyFill="1" applyBorder="1" applyAlignment="1">
      <alignment horizontal="left"/>
    </xf>
    <xf numFmtId="0" fontId="49" fillId="16" borderId="17" xfId="0" applyFont="1" applyFill="1" applyBorder="1" applyAlignment="1">
      <alignment horizontal="left"/>
    </xf>
    <xf numFmtId="0" fontId="49" fillId="16" borderId="39" xfId="0" applyFont="1" applyFill="1" applyBorder="1" applyAlignment="1">
      <alignment horizontal="left"/>
    </xf>
    <xf numFmtId="0" fontId="49" fillId="16" borderId="19" xfId="0" applyFont="1" applyFill="1" applyBorder="1" applyAlignment="1">
      <alignment horizontal="left"/>
    </xf>
    <xf numFmtId="0" fontId="12" fillId="0" borderId="39" xfId="0" applyFont="1" applyFill="1" applyBorder="1" applyAlignment="1">
      <alignment horizontal="left"/>
    </xf>
    <xf numFmtId="0" fontId="56" fillId="0" borderId="19" xfId="0" applyFont="1" applyFill="1" applyBorder="1" applyAlignment="1">
      <alignment horizontal="left"/>
    </xf>
    <xf numFmtId="0" fontId="56" fillId="0" borderId="39" xfId="0" applyFont="1" applyFill="1" applyBorder="1" applyAlignment="1">
      <alignment horizontal="left"/>
    </xf>
    <xf numFmtId="0" fontId="12" fillId="20" borderId="168" xfId="0" applyFont="1" applyFill="1" applyBorder="1" applyAlignment="1">
      <alignment horizontal="left"/>
    </xf>
    <xf numFmtId="0" fontId="68" fillId="0" borderId="17" xfId="0" applyFont="1" applyFill="1" applyBorder="1" applyAlignment="1">
      <alignment horizontal="left"/>
    </xf>
    <xf numFmtId="0" fontId="68" fillId="0" borderId="19" xfId="0" applyFont="1" applyFill="1" applyBorder="1" applyAlignment="1">
      <alignment horizontal="left"/>
    </xf>
    <xf numFmtId="0" fontId="68" fillId="0" borderId="4" xfId="0" applyFont="1" applyFill="1" applyBorder="1" applyAlignment="1">
      <alignment horizontal="left"/>
    </xf>
    <xf numFmtId="0" fontId="12" fillId="19" borderId="168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49" fillId="16" borderId="17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left" vertical="center"/>
    </xf>
    <xf numFmtId="0" fontId="56" fillId="0" borderId="17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68" fillId="0" borderId="17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68" fillId="0" borderId="19" xfId="0" applyFont="1" applyFill="1" applyBorder="1" applyAlignment="1">
      <alignment horizontal="left" vertical="center"/>
    </xf>
    <xf numFmtId="0" fontId="68" fillId="0" borderId="4" xfId="0" applyFont="1" applyFill="1" applyBorder="1" applyAlignment="1">
      <alignment horizontal="left" vertical="center"/>
    </xf>
    <xf numFmtId="0" fontId="56" fillId="0" borderId="4" xfId="0" applyFont="1" applyFill="1" applyBorder="1" applyAlignment="1">
      <alignment horizontal="left" vertical="center"/>
    </xf>
    <xf numFmtId="0" fontId="56" fillId="16" borderId="17" xfId="0" applyFont="1" applyFill="1" applyBorder="1" applyAlignment="1">
      <alignment horizontal="left" vertical="center"/>
    </xf>
    <xf numFmtId="0" fontId="86" fillId="21" borderId="17" xfId="0" applyFont="1" applyFill="1" applyBorder="1" applyAlignment="1">
      <alignment horizontal="left" vertical="center"/>
    </xf>
    <xf numFmtId="0" fontId="12" fillId="16" borderId="17" xfId="0" applyFont="1" applyFill="1" applyBorder="1" applyAlignment="1">
      <alignment horizontal="left" vertical="center"/>
    </xf>
    <xf numFmtId="0" fontId="12" fillId="16" borderId="19" xfId="0" applyFont="1" applyFill="1" applyBorder="1" applyAlignment="1">
      <alignment horizontal="left" vertical="center"/>
    </xf>
    <xf numFmtId="0" fontId="49" fillId="21" borderId="17" xfId="0" applyFont="1" applyFill="1" applyBorder="1" applyAlignment="1">
      <alignment horizontal="left"/>
    </xf>
    <xf numFmtId="0" fontId="49" fillId="21" borderId="17" xfId="0" applyFont="1" applyFill="1" applyBorder="1" applyAlignment="1">
      <alignment horizontal="left" vertical="center"/>
    </xf>
    <xf numFmtId="0" fontId="92" fillId="16" borderId="17" xfId="0" applyFont="1" applyFill="1" applyBorder="1" applyAlignment="1">
      <alignment horizontal="left"/>
    </xf>
    <xf numFmtId="0" fontId="102" fillId="16" borderId="17" xfId="0" applyFont="1" applyFill="1" applyBorder="1" applyAlignment="1">
      <alignment horizontal="left"/>
    </xf>
    <xf numFmtId="0" fontId="102" fillId="0" borderId="17" xfId="0" applyFont="1" applyFill="1" applyBorder="1" applyAlignment="1">
      <alignment horizontal="left"/>
    </xf>
    <xf numFmtId="0" fontId="102" fillId="21" borderId="12" xfId="0" applyFont="1" applyFill="1" applyBorder="1" applyAlignment="1">
      <alignment horizontal="left"/>
    </xf>
    <xf numFmtId="0" fontId="102" fillId="21" borderId="17" xfId="0" applyFont="1" applyFill="1" applyBorder="1" applyAlignment="1">
      <alignment horizontal="left"/>
    </xf>
    <xf numFmtId="0" fontId="111" fillId="0" borderId="17" xfId="0" applyFont="1" applyBorder="1" applyAlignment="1">
      <alignment horizontal="left"/>
    </xf>
    <xf numFmtId="0" fontId="113" fillId="0" borderId="17" xfId="0" applyFont="1" applyBorder="1" applyAlignment="1">
      <alignment horizontal="left"/>
    </xf>
    <xf numFmtId="0" fontId="68" fillId="0" borderId="17" xfId="0" applyFont="1" applyBorder="1" applyAlignment="1">
      <alignment horizontal="left"/>
    </xf>
    <xf numFmtId="0" fontId="68" fillId="0" borderId="19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0" fillId="0" borderId="19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" fontId="37" fillId="0" borderId="74" xfId="0" applyNumberFormat="1" applyFont="1" applyBorder="1" applyAlignment="1">
      <alignment horizontal="left" vertical="center"/>
    </xf>
    <xf numFmtId="173" fontId="9" fillId="0" borderId="94" xfId="33" applyNumberFormat="1" applyFont="1" applyBorder="1" applyAlignment="1">
      <alignment horizontal="left" vertical="center"/>
    </xf>
    <xf numFmtId="173" fontId="9" fillId="0" borderId="84" xfId="33" applyNumberFormat="1" applyFont="1" applyBorder="1" applyAlignment="1">
      <alignment horizontal="left" vertical="center"/>
    </xf>
    <xf numFmtId="173" fontId="9" fillId="0" borderId="169" xfId="33" applyNumberFormat="1" applyFont="1" applyBorder="1" applyAlignment="1">
      <alignment horizontal="left" vertical="center"/>
    </xf>
    <xf numFmtId="173" fontId="23" fillId="0" borderId="104" xfId="33" applyNumberFormat="1" applyFont="1" applyBorder="1" applyAlignment="1">
      <alignment horizontal="left" vertical="center"/>
    </xf>
    <xf numFmtId="1" fontId="134" fillId="16" borderId="74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104" fillId="0" borderId="4" xfId="0" applyFont="1" applyFill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168" fontId="27" fillId="0" borderId="21" xfId="0" applyNumberFormat="1" applyFont="1" applyBorder="1" applyAlignment="1">
      <alignment horizontal="center"/>
    </xf>
    <xf numFmtId="186" fontId="27" fillId="0" borderId="21" xfId="0" applyNumberFormat="1" applyFont="1" applyBorder="1" applyAlignment="1">
      <alignment horizontal="center"/>
    </xf>
    <xf numFmtId="0" fontId="18" fillId="0" borderId="132" xfId="0" applyFont="1" applyBorder="1" applyAlignment="1">
      <alignment horizontal="center" vertical="center"/>
    </xf>
    <xf numFmtId="0" fontId="84" fillId="0" borderId="89" xfId="0" applyFont="1" applyBorder="1" applyAlignment="1">
      <alignment horizontal="center" vertical="center"/>
    </xf>
    <xf numFmtId="170" fontId="18" fillId="0" borderId="160" xfId="0" applyNumberFormat="1" applyFont="1" applyBorder="1" applyAlignment="1">
      <alignment horizontal="left" vertical="center"/>
    </xf>
    <xf numFmtId="170" fontId="148" fillId="0" borderId="160" xfId="0" applyNumberFormat="1" applyFont="1" applyBorder="1" applyAlignment="1">
      <alignment horizontal="center" vertical="center"/>
    </xf>
    <xf numFmtId="49" fontId="149" fillId="0" borderId="89" xfId="0" applyNumberFormat="1" applyFont="1" applyBorder="1" applyAlignment="1">
      <alignment horizontal="center" vertical="center"/>
    </xf>
    <xf numFmtId="170" fontId="37" fillId="0" borderId="17" xfId="0" applyNumberFormat="1" applyFont="1" applyBorder="1" applyAlignment="1">
      <alignment horizontal="center" vertical="center"/>
    </xf>
    <xf numFmtId="49" fontId="37" fillId="0" borderId="89" xfId="0" applyNumberFormat="1" applyFont="1" applyBorder="1" applyAlignment="1">
      <alignment horizontal="center" vertical="center"/>
    </xf>
    <xf numFmtId="169" fontId="18" fillId="0" borderId="159" xfId="0" applyNumberFormat="1" applyFont="1" applyBorder="1" applyAlignment="1">
      <alignment horizontal="center" vertical="center"/>
    </xf>
    <xf numFmtId="49" fontId="18" fillId="0" borderId="160" xfId="0" applyNumberFormat="1" applyFont="1" applyBorder="1" applyAlignment="1">
      <alignment horizontal="center" vertical="center"/>
    </xf>
    <xf numFmtId="49" fontId="18" fillId="0" borderId="159" xfId="0" applyNumberFormat="1" applyFont="1" applyBorder="1" applyAlignment="1">
      <alignment horizontal="center" vertical="center"/>
    </xf>
    <xf numFmtId="170" fontId="127" fillId="0" borderId="21" xfId="0" applyNumberFormat="1" applyFont="1" applyBorder="1" applyAlignment="1">
      <alignment horizontal="center" vertical="center"/>
    </xf>
    <xf numFmtId="170" fontId="127" fillId="0" borderId="18" xfId="0" applyNumberFormat="1" applyFont="1" applyBorder="1" applyAlignment="1">
      <alignment horizontal="center" vertical="center"/>
    </xf>
    <xf numFmtId="170" fontId="127" fillId="0" borderId="4" xfId="0" applyNumberFormat="1" applyFont="1" applyBorder="1" applyAlignment="1">
      <alignment horizontal="center" vertical="center"/>
    </xf>
    <xf numFmtId="170" fontId="127" fillId="0" borderId="4" xfId="0" applyNumberFormat="1" applyFont="1" applyFill="1" applyBorder="1" applyAlignment="1">
      <alignment horizontal="center" vertical="center"/>
    </xf>
    <xf numFmtId="170" fontId="127" fillId="0" borderId="87" xfId="0" applyNumberFormat="1" applyFont="1" applyFill="1" applyBorder="1" applyAlignment="1">
      <alignment horizontal="center" vertical="center"/>
    </xf>
    <xf numFmtId="170" fontId="9" fillId="0" borderId="100" xfId="0" applyNumberFormat="1" applyFont="1" applyBorder="1" applyAlignment="1">
      <alignment horizontal="center" vertical="center"/>
    </xf>
    <xf numFmtId="171" fontId="3" fillId="0" borderId="100" xfId="0" applyNumberFormat="1" applyFont="1" applyBorder="1" applyAlignment="1">
      <alignment horizontal="center" vertical="center"/>
    </xf>
    <xf numFmtId="168" fontId="27" fillId="0" borderId="18" xfId="0" applyNumberFormat="1" applyFont="1" applyBorder="1" applyAlignment="1">
      <alignment horizontal="center"/>
    </xf>
    <xf numFmtId="186" fontId="27" fillId="0" borderId="18" xfId="0" applyNumberFormat="1" applyFont="1" applyBorder="1" applyAlignment="1">
      <alignment horizontal="center"/>
    </xf>
    <xf numFmtId="2" fontId="0" fillId="0" borderId="0" xfId="0" applyNumberFormat="1"/>
    <xf numFmtId="1" fontId="18" fillId="0" borderId="0" xfId="0" applyNumberFormat="1" applyFont="1" applyBorder="1" applyAlignment="1">
      <alignment horizontal="center" vertical="center"/>
    </xf>
    <xf numFmtId="166" fontId="11" fillId="0" borderId="0" xfId="0" applyNumberFormat="1" applyFont="1" applyBorder="1"/>
    <xf numFmtId="170" fontId="12" fillId="0" borderId="10" xfId="0" applyNumberFormat="1" applyFont="1" applyBorder="1" applyAlignment="1">
      <alignment horizontal="left" vertical="center"/>
    </xf>
    <xf numFmtId="170" fontId="38" fillId="0" borderId="0" xfId="0" applyNumberFormat="1" applyFont="1" applyBorder="1"/>
    <xf numFmtId="49" fontId="39" fillId="0" borderId="0" xfId="0" applyNumberFormat="1" applyFont="1" applyBorder="1" applyAlignment="1">
      <alignment horizontal="center"/>
    </xf>
    <xf numFmtId="170" fontId="40" fillId="0" borderId="0" xfId="0" applyNumberFormat="1" applyFont="1" applyBorder="1"/>
    <xf numFmtId="49" fontId="123" fillId="0" borderId="0" xfId="0" applyNumberFormat="1" applyFont="1" applyBorder="1" applyAlignment="1">
      <alignment horizontal="center" vertical="center"/>
    </xf>
    <xf numFmtId="169" fontId="235" fillId="0" borderId="18" xfId="0" applyNumberFormat="1" applyFont="1" applyBorder="1" applyAlignment="1">
      <alignment horizontal="center"/>
    </xf>
    <xf numFmtId="170" fontId="38" fillId="0" borderId="0" xfId="0" applyNumberFormat="1" applyFont="1" applyFill="1" applyBorder="1"/>
    <xf numFmtId="170" fontId="40" fillId="0" borderId="0" xfId="0" applyNumberFormat="1" applyFont="1" applyFill="1" applyBorder="1"/>
    <xf numFmtId="1" fontId="8" fillId="20" borderId="15" xfId="33" applyNumberFormat="1" applyFont="1" applyFill="1" applyBorder="1"/>
    <xf numFmtId="0" fontId="3" fillId="22" borderId="0" xfId="0" applyFont="1" applyFill="1" applyBorder="1" applyAlignment="1">
      <alignment horizontal="center" vertical="center"/>
    </xf>
    <xf numFmtId="1" fontId="8" fillId="0" borderId="0" xfId="33" applyNumberFormat="1" applyFont="1" applyFill="1" applyBorder="1"/>
    <xf numFmtId="0" fontId="29" fillId="0" borderId="0" xfId="0" applyFont="1" applyBorder="1" applyAlignment="1">
      <alignment horizontal="center" vertical="center"/>
    </xf>
    <xf numFmtId="1" fontId="8" fillId="20" borderId="43" xfId="33" applyNumberFormat="1" applyFont="1" applyFill="1" applyBorder="1"/>
    <xf numFmtId="1" fontId="8" fillId="0" borderId="0" xfId="33" applyNumberFormat="1" applyFont="1" applyBorder="1"/>
    <xf numFmtId="0" fontId="3" fillId="16" borderId="41" xfId="0" applyFont="1" applyFill="1" applyBorder="1" applyAlignment="1">
      <alignment horizontal="center" vertical="center"/>
    </xf>
    <xf numFmtId="1" fontId="8" fillId="19" borderId="43" xfId="33" applyNumberFormat="1" applyFont="1" applyFill="1" applyBorder="1"/>
    <xf numFmtId="0" fontId="3" fillId="21" borderId="0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170" fontId="151" fillId="0" borderId="19" xfId="0" applyNumberFormat="1" applyFont="1" applyBorder="1" applyAlignment="1">
      <alignment horizontal="center" vertical="center"/>
    </xf>
    <xf numFmtId="170" fontId="151" fillId="19" borderId="4" xfId="0" applyNumberFormat="1" applyFont="1" applyFill="1" applyBorder="1" applyAlignment="1">
      <alignment horizontal="center" vertical="center"/>
    </xf>
    <xf numFmtId="170" fontId="236" fillId="16" borderId="4" xfId="0" applyNumberFormat="1" applyFont="1" applyFill="1" applyBorder="1" applyAlignment="1">
      <alignment horizontal="center" vertical="center"/>
    </xf>
    <xf numFmtId="170" fontId="237" fillId="16" borderId="4" xfId="0" applyNumberFormat="1" applyFont="1" applyFill="1" applyBorder="1" applyAlignment="1">
      <alignment horizontal="center" vertical="center"/>
    </xf>
    <xf numFmtId="170" fontId="238" fillId="16" borderId="65" xfId="0" applyNumberFormat="1" applyFont="1" applyFill="1" applyBorder="1" applyAlignment="1">
      <alignment horizontal="center" vertical="center"/>
    </xf>
    <xf numFmtId="170" fontId="18" fillId="0" borderId="6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64" fontId="33" fillId="0" borderId="0" xfId="33" applyNumberFormat="1" applyFont="1" applyBorder="1" applyAlignment="1">
      <alignment horizontal="center" vertical="center"/>
    </xf>
    <xf numFmtId="164" fontId="33" fillId="0" borderId="0" xfId="0" applyNumberFormat="1" applyFont="1"/>
    <xf numFmtId="1" fontId="239" fillId="0" borderId="62" xfId="0" applyNumberFormat="1" applyFont="1" applyBorder="1" applyAlignment="1">
      <alignment horizontal="center" vertical="center"/>
    </xf>
    <xf numFmtId="0" fontId="150" fillId="0" borderId="61" xfId="0" applyFont="1" applyBorder="1" applyAlignment="1">
      <alignment horizontal="center" vertical="center"/>
    </xf>
    <xf numFmtId="170" fontId="9" fillId="0" borderId="66" xfId="0" applyNumberFormat="1" applyFont="1" applyBorder="1" applyAlignment="1">
      <alignment horizontal="center" vertical="center"/>
    </xf>
    <xf numFmtId="170" fontId="52" fillId="0" borderId="66" xfId="0" applyNumberFormat="1" applyFont="1" applyBorder="1" applyAlignment="1">
      <alignment horizontal="center" vertical="center"/>
    </xf>
    <xf numFmtId="172" fontId="146" fillId="0" borderId="61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169" fontId="11" fillId="0" borderId="61" xfId="0" applyNumberFormat="1" applyFont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 vertical="center"/>
    </xf>
    <xf numFmtId="171" fontId="11" fillId="0" borderId="61" xfId="0" applyNumberFormat="1" applyFont="1" applyBorder="1" applyAlignment="1">
      <alignment horizontal="center" vertical="center"/>
    </xf>
    <xf numFmtId="0" fontId="11" fillId="0" borderId="169" xfId="0" applyFont="1" applyBorder="1" applyAlignment="1">
      <alignment vertical="center"/>
    </xf>
    <xf numFmtId="0" fontId="68" fillId="21" borderId="0" xfId="0" applyFont="1" applyFill="1" applyBorder="1" applyAlignment="1">
      <alignment vertical="center"/>
    </xf>
    <xf numFmtId="164" fontId="230" fillId="0" borderId="11" xfId="0" applyNumberFormat="1" applyFont="1" applyBorder="1" applyAlignment="1">
      <alignment horizontal="left" indent="1"/>
    </xf>
    <xf numFmtId="0" fontId="230" fillId="0" borderId="0" xfId="0" applyFont="1"/>
    <xf numFmtId="164" fontId="230" fillId="0" borderId="11" xfId="0" applyNumberFormat="1" applyFont="1" applyBorder="1" applyAlignment="1">
      <alignment horizontal="center"/>
    </xf>
    <xf numFmtId="0" fontId="230" fillId="0" borderId="0" xfId="0" applyFont="1" applyAlignment="1">
      <alignment horizontal="left" indent="1"/>
    </xf>
    <xf numFmtId="0" fontId="230" fillId="20" borderId="15" xfId="0" applyFont="1" applyFill="1" applyBorder="1" applyAlignment="1">
      <alignment horizontal="left" indent="1"/>
    </xf>
    <xf numFmtId="0" fontId="230" fillId="0" borderId="0" xfId="0" applyFont="1" applyBorder="1" applyAlignment="1">
      <alignment vertical="center"/>
    </xf>
    <xf numFmtId="178" fontId="230" fillId="0" borderId="0" xfId="0" applyNumberFormat="1" applyFont="1" applyBorder="1" applyAlignment="1">
      <alignment horizontal="center" vertical="center"/>
    </xf>
    <xf numFmtId="182" fontId="240" fillId="0" borderId="0" xfId="33" applyNumberFormat="1" applyFont="1" applyBorder="1" applyAlignment="1">
      <alignment horizontal="center" vertical="center"/>
    </xf>
    <xf numFmtId="181" fontId="241" fillId="0" borderId="0" xfId="33" applyNumberFormat="1" applyFont="1" applyBorder="1" applyAlignment="1">
      <alignment horizontal="right" vertical="center"/>
    </xf>
    <xf numFmtId="181" fontId="240" fillId="0" borderId="0" xfId="0" applyNumberFormat="1" applyFont="1" applyBorder="1" applyAlignment="1">
      <alignment horizontal="center" vertical="center"/>
    </xf>
    <xf numFmtId="180" fontId="242" fillId="0" borderId="0" xfId="0" applyNumberFormat="1" applyFont="1" applyAlignment="1">
      <alignment horizontal="center" vertical="center"/>
    </xf>
    <xf numFmtId="0" fontId="230" fillId="0" borderId="0" xfId="0" applyFont="1" applyAlignment="1">
      <alignment vertical="center"/>
    </xf>
    <xf numFmtId="168" fontId="230" fillId="0" borderId="0" xfId="0" applyNumberFormat="1" applyFont="1" applyAlignment="1">
      <alignment horizontal="center" vertical="center"/>
    </xf>
    <xf numFmtId="168" fontId="230" fillId="0" borderId="0" xfId="0" applyNumberFormat="1" applyFont="1" applyAlignment="1">
      <alignment horizontal="center"/>
    </xf>
    <xf numFmtId="0" fontId="230" fillId="0" borderId="0" xfId="0" applyFont="1" applyBorder="1" applyAlignment="1">
      <alignment horizontal="left" indent="1"/>
    </xf>
    <xf numFmtId="0" fontId="230" fillId="0" borderId="0" xfId="0" applyFont="1" applyFill="1" applyBorder="1"/>
    <xf numFmtId="170" fontId="243" fillId="0" borderId="0" xfId="0" applyNumberFormat="1" applyFont="1" applyBorder="1"/>
    <xf numFmtId="49" fontId="244" fillId="0" borderId="0" xfId="0" applyNumberFormat="1" applyFont="1" applyBorder="1" applyAlignment="1">
      <alignment horizontal="center"/>
    </xf>
    <xf numFmtId="170" fontId="245" fillId="0" borderId="0" xfId="0" applyNumberFormat="1" applyFont="1" applyBorder="1"/>
    <xf numFmtId="49" fontId="246" fillId="0" borderId="0" xfId="0" applyNumberFormat="1" applyFont="1" applyBorder="1" applyAlignment="1">
      <alignment horizontal="center" vertical="center"/>
    </xf>
    <xf numFmtId="169" fontId="247" fillId="0" borderId="18" xfId="0" applyNumberFormat="1" applyFont="1" applyBorder="1" applyAlignment="1">
      <alignment horizontal="center"/>
    </xf>
    <xf numFmtId="170" fontId="243" fillId="0" borderId="20" xfId="0" applyNumberFormat="1" applyFont="1" applyBorder="1"/>
    <xf numFmtId="49" fontId="244" fillId="0" borderId="20" xfId="0" applyNumberFormat="1" applyFont="1" applyBorder="1" applyAlignment="1">
      <alignment horizontal="center"/>
    </xf>
    <xf numFmtId="170" fontId="245" fillId="0" borderId="20" xfId="0" applyNumberFormat="1" applyFont="1" applyBorder="1"/>
    <xf numFmtId="49" fontId="246" fillId="0" borderId="20" xfId="0" applyNumberFormat="1" applyFont="1" applyBorder="1" applyAlignment="1">
      <alignment horizontal="center" vertical="center"/>
    </xf>
    <xf numFmtId="169" fontId="247" fillId="0" borderId="21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70" xfId="0" applyNumberFormat="1" applyFont="1" applyFill="1" applyBorder="1" applyAlignment="1">
      <alignment horizontal="center" vertical="center"/>
    </xf>
    <xf numFmtId="170" fontId="249" fillId="0" borderId="0" xfId="0" applyNumberFormat="1" applyFont="1" applyBorder="1"/>
    <xf numFmtId="170" fontId="249" fillId="0" borderId="20" xfId="0" applyNumberFormat="1" applyFont="1" applyBorder="1"/>
    <xf numFmtId="0" fontId="55" fillId="0" borderId="0" xfId="0" applyFont="1" applyBorder="1" applyAlignment="1">
      <alignment horizontal="center" vertical="center"/>
    </xf>
    <xf numFmtId="0" fontId="250" fillId="0" borderId="19" xfId="0" applyFont="1" applyBorder="1" applyAlignment="1">
      <alignment horizontal="center" vertical="center"/>
    </xf>
    <xf numFmtId="170" fontId="23" fillId="0" borderId="21" xfId="0" applyNumberFormat="1" applyFont="1" applyBorder="1" applyAlignment="1">
      <alignment horizontal="center" vertical="center"/>
    </xf>
    <xf numFmtId="170" fontId="251" fillId="0" borderId="21" xfId="0" applyNumberFormat="1" applyFont="1" applyBorder="1" applyAlignment="1">
      <alignment horizontal="center" vertical="center"/>
    </xf>
    <xf numFmtId="170" fontId="63" fillId="0" borderId="21" xfId="0" applyNumberFormat="1" applyFont="1" applyBorder="1" applyAlignment="1">
      <alignment horizontal="center" vertical="center"/>
    </xf>
    <xf numFmtId="170" fontId="184" fillId="0" borderId="21" xfId="0" applyNumberFormat="1" applyFont="1" applyBorder="1" applyAlignment="1">
      <alignment horizontal="center" vertical="center"/>
    </xf>
    <xf numFmtId="0" fontId="250" fillId="0" borderId="4" xfId="0" applyFont="1" applyBorder="1" applyAlignment="1">
      <alignment horizontal="center" vertical="center"/>
    </xf>
    <xf numFmtId="0" fontId="250" fillId="0" borderId="12" xfId="0" applyFont="1" applyBorder="1" applyAlignment="1">
      <alignment horizontal="center" vertical="center"/>
    </xf>
    <xf numFmtId="170" fontId="63" fillId="0" borderId="18" xfId="0" applyNumberFormat="1" applyFont="1" applyBorder="1" applyAlignment="1">
      <alignment horizontal="center" vertical="center"/>
    </xf>
    <xf numFmtId="170" fontId="184" fillId="0" borderId="18" xfId="0" applyNumberFormat="1" applyFont="1" applyBorder="1" applyAlignment="1">
      <alignment horizontal="center" vertical="center"/>
    </xf>
    <xf numFmtId="37" fontId="149" fillId="0" borderId="93" xfId="0" applyNumberFormat="1" applyFont="1" applyBorder="1" applyAlignment="1">
      <alignment horizontal="center" vertical="center"/>
    </xf>
    <xf numFmtId="37" fontId="149" fillId="0" borderId="62" xfId="0" applyNumberFormat="1" applyFont="1" applyBorder="1" applyAlignment="1">
      <alignment horizontal="center" vertical="center"/>
    </xf>
    <xf numFmtId="1" fontId="149" fillId="0" borderId="93" xfId="0" applyNumberFormat="1" applyFont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170" fontId="151" fillId="0" borderId="63" xfId="0" applyNumberFormat="1" applyFont="1" applyFill="1" applyBorder="1" applyAlignment="1">
      <alignment horizontal="center" vertical="center"/>
    </xf>
    <xf numFmtId="170" fontId="50" fillId="0" borderId="63" xfId="0" applyNumberFormat="1" applyFont="1" applyFill="1" applyBorder="1" applyAlignment="1">
      <alignment horizontal="center" vertical="center"/>
    </xf>
    <xf numFmtId="172" fontId="146" fillId="0" borderId="63" xfId="0" applyNumberFormat="1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49" fontId="3" fillId="0" borderId="63" xfId="0" applyNumberFormat="1" applyFont="1" applyFill="1" applyBorder="1" applyAlignment="1">
      <alignment horizontal="center" vertical="center"/>
    </xf>
    <xf numFmtId="169" fontId="11" fillId="0" borderId="63" xfId="0" applyNumberFormat="1" applyFont="1" applyFill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 vertical="center"/>
    </xf>
    <xf numFmtId="0" fontId="11" fillId="0" borderId="104" xfId="0" applyFont="1" applyFill="1" applyBorder="1" applyAlignment="1">
      <alignment vertical="center"/>
    </xf>
    <xf numFmtId="170" fontId="63" fillId="0" borderId="170" xfId="0" applyNumberFormat="1" applyFont="1" applyBorder="1" applyAlignment="1">
      <alignment horizontal="center" vertical="center"/>
    </xf>
    <xf numFmtId="170" fontId="184" fillId="0" borderId="170" xfId="0" applyNumberFormat="1" applyFont="1" applyBorder="1" applyAlignment="1">
      <alignment horizontal="center" vertical="center"/>
    </xf>
    <xf numFmtId="172" fontId="146" fillId="0" borderId="170" xfId="0" applyNumberFormat="1" applyFont="1" applyFill="1" applyBorder="1" applyAlignment="1">
      <alignment horizontal="center" vertical="center"/>
    </xf>
    <xf numFmtId="0" fontId="11" fillId="0" borderId="170" xfId="0" applyFont="1" applyBorder="1" applyAlignment="1">
      <alignment horizontal="center" vertical="center"/>
    </xf>
    <xf numFmtId="49" fontId="3" fillId="0" borderId="170" xfId="0" applyNumberFormat="1" applyFont="1" applyBorder="1" applyAlignment="1">
      <alignment horizontal="center" vertical="center"/>
    </xf>
    <xf numFmtId="169" fontId="11" fillId="0" borderId="170" xfId="0" applyNumberFormat="1" applyFont="1" applyBorder="1" applyAlignment="1">
      <alignment horizontal="center" vertical="center"/>
    </xf>
    <xf numFmtId="0" fontId="11" fillId="0" borderId="171" xfId="0" applyFont="1" applyBorder="1" applyAlignment="1">
      <alignment vertical="center"/>
    </xf>
    <xf numFmtId="170" fontId="23" fillId="0" borderId="10" xfId="0" applyNumberFormat="1" applyFont="1" applyBorder="1" applyAlignment="1">
      <alignment horizontal="center" vertical="center"/>
    </xf>
    <xf numFmtId="170" fontId="251" fillId="0" borderId="10" xfId="0" applyNumberFormat="1" applyFont="1" applyBorder="1" applyAlignment="1">
      <alignment horizontal="center" vertical="center"/>
    </xf>
    <xf numFmtId="190" fontId="12" fillId="0" borderId="18" xfId="0" applyNumberFormat="1" applyFont="1" applyBorder="1" applyAlignment="1">
      <alignment horizontal="center"/>
    </xf>
    <xf numFmtId="170" fontId="12" fillId="0" borderId="0" xfId="0" applyNumberFormat="1" applyFont="1" applyBorder="1"/>
    <xf numFmtId="170" fontId="12" fillId="0" borderId="20" xfId="0" applyNumberFormat="1" applyFont="1" applyBorder="1"/>
    <xf numFmtId="179" fontId="12" fillId="0" borderId="18" xfId="0" applyNumberFormat="1" applyFont="1" applyBorder="1" applyAlignment="1">
      <alignment horizontal="center"/>
    </xf>
    <xf numFmtId="170" fontId="23" fillId="0" borderId="173" xfId="0" applyNumberFormat="1" applyFont="1" applyBorder="1" applyAlignment="1">
      <alignment horizontal="center" vertical="center"/>
    </xf>
    <xf numFmtId="170" fontId="251" fillId="0" borderId="173" xfId="0" applyNumberFormat="1" applyFont="1" applyBorder="1" applyAlignment="1">
      <alignment horizontal="center" vertical="center"/>
    </xf>
    <xf numFmtId="172" fontId="146" fillId="0" borderId="172" xfId="0" applyNumberFormat="1" applyFont="1" applyBorder="1" applyAlignment="1">
      <alignment horizontal="center" vertical="center"/>
    </xf>
    <xf numFmtId="0" fontId="11" fillId="0" borderId="172" xfId="0" applyFont="1" applyBorder="1" applyAlignment="1">
      <alignment horizontal="center" vertical="center"/>
    </xf>
    <xf numFmtId="169" fontId="11" fillId="0" borderId="172" xfId="0" applyNumberFormat="1" applyFont="1" applyBorder="1" applyAlignment="1">
      <alignment horizontal="center" vertical="center"/>
    </xf>
    <xf numFmtId="49" fontId="1" fillId="0" borderId="172" xfId="0" applyNumberFormat="1" applyFont="1" applyFill="1" applyBorder="1" applyAlignment="1">
      <alignment horizontal="center" vertical="center"/>
    </xf>
    <xf numFmtId="171" fontId="11" fillId="0" borderId="172" xfId="0" applyNumberFormat="1" applyFont="1" applyBorder="1" applyAlignment="1">
      <alignment horizontal="center" vertical="center"/>
    </xf>
    <xf numFmtId="49" fontId="12" fillId="0" borderId="172" xfId="0" applyNumberFormat="1" applyFont="1" applyBorder="1" applyAlignment="1">
      <alignment horizontal="center" vertical="center"/>
    </xf>
    <xf numFmtId="49" fontId="12" fillId="0" borderId="170" xfId="0" applyNumberFormat="1" applyFont="1" applyBorder="1" applyAlignment="1">
      <alignment horizontal="center" vertical="center"/>
    </xf>
    <xf numFmtId="49" fontId="12" fillId="0" borderId="63" xfId="0" applyNumberFormat="1" applyFont="1" applyFill="1" applyBorder="1" applyAlignment="1">
      <alignment horizontal="center" vertical="center"/>
    </xf>
    <xf numFmtId="171" fontId="11" fillId="0" borderId="170" xfId="0" applyNumberFormat="1" applyFont="1" applyBorder="1" applyAlignment="1">
      <alignment horizontal="center" vertical="center"/>
    </xf>
    <xf numFmtId="0" fontId="3" fillId="0" borderId="16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1" fillId="0" borderId="0" xfId="0" applyFont="1" applyBorder="1"/>
    <xf numFmtId="0" fontId="150" fillId="0" borderId="0" xfId="0" applyFont="1" applyFill="1" applyBorder="1" applyAlignment="1">
      <alignment horizontal="center" vertical="center"/>
    </xf>
    <xf numFmtId="170" fontId="151" fillId="0" borderId="0" xfId="0" applyNumberFormat="1" applyFont="1" applyFill="1" applyBorder="1" applyAlignment="1">
      <alignment horizontal="center" vertical="center"/>
    </xf>
    <xf numFmtId="170" fontId="50" fillId="0" borderId="0" xfId="0" applyNumberFormat="1" applyFont="1" applyFill="1" applyBorder="1" applyAlignment="1">
      <alignment horizontal="center" vertical="center"/>
    </xf>
    <xf numFmtId="172" fontId="14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9" fontId="1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1" fontId="8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70" fontId="50" fillId="0" borderId="123" xfId="0" applyNumberFormat="1" applyFont="1" applyBorder="1" applyAlignment="1">
      <alignment horizontal="center" vertical="center"/>
    </xf>
    <xf numFmtId="171" fontId="87" fillId="0" borderId="87" xfId="0" applyNumberFormat="1" applyFont="1" applyBorder="1" applyAlignment="1">
      <alignment horizontal="center" vertical="center"/>
    </xf>
    <xf numFmtId="37" fontId="149" fillId="0" borderId="0" xfId="0" applyNumberFormat="1" applyFont="1" applyBorder="1" applyAlignment="1">
      <alignment horizontal="center" vertical="center"/>
    </xf>
    <xf numFmtId="179" fontId="11" fillId="21" borderId="0" xfId="0" applyNumberFormat="1" applyFont="1" applyFill="1" applyBorder="1" applyAlignment="1">
      <alignment horizontal="center" vertical="center"/>
    </xf>
    <xf numFmtId="37" fontId="12" fillId="0" borderId="62" xfId="0" applyNumberFormat="1" applyFont="1" applyBorder="1" applyAlignment="1">
      <alignment horizontal="center" vertical="center"/>
    </xf>
    <xf numFmtId="1" fontId="11" fillId="0" borderId="93" xfId="0" applyNumberFormat="1" applyFont="1" applyBorder="1" applyAlignment="1">
      <alignment horizontal="center" vertical="center"/>
    </xf>
    <xf numFmtId="0" fontId="37" fillId="0" borderId="92" xfId="0" applyFont="1" applyFill="1" applyBorder="1" applyAlignment="1">
      <alignment vertical="center"/>
    </xf>
    <xf numFmtId="191" fontId="149" fillId="0" borderId="62" xfId="0" applyNumberFormat="1" applyFont="1" applyBorder="1" applyAlignment="1">
      <alignment horizontal="center" vertical="center"/>
    </xf>
    <xf numFmtId="170" fontId="50" fillId="0" borderId="137" xfId="0" applyNumberFormat="1" applyFont="1" applyBorder="1" applyAlignment="1">
      <alignment horizontal="center" vertical="center"/>
    </xf>
    <xf numFmtId="172" fontId="146" fillId="0" borderId="136" xfId="0" applyNumberFormat="1" applyFont="1" applyFill="1" applyBorder="1" applyAlignment="1">
      <alignment horizontal="center" vertical="center"/>
    </xf>
    <xf numFmtId="49" fontId="1" fillId="0" borderId="136" xfId="0" applyNumberFormat="1" applyFont="1" applyFill="1" applyBorder="1" applyAlignment="1">
      <alignment horizontal="center" vertical="center"/>
    </xf>
    <xf numFmtId="170" fontId="151" fillId="0" borderId="137" xfId="0" applyNumberFormat="1" applyFont="1" applyBorder="1" applyAlignment="1">
      <alignment horizontal="center" vertical="center"/>
    </xf>
    <xf numFmtId="0" fontId="250" fillId="0" borderId="87" xfId="0" applyFont="1" applyBorder="1" applyAlignment="1">
      <alignment horizontal="center" vertical="center"/>
    </xf>
    <xf numFmtId="170" fontId="63" fillId="0" borderId="87" xfId="0" applyNumberFormat="1" applyFont="1" applyBorder="1" applyAlignment="1">
      <alignment horizontal="center" vertical="center"/>
    </xf>
    <xf numFmtId="170" fontId="184" fillId="0" borderId="87" xfId="0" applyNumberFormat="1" applyFont="1" applyBorder="1" applyAlignment="1">
      <alignment horizontal="center" vertical="center"/>
    </xf>
    <xf numFmtId="0" fontId="55" fillId="0" borderId="91" xfId="0" applyFont="1" applyFill="1" applyBorder="1" applyAlignment="1">
      <alignment horizontal="center" vertical="center"/>
    </xf>
    <xf numFmtId="170" fontId="151" fillId="0" borderId="91" xfId="0" applyNumberFormat="1" applyFont="1" applyFill="1" applyBorder="1" applyAlignment="1">
      <alignment horizontal="center" vertical="center"/>
    </xf>
    <xf numFmtId="170" fontId="50" fillId="0" borderId="91" xfId="0" applyNumberFormat="1" applyFont="1" applyFill="1" applyBorder="1" applyAlignment="1">
      <alignment horizontal="center" vertical="center"/>
    </xf>
    <xf numFmtId="172" fontId="146" fillId="0" borderId="91" xfId="0" applyNumberFormat="1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49" fontId="3" fillId="0" borderId="91" xfId="0" applyNumberFormat="1" applyFont="1" applyFill="1" applyBorder="1" applyAlignment="1">
      <alignment horizontal="center" vertical="center"/>
    </xf>
    <xf numFmtId="169" fontId="11" fillId="0" borderId="91" xfId="0" applyNumberFormat="1" applyFont="1" applyFill="1" applyBorder="1" applyAlignment="1">
      <alignment horizontal="center" vertical="center"/>
    </xf>
    <xf numFmtId="49" fontId="1" fillId="0" borderId="91" xfId="0" applyNumberFormat="1" applyFont="1" applyFill="1" applyBorder="1" applyAlignment="1">
      <alignment horizontal="center" vertical="center"/>
    </xf>
    <xf numFmtId="0" fontId="11" fillId="0" borderId="109" xfId="0" applyFont="1" applyFill="1" applyBorder="1" applyAlignment="1">
      <alignment vertical="center"/>
    </xf>
    <xf numFmtId="0" fontId="0" fillId="0" borderId="174" xfId="0" applyBorder="1" applyAlignment="1">
      <alignment horizontal="center"/>
    </xf>
    <xf numFmtId="49" fontId="253" fillId="0" borderId="17" xfId="0" applyNumberFormat="1" applyFont="1" applyBorder="1" applyAlignment="1">
      <alignment horizontal="center" vertical="center"/>
    </xf>
    <xf numFmtId="49" fontId="253" fillId="0" borderId="19" xfId="0" applyNumberFormat="1" applyFont="1" applyBorder="1" applyAlignment="1">
      <alignment horizontal="center" vertical="center"/>
    </xf>
    <xf numFmtId="49" fontId="253" fillId="0" borderId="4" xfId="0" applyNumberFormat="1" applyFont="1" applyBorder="1" applyAlignment="1">
      <alignment horizontal="center" vertical="center"/>
    </xf>
    <xf numFmtId="49" fontId="253" fillId="0" borderId="4" xfId="0" applyNumberFormat="1" applyFont="1" applyFill="1" applyBorder="1" applyAlignment="1">
      <alignment horizontal="center" vertical="center"/>
    </xf>
    <xf numFmtId="49" fontId="253" fillId="0" borderId="87" xfId="0" applyNumberFormat="1" applyFont="1" applyFill="1" applyBorder="1" applyAlignment="1">
      <alignment horizontal="center" vertical="center"/>
    </xf>
    <xf numFmtId="0" fontId="11" fillId="0" borderId="175" xfId="0" applyFont="1" applyBorder="1" applyAlignment="1">
      <alignment horizontal="center" vertical="center"/>
    </xf>
    <xf numFmtId="49" fontId="253" fillId="0" borderId="175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93" fillId="0" borderId="84" xfId="0" applyFont="1" applyBorder="1" applyAlignment="1">
      <alignment vertical="center"/>
    </xf>
    <xf numFmtId="0" fontId="193" fillId="0" borderId="88" xfId="0" applyFont="1" applyBorder="1" applyAlignment="1">
      <alignment vertical="center"/>
    </xf>
    <xf numFmtId="170" fontId="8" fillId="0" borderId="21" xfId="0" applyNumberFormat="1" applyFont="1" applyBorder="1" applyAlignment="1">
      <alignment horizontal="center" vertical="center"/>
    </xf>
    <xf numFmtId="170" fontId="8" fillId="0" borderId="18" xfId="0" applyNumberFormat="1" applyFont="1" applyBorder="1" applyAlignment="1">
      <alignment horizontal="center" vertical="center"/>
    </xf>
    <xf numFmtId="170" fontId="8" fillId="0" borderId="4" xfId="0" applyNumberFormat="1" applyFont="1" applyBorder="1" applyAlignment="1">
      <alignment horizontal="center" vertical="center"/>
    </xf>
    <xf numFmtId="170" fontId="8" fillId="0" borderId="4" xfId="0" applyNumberFormat="1" applyFont="1" applyFill="1" applyBorder="1" applyAlignment="1">
      <alignment horizontal="center" vertical="center"/>
    </xf>
    <xf numFmtId="170" fontId="8" fillId="0" borderId="123" xfId="0" applyNumberFormat="1" applyFont="1" applyBorder="1" applyAlignment="1">
      <alignment horizontal="center" vertical="center"/>
    </xf>
    <xf numFmtId="4" fontId="11" fillId="0" borderId="140" xfId="0" applyNumberFormat="1" applyFont="1" applyBorder="1" applyAlignment="1">
      <alignment vertical="center"/>
    </xf>
    <xf numFmtId="1" fontId="12" fillId="0" borderId="93" xfId="0" applyNumberFormat="1" applyFont="1" applyBorder="1" applyAlignment="1">
      <alignment horizontal="center" vertical="center"/>
    </xf>
    <xf numFmtId="171" fontId="256" fillId="0" borderId="91" xfId="0" applyNumberFormat="1" applyFont="1" applyFill="1" applyBorder="1" applyAlignment="1">
      <alignment horizontal="center" vertical="center"/>
    </xf>
    <xf numFmtId="171" fontId="256" fillId="0" borderId="63" xfId="0" applyNumberFormat="1" applyFont="1" applyFill="1" applyBorder="1" applyAlignment="1">
      <alignment horizontal="center" vertical="center"/>
    </xf>
    <xf numFmtId="171" fontId="256" fillId="0" borderId="19" xfId="0" applyNumberFormat="1" applyFont="1" applyBorder="1" applyAlignment="1">
      <alignment horizontal="center" vertical="center"/>
    </xf>
    <xf numFmtId="171" fontId="256" fillId="0" borderId="136" xfId="0" applyNumberFormat="1" applyFont="1" applyBorder="1" applyAlignment="1">
      <alignment horizontal="center" vertical="center"/>
    </xf>
    <xf numFmtId="171" fontId="256" fillId="0" borderId="17" xfId="0" applyNumberFormat="1" applyFont="1" applyBorder="1" applyAlignment="1">
      <alignment horizontal="center" vertical="center"/>
    </xf>
    <xf numFmtId="171" fontId="256" fillId="0" borderId="4" xfId="0" applyNumberFormat="1" applyFont="1" applyBorder="1" applyAlignment="1">
      <alignment horizontal="center" vertical="center"/>
    </xf>
    <xf numFmtId="171" fontId="256" fillId="0" borderId="12" xfId="0" applyNumberFormat="1" applyFont="1" applyBorder="1" applyAlignment="1">
      <alignment horizontal="center" vertical="center"/>
    </xf>
    <xf numFmtId="171" fontId="256" fillId="0" borderId="4" xfId="0" applyNumberFormat="1" applyFont="1" applyFill="1" applyBorder="1" applyAlignment="1">
      <alignment horizontal="center" vertical="center"/>
    </xf>
    <xf numFmtId="171" fontId="256" fillId="0" borderId="87" xfId="0" applyNumberFormat="1" applyFont="1" applyFill="1" applyBorder="1" applyAlignment="1">
      <alignment horizontal="center" vertical="center"/>
    </xf>
    <xf numFmtId="170" fontId="9" fillId="21" borderId="90" xfId="0" applyNumberFormat="1" applyFont="1" applyFill="1" applyBorder="1" applyAlignment="1">
      <alignment horizontal="center" vertical="center"/>
    </xf>
    <xf numFmtId="170" fontId="52" fillId="21" borderId="90" xfId="0" applyNumberFormat="1" applyFont="1" applyFill="1" applyBorder="1" applyAlignment="1">
      <alignment horizontal="center" vertical="center"/>
    </xf>
    <xf numFmtId="172" fontId="177" fillId="21" borderId="91" xfId="0" applyNumberFormat="1" applyFont="1" applyFill="1" applyBorder="1" applyAlignment="1">
      <alignment horizontal="center" vertical="center"/>
    </xf>
    <xf numFmtId="0" fontId="12" fillId="21" borderId="91" xfId="0" applyFont="1" applyFill="1" applyBorder="1" applyAlignment="1">
      <alignment horizontal="center" vertical="center"/>
    </xf>
    <xf numFmtId="49" fontId="3" fillId="21" borderId="91" xfId="0" applyNumberFormat="1" applyFont="1" applyFill="1" applyBorder="1" applyAlignment="1">
      <alignment horizontal="center" vertical="center"/>
    </xf>
    <xf numFmtId="169" fontId="11" fillId="21" borderId="91" xfId="0" applyNumberFormat="1" applyFont="1" applyFill="1" applyBorder="1" applyAlignment="1">
      <alignment horizontal="center" vertical="center"/>
    </xf>
    <xf numFmtId="49" fontId="1" fillId="21" borderId="91" xfId="0" applyNumberFormat="1" applyFont="1" applyFill="1" applyBorder="1" applyAlignment="1">
      <alignment horizontal="center" vertical="center"/>
    </xf>
    <xf numFmtId="171" fontId="11" fillId="21" borderId="91" xfId="0" applyNumberFormat="1" applyFont="1" applyFill="1" applyBorder="1" applyAlignment="1">
      <alignment horizontal="center" vertical="center"/>
    </xf>
    <xf numFmtId="0" fontId="11" fillId="21" borderId="92" xfId="0" applyFont="1" applyFill="1" applyBorder="1" applyAlignment="1">
      <alignment vertical="center"/>
    </xf>
    <xf numFmtId="170" fontId="9" fillId="21" borderId="176" xfId="0" applyNumberFormat="1" applyFont="1" applyFill="1" applyBorder="1" applyAlignment="1">
      <alignment horizontal="center" vertical="center"/>
    </xf>
    <xf numFmtId="170" fontId="52" fillId="21" borderId="176" xfId="0" applyNumberFormat="1" applyFont="1" applyFill="1" applyBorder="1" applyAlignment="1">
      <alignment horizontal="center" vertical="center"/>
    </xf>
    <xf numFmtId="172" fontId="177" fillId="21" borderId="149" xfId="0" applyNumberFormat="1" applyFont="1" applyFill="1" applyBorder="1" applyAlignment="1">
      <alignment horizontal="center" vertical="center"/>
    </xf>
    <xf numFmtId="0" fontId="12" fillId="21" borderId="149" xfId="0" applyFont="1" applyFill="1" applyBorder="1" applyAlignment="1">
      <alignment horizontal="center" vertical="center"/>
    </xf>
    <xf numFmtId="49" fontId="3" fillId="21" borderId="149" xfId="0" applyNumberFormat="1" applyFont="1" applyFill="1" applyBorder="1" applyAlignment="1">
      <alignment horizontal="center" vertical="center"/>
    </xf>
    <xf numFmtId="169" fontId="11" fillId="21" borderId="149" xfId="0" applyNumberFormat="1" applyFont="1" applyFill="1" applyBorder="1" applyAlignment="1">
      <alignment horizontal="center" vertical="center"/>
    </xf>
    <xf numFmtId="49" fontId="1" fillId="21" borderId="149" xfId="0" applyNumberFormat="1" applyFont="1" applyFill="1" applyBorder="1" applyAlignment="1">
      <alignment horizontal="center" vertical="center"/>
    </xf>
    <xf numFmtId="171" fontId="11" fillId="21" borderId="149" xfId="0" applyNumberFormat="1" applyFont="1" applyFill="1" applyBorder="1" applyAlignment="1">
      <alignment horizontal="center" vertical="center"/>
    </xf>
    <xf numFmtId="0" fontId="11" fillId="21" borderId="177" xfId="0" applyFont="1" applyFill="1" applyBorder="1" applyAlignment="1">
      <alignment vertical="center"/>
    </xf>
    <xf numFmtId="170" fontId="9" fillId="21" borderId="21" xfId="0" applyNumberFormat="1" applyFont="1" applyFill="1" applyBorder="1" applyAlignment="1">
      <alignment horizontal="center" vertical="center"/>
    </xf>
    <xf numFmtId="170" fontId="52" fillId="21" borderId="21" xfId="0" applyNumberFormat="1" applyFont="1" applyFill="1" applyBorder="1" applyAlignment="1">
      <alignment horizontal="center" vertical="center"/>
    </xf>
    <xf numFmtId="172" fontId="177" fillId="21" borderId="19" xfId="0" applyNumberFormat="1" applyFont="1" applyFill="1" applyBorder="1" applyAlignment="1">
      <alignment horizontal="center" vertical="center"/>
    </xf>
    <xf numFmtId="0" fontId="12" fillId="21" borderId="19" xfId="0" applyFont="1" applyFill="1" applyBorder="1" applyAlignment="1">
      <alignment horizontal="center" vertical="center"/>
    </xf>
    <xf numFmtId="49" fontId="3" fillId="21" borderId="19" xfId="0" applyNumberFormat="1" applyFont="1" applyFill="1" applyBorder="1" applyAlignment="1">
      <alignment horizontal="center" vertical="center"/>
    </xf>
    <xf numFmtId="169" fontId="11" fillId="21" borderId="19" xfId="0" applyNumberFormat="1" applyFont="1" applyFill="1" applyBorder="1" applyAlignment="1">
      <alignment horizontal="center" vertical="center"/>
    </xf>
    <xf numFmtId="49" fontId="1" fillId="21" borderId="19" xfId="0" applyNumberFormat="1" applyFont="1" applyFill="1" applyBorder="1" applyAlignment="1">
      <alignment horizontal="center" vertical="center"/>
    </xf>
    <xf numFmtId="171" fontId="11" fillId="21" borderId="19" xfId="0" applyNumberFormat="1" applyFont="1" applyFill="1" applyBorder="1" applyAlignment="1">
      <alignment horizontal="center" vertical="center"/>
    </xf>
    <xf numFmtId="0" fontId="11" fillId="21" borderId="94" xfId="0" applyFont="1" applyFill="1" applyBorder="1" applyAlignment="1">
      <alignment vertical="center"/>
    </xf>
    <xf numFmtId="0" fontId="11" fillId="21" borderId="84" xfId="0" applyFont="1" applyFill="1" applyBorder="1" applyAlignment="1">
      <alignment vertical="center"/>
    </xf>
    <xf numFmtId="170" fontId="9" fillId="21" borderId="123" xfId="0" applyNumberFormat="1" applyFont="1" applyFill="1" applyBorder="1" applyAlignment="1">
      <alignment horizontal="center" vertical="center"/>
    </xf>
    <xf numFmtId="170" fontId="52" fillId="21" borderId="123" xfId="0" applyNumberFormat="1" applyFont="1" applyFill="1" applyBorder="1" applyAlignment="1">
      <alignment horizontal="center" vertical="center"/>
    </xf>
    <xf numFmtId="172" fontId="177" fillId="21" borderId="87" xfId="0" applyNumberFormat="1" applyFont="1" applyFill="1" applyBorder="1" applyAlignment="1">
      <alignment horizontal="center" vertical="center"/>
    </xf>
    <xf numFmtId="0" fontId="12" fillId="21" borderId="87" xfId="0" applyFont="1" applyFill="1" applyBorder="1" applyAlignment="1">
      <alignment horizontal="center" vertical="center"/>
    </xf>
    <xf numFmtId="49" fontId="3" fillId="21" borderId="87" xfId="0" applyNumberFormat="1" applyFont="1" applyFill="1" applyBorder="1" applyAlignment="1">
      <alignment horizontal="center" vertical="center"/>
    </xf>
    <xf numFmtId="169" fontId="11" fillId="21" borderId="87" xfId="0" applyNumberFormat="1" applyFont="1" applyFill="1" applyBorder="1" applyAlignment="1">
      <alignment horizontal="center" vertical="center"/>
    </xf>
    <xf numFmtId="49" fontId="1" fillId="21" borderId="87" xfId="0" applyNumberFormat="1" applyFont="1" applyFill="1" applyBorder="1" applyAlignment="1">
      <alignment horizontal="center" vertical="center"/>
    </xf>
    <xf numFmtId="171" fontId="11" fillId="21" borderId="87" xfId="0" applyNumberFormat="1" applyFont="1" applyFill="1" applyBorder="1" applyAlignment="1">
      <alignment horizontal="center" vertical="center"/>
    </xf>
    <xf numFmtId="0" fontId="11" fillId="21" borderId="88" xfId="0" applyFont="1" applyFill="1" applyBorder="1" applyAlignment="1">
      <alignment vertical="center"/>
    </xf>
    <xf numFmtId="49" fontId="54" fillId="0" borderId="91" xfId="0" applyNumberFormat="1" applyFont="1" applyBorder="1" applyAlignment="1">
      <alignment horizontal="center" vertical="center"/>
    </xf>
    <xf numFmtId="49" fontId="54" fillId="0" borderId="19" xfId="0" applyNumberFormat="1" applyFont="1" applyBorder="1" applyAlignment="1">
      <alignment horizontal="center" vertical="center"/>
    </xf>
    <xf numFmtId="49" fontId="54" fillId="0" borderId="117" xfId="0" applyNumberFormat="1" applyFont="1" applyBorder="1" applyAlignment="1">
      <alignment horizontal="center" vertical="center"/>
    </xf>
    <xf numFmtId="49" fontId="165" fillId="0" borderId="19" xfId="0" applyNumberFormat="1" applyFont="1" applyBorder="1" applyAlignment="1">
      <alignment horizontal="center" vertical="center"/>
    </xf>
    <xf numFmtId="49" fontId="165" fillId="0" borderId="87" xfId="0" applyNumberFormat="1" applyFont="1" applyBorder="1" applyAlignment="1">
      <alignment horizontal="center" vertical="center"/>
    </xf>
    <xf numFmtId="170" fontId="11" fillId="27" borderId="0" xfId="0" applyNumberFormat="1" applyFont="1" applyFill="1" applyBorder="1"/>
    <xf numFmtId="0" fontId="3" fillId="27" borderId="0" xfId="0" applyFont="1" applyFill="1" applyBorder="1" applyAlignment="1">
      <alignment horizontal="center" vertical="center"/>
    </xf>
    <xf numFmtId="49" fontId="9" fillId="27" borderId="0" xfId="0" applyNumberFormat="1" applyFont="1" applyFill="1" applyBorder="1" applyAlignment="1">
      <alignment horizontal="center"/>
    </xf>
    <xf numFmtId="170" fontId="32" fillId="27" borderId="0" xfId="0" applyNumberFormat="1" applyFont="1" applyFill="1" applyBorder="1"/>
    <xf numFmtId="49" fontId="3" fillId="27" borderId="0" xfId="0" applyNumberFormat="1" applyFont="1" applyFill="1" applyBorder="1" applyAlignment="1">
      <alignment horizontal="center" vertical="center"/>
    </xf>
    <xf numFmtId="169" fontId="13" fillId="27" borderId="18" xfId="0" applyNumberFormat="1" applyFont="1" applyFill="1" applyBorder="1" applyAlignment="1">
      <alignment horizontal="center"/>
    </xf>
    <xf numFmtId="0" fontId="3" fillId="27" borderId="18" xfId="0" applyFont="1" applyFill="1" applyBorder="1" applyAlignment="1"/>
    <xf numFmtId="168" fontId="15" fillId="27" borderId="18" xfId="0" applyNumberFormat="1" applyFont="1" applyFill="1" applyBorder="1" applyAlignment="1">
      <alignment horizontal="center"/>
    </xf>
    <xf numFmtId="186" fontId="15" fillId="27" borderId="18" xfId="0" applyNumberFormat="1" applyFont="1" applyFill="1" applyBorder="1" applyAlignment="1">
      <alignment horizontal="center"/>
    </xf>
    <xf numFmtId="4" fontId="12" fillId="27" borderId="18" xfId="0" applyNumberFormat="1" applyFont="1" applyFill="1" applyBorder="1" applyAlignment="1">
      <alignment horizontal="center"/>
    </xf>
    <xf numFmtId="0" fontId="12" fillId="27" borderId="17" xfId="0" applyFont="1" applyFill="1" applyBorder="1" applyAlignment="1">
      <alignment horizontal="left"/>
    </xf>
    <xf numFmtId="0" fontId="11" fillId="27" borderId="0" xfId="0" applyFont="1" applyFill="1" applyAlignment="1">
      <alignment horizontal="left" indent="1"/>
    </xf>
    <xf numFmtId="169" fontId="11" fillId="0" borderId="124" xfId="0" applyNumberFormat="1" applyFont="1" applyBorder="1" applyAlignment="1">
      <alignment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11" fillId="0" borderId="183" xfId="0" applyFont="1" applyBorder="1" applyAlignment="1">
      <alignment vertical="center"/>
    </xf>
    <xf numFmtId="0" fontId="11" fillId="0" borderId="131" xfId="0" applyFont="1" applyBorder="1" applyAlignment="1">
      <alignment vertical="center"/>
    </xf>
    <xf numFmtId="0" fontId="11" fillId="0" borderId="183" xfId="0" applyFont="1" applyFill="1" applyBorder="1" applyAlignment="1">
      <alignment vertical="center"/>
    </xf>
    <xf numFmtId="0" fontId="11" fillId="0" borderId="153" xfId="0" applyFont="1" applyBorder="1" applyAlignment="1">
      <alignment vertical="center"/>
    </xf>
    <xf numFmtId="0" fontId="11" fillId="0" borderId="186" xfId="0" applyFont="1" applyBorder="1" applyAlignment="1">
      <alignment vertical="center"/>
    </xf>
    <xf numFmtId="171" fontId="87" fillId="0" borderId="187" xfId="0" applyNumberFormat="1" applyFont="1" applyBorder="1" applyAlignment="1">
      <alignment horizontal="center" vertical="center"/>
    </xf>
    <xf numFmtId="171" fontId="87" fillId="0" borderId="84" xfId="0" applyNumberFormat="1" applyFont="1" applyBorder="1" applyAlignment="1">
      <alignment horizontal="center" vertical="center"/>
    </xf>
    <xf numFmtId="171" fontId="87" fillId="0" borderId="95" xfId="0" applyNumberFormat="1" applyFont="1" applyBorder="1" applyAlignment="1">
      <alignment horizontal="center" vertical="center"/>
    </xf>
    <xf numFmtId="171" fontId="87" fillId="0" borderId="84" xfId="0" applyNumberFormat="1" applyFont="1" applyFill="1" applyBorder="1" applyAlignment="1">
      <alignment horizontal="center" vertical="center"/>
    </xf>
    <xf numFmtId="171" fontId="87" fillId="0" borderId="94" xfId="0" applyNumberFormat="1" applyFont="1" applyBorder="1" applyAlignment="1">
      <alignment horizontal="center" vertical="center"/>
    </xf>
    <xf numFmtId="171" fontId="87" fillId="0" borderId="8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0" fontId="7" fillId="0" borderId="21" xfId="0" applyNumberFormat="1" applyFont="1" applyBorder="1" applyAlignment="1">
      <alignment horizontal="center" vertical="center"/>
    </xf>
    <xf numFmtId="170" fontId="7" fillId="0" borderId="123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0" xfId="0" applyFont="1" applyBorder="1" applyAlignment="1">
      <alignment horizontal="center" vertical="center"/>
    </xf>
    <xf numFmtId="49" fontId="23" fillId="0" borderId="53" xfId="0" applyNumberFormat="1" applyFont="1" applyBorder="1" applyAlignment="1">
      <alignment vertical="center"/>
    </xf>
    <xf numFmtId="49" fontId="125" fillId="0" borderId="57" xfId="0" applyNumberFormat="1" applyFont="1" applyBorder="1" applyAlignment="1">
      <alignment horizontal="center" vertical="center"/>
    </xf>
    <xf numFmtId="49" fontId="125" fillId="0" borderId="59" xfId="0" applyNumberFormat="1" applyFont="1" applyBorder="1" applyAlignment="1">
      <alignment horizontal="center" vertical="center"/>
    </xf>
    <xf numFmtId="49" fontId="131" fillId="16" borderId="59" xfId="0" applyNumberFormat="1" applyFont="1" applyFill="1" applyBorder="1" applyAlignment="1">
      <alignment horizontal="center" vertical="center"/>
    </xf>
    <xf numFmtId="49" fontId="125" fillId="16" borderId="59" xfId="0" applyNumberFormat="1" applyFont="1" applyFill="1" applyBorder="1" applyAlignment="1">
      <alignment horizontal="center" vertical="center"/>
    </xf>
    <xf numFmtId="49" fontId="125" fillId="16" borderId="67" xfId="0" applyNumberFormat="1" applyFont="1" applyFill="1" applyBorder="1" applyAlignment="1">
      <alignment horizontal="center" vertical="center"/>
    </xf>
    <xf numFmtId="49" fontId="144" fillId="0" borderId="6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/>
    <xf numFmtId="0" fontId="0" fillId="0" borderId="0" xfId="0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171" fontId="190" fillId="29" borderId="140" xfId="0" applyNumberFormat="1" applyFont="1" applyFill="1" applyBorder="1" applyAlignment="1">
      <alignment horizontal="center" vertical="center"/>
    </xf>
    <xf numFmtId="0" fontId="11" fillId="29" borderId="17" xfId="0" applyFont="1" applyFill="1" applyBorder="1" applyAlignment="1">
      <alignment vertical="center"/>
    </xf>
    <xf numFmtId="0" fontId="11" fillId="29" borderId="23" xfId="0" applyFont="1" applyFill="1" applyBorder="1" applyAlignment="1">
      <alignment vertical="center"/>
    </xf>
    <xf numFmtId="1" fontId="149" fillId="29" borderId="93" xfId="0" applyNumberFormat="1" applyFont="1" applyFill="1" applyBorder="1" applyAlignment="1">
      <alignment horizontal="center" vertical="center"/>
    </xf>
    <xf numFmtId="166" fontId="3" fillId="29" borderId="23" xfId="0" applyNumberFormat="1" applyFont="1" applyFill="1" applyBorder="1" applyAlignment="1">
      <alignment horizontal="center" vertical="center"/>
    </xf>
    <xf numFmtId="2" fontId="3" fillId="29" borderId="17" xfId="0" applyNumberFormat="1" applyFont="1" applyFill="1" applyBorder="1" applyAlignment="1">
      <alignment horizontal="center" vertical="center"/>
    </xf>
    <xf numFmtId="175" fontId="12" fillId="29" borderId="153" xfId="0" applyNumberFormat="1" applyFont="1" applyFill="1" applyBorder="1" applyAlignment="1">
      <alignment vertical="center"/>
    </xf>
    <xf numFmtId="4" fontId="12" fillId="29" borderId="0" xfId="0" applyNumberFormat="1" applyFont="1" applyFill="1" applyAlignment="1">
      <alignment vertical="center"/>
    </xf>
    <xf numFmtId="164" fontId="192" fillId="29" borderId="0" xfId="0" applyNumberFormat="1" applyFont="1" applyFill="1" applyAlignment="1">
      <alignment horizontal="right" vertical="center"/>
    </xf>
    <xf numFmtId="0" fontId="33" fillId="29" borderId="0" xfId="0" applyFont="1" applyFill="1"/>
    <xf numFmtId="0" fontId="11" fillId="29" borderId="0" xfId="0" applyFont="1" applyFill="1"/>
    <xf numFmtId="166" fontId="11" fillId="29" borderId="0" xfId="0" applyNumberFormat="1" applyFont="1" applyFill="1"/>
    <xf numFmtId="2" fontId="0" fillId="29" borderId="0" xfId="0" applyNumberFormat="1" applyFill="1"/>
    <xf numFmtId="0" fontId="37" fillId="30" borderId="92" xfId="0" applyFont="1" applyFill="1" applyBorder="1" applyAlignment="1">
      <alignment vertical="center"/>
    </xf>
    <xf numFmtId="0" fontId="11" fillId="30" borderId="23" xfId="0" applyFont="1" applyFill="1" applyBorder="1" applyAlignment="1">
      <alignment vertical="center"/>
    </xf>
    <xf numFmtId="0" fontId="37" fillId="30" borderId="96" xfId="0" applyFont="1" applyFill="1" applyBorder="1" applyAlignment="1">
      <alignment vertical="center"/>
    </xf>
    <xf numFmtId="0" fontId="150" fillId="0" borderId="172" xfId="0" applyFont="1" applyBorder="1" applyAlignment="1">
      <alignment horizontal="center" vertical="center"/>
    </xf>
    <xf numFmtId="0" fontId="257" fillId="0" borderId="19" xfId="0" applyFont="1" applyBorder="1" applyAlignment="1">
      <alignment horizontal="center" vertical="center"/>
    </xf>
    <xf numFmtId="0" fontId="257" fillId="0" borderId="4" xfId="0" applyFont="1" applyBorder="1" applyAlignment="1">
      <alignment horizontal="center" vertical="center"/>
    </xf>
    <xf numFmtId="0" fontId="257" fillId="0" borderId="12" xfId="0" applyFont="1" applyBorder="1" applyAlignment="1">
      <alignment horizontal="center" vertical="center"/>
    </xf>
    <xf numFmtId="0" fontId="257" fillId="0" borderId="170" xfId="0" applyFont="1" applyBorder="1" applyAlignment="1">
      <alignment horizontal="center" vertical="center"/>
    </xf>
    <xf numFmtId="0" fontId="258" fillId="0" borderId="63" xfId="0" applyFont="1" applyFill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0" fontId="127" fillId="0" borderId="123" xfId="0" applyNumberFormat="1" applyFont="1" applyBorder="1" applyAlignment="1">
      <alignment horizontal="center" vertical="center"/>
    </xf>
    <xf numFmtId="166" fontId="3" fillId="0" borderId="17" xfId="0" applyNumberFormat="1" applyFont="1" applyBorder="1" applyAlignment="1">
      <alignment horizontal="center" vertical="center"/>
    </xf>
    <xf numFmtId="4" fontId="69" fillId="0" borderId="140" xfId="0" applyNumberFormat="1" applyFont="1" applyBorder="1" applyAlignment="1">
      <alignment horizontal="center" vertical="center"/>
    </xf>
    <xf numFmtId="4" fontId="11" fillId="0" borderId="140" xfId="0" applyNumberFormat="1" applyFont="1" applyBorder="1" applyAlignment="1">
      <alignment horizontal="right" vertical="center"/>
    </xf>
    <xf numFmtId="179" fontId="11" fillId="21" borderId="157" xfId="0" applyNumberFormat="1" applyFont="1" applyFill="1" applyBorder="1" applyAlignment="1">
      <alignment horizontal="center" vertical="center"/>
    </xf>
    <xf numFmtId="4" fontId="25" fillId="0" borderId="157" xfId="0" applyNumberFormat="1" applyFont="1" applyBorder="1" applyAlignment="1">
      <alignment horizontal="right" vertical="center"/>
    </xf>
    <xf numFmtId="175" fontId="12" fillId="0" borderId="158" xfId="0" applyNumberFormat="1" applyFont="1" applyBorder="1" applyAlignment="1">
      <alignment vertical="center"/>
    </xf>
    <xf numFmtId="171" fontId="259" fillId="0" borderId="94" xfId="0" applyNumberFormat="1" applyFont="1" applyBorder="1" applyAlignment="1">
      <alignment horizontal="center" vertical="center"/>
    </xf>
    <xf numFmtId="37" fontId="260" fillId="0" borderId="56" xfId="0" applyNumberFormat="1" applyFont="1" applyBorder="1" applyAlignment="1">
      <alignment horizontal="center" vertical="center"/>
    </xf>
    <xf numFmtId="166" fontId="261" fillId="0" borderId="24" xfId="0" applyNumberFormat="1" applyFont="1" applyBorder="1" applyAlignment="1">
      <alignment horizontal="center" vertical="center"/>
    </xf>
    <xf numFmtId="2" fontId="261" fillId="0" borderId="19" xfId="0" applyNumberFormat="1" applyFont="1" applyBorder="1" applyAlignment="1">
      <alignment horizontal="center" vertical="center"/>
    </xf>
    <xf numFmtId="171" fontId="259" fillId="0" borderId="88" xfId="0" applyNumberFormat="1" applyFont="1" applyBorder="1" applyAlignment="1">
      <alignment horizontal="center" vertical="center"/>
    </xf>
    <xf numFmtId="0" fontId="263" fillId="0" borderId="19" xfId="0" applyFont="1" applyBorder="1" applyAlignment="1">
      <alignment horizontal="center" vertical="center"/>
    </xf>
    <xf numFmtId="49" fontId="262" fillId="0" borderId="19" xfId="0" applyNumberFormat="1" applyFont="1" applyBorder="1" applyAlignment="1">
      <alignment horizontal="center" vertical="center"/>
    </xf>
    <xf numFmtId="169" fontId="263" fillId="0" borderId="19" xfId="0" applyNumberFormat="1" applyFont="1" applyBorder="1" applyAlignment="1">
      <alignment horizontal="center" vertical="center"/>
    </xf>
    <xf numFmtId="0" fontId="263" fillId="0" borderId="87" xfId="0" applyFont="1" applyBorder="1" applyAlignment="1">
      <alignment horizontal="center" vertical="center"/>
    </xf>
    <xf numFmtId="49" fontId="262" fillId="0" borderId="87" xfId="0" applyNumberFormat="1" applyFont="1" applyBorder="1" applyAlignment="1">
      <alignment horizontal="center" vertical="center"/>
    </xf>
    <xf numFmtId="169" fontId="263" fillId="0" borderId="87" xfId="0" applyNumberFormat="1" applyFont="1" applyBorder="1" applyAlignment="1">
      <alignment horizontal="center" vertical="center"/>
    </xf>
    <xf numFmtId="0" fontId="264" fillId="0" borderId="0" xfId="0" applyFont="1" applyAlignment="1">
      <alignment horizontal="left"/>
    </xf>
    <xf numFmtId="0" fontId="3" fillId="0" borderId="17" xfId="0" applyFont="1" applyBorder="1" applyAlignment="1">
      <alignment horizontal="center" vertical="center"/>
    </xf>
    <xf numFmtId="169" fontId="11" fillId="0" borderId="0" xfId="0" applyNumberFormat="1" applyFont="1" applyBorder="1" applyAlignment="1">
      <alignment vertical="center"/>
    </xf>
    <xf numFmtId="0" fontId="0" fillId="0" borderId="153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14" fontId="0" fillId="0" borderId="0" xfId="0" applyNumberFormat="1" applyAlignment="1"/>
    <xf numFmtId="49" fontId="265" fillId="0" borderId="19" xfId="0" applyNumberFormat="1" applyFont="1" applyFill="1" applyBorder="1" applyAlignment="1">
      <alignment horizontal="center" vertical="center"/>
    </xf>
    <xf numFmtId="49" fontId="265" fillId="0" borderId="87" xfId="0" applyNumberFormat="1" applyFont="1" applyFill="1" applyBorder="1" applyAlignment="1">
      <alignment horizontal="center" vertical="center"/>
    </xf>
    <xf numFmtId="170" fontId="266" fillId="0" borderId="21" xfId="0" applyNumberFormat="1" applyFont="1" applyBorder="1" applyAlignment="1">
      <alignment horizontal="center" vertical="center"/>
    </xf>
    <xf numFmtId="170" fontId="267" fillId="0" borderId="21" xfId="0" applyNumberFormat="1" applyFont="1" applyBorder="1" applyAlignment="1">
      <alignment horizontal="center" vertical="center"/>
    </xf>
    <xf numFmtId="192" fontId="268" fillId="0" borderId="19" xfId="0" applyNumberFormat="1" applyFont="1" applyFill="1" applyBorder="1" applyAlignment="1">
      <alignment horizontal="center" vertical="center"/>
    </xf>
    <xf numFmtId="170" fontId="266" fillId="0" borderId="123" xfId="0" applyNumberFormat="1" applyFont="1" applyBorder="1" applyAlignment="1">
      <alignment horizontal="center" vertical="center"/>
    </xf>
    <xf numFmtId="170" fontId="267" fillId="0" borderId="123" xfId="0" applyNumberFormat="1" applyFont="1" applyBorder="1" applyAlignment="1">
      <alignment horizontal="center" vertical="center"/>
    </xf>
    <xf numFmtId="192" fontId="268" fillId="0" borderId="87" xfId="0" applyNumberFormat="1" applyFont="1" applyFill="1" applyBorder="1" applyAlignment="1">
      <alignment horizontal="center" vertical="center"/>
    </xf>
    <xf numFmtId="170" fontId="269" fillId="0" borderId="0" xfId="0" applyNumberFormat="1" applyFont="1" applyBorder="1"/>
    <xf numFmtId="49" fontId="270" fillId="0" borderId="0" xfId="0" applyNumberFormat="1" applyFont="1" applyBorder="1" applyAlignment="1">
      <alignment horizontal="center"/>
    </xf>
    <xf numFmtId="170" fontId="271" fillId="0" borderId="0" xfId="0" applyNumberFormat="1" applyFont="1" applyBorder="1"/>
    <xf numFmtId="49" fontId="265" fillId="0" borderId="0" xfId="0" applyNumberFormat="1" applyFont="1" applyBorder="1" applyAlignment="1">
      <alignment horizontal="center" vertical="center"/>
    </xf>
    <xf numFmtId="169" fontId="272" fillId="0" borderId="18" xfId="0" applyNumberFormat="1" applyFont="1" applyBorder="1" applyAlignment="1">
      <alignment horizontal="center"/>
    </xf>
    <xf numFmtId="170" fontId="263" fillId="0" borderId="0" xfId="0" applyNumberFormat="1" applyFont="1" applyBorder="1"/>
    <xf numFmtId="49" fontId="273" fillId="0" borderId="0" xfId="0" applyNumberFormat="1" applyFont="1" applyBorder="1" applyAlignment="1">
      <alignment horizontal="center"/>
    </xf>
    <xf numFmtId="170" fontId="274" fillId="0" borderId="0" xfId="0" applyNumberFormat="1" applyFont="1" applyBorder="1"/>
    <xf numFmtId="49" fontId="262" fillId="0" borderId="0" xfId="0" applyNumberFormat="1" applyFont="1" applyBorder="1" applyAlignment="1">
      <alignment horizontal="center" vertical="center"/>
    </xf>
    <xf numFmtId="169" fontId="275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7" fontId="260" fillId="0" borderId="62" xfId="0" applyNumberFormat="1" applyFont="1" applyBorder="1" applyAlignment="1">
      <alignment horizontal="center" vertical="center"/>
    </xf>
    <xf numFmtId="166" fontId="261" fillId="0" borderId="155" xfId="0" applyNumberFormat="1" applyFont="1" applyBorder="1" applyAlignment="1">
      <alignment horizontal="center" vertical="center"/>
    </xf>
    <xf numFmtId="2" fontId="261" fillId="0" borderId="63" xfId="0" applyNumberFormat="1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" fontId="37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" fillId="0" borderId="14" xfId="0" applyFont="1" applyBorder="1" applyAlignment="1"/>
    <xf numFmtId="49" fontId="270" fillId="28" borderId="0" xfId="0" applyNumberFormat="1" applyFont="1" applyFill="1" applyBorder="1" applyAlignment="1">
      <alignment horizontal="center"/>
    </xf>
    <xf numFmtId="171" fontId="276" fillId="0" borderId="95" xfId="0" applyNumberFormat="1" applyFont="1" applyBorder="1" applyAlignment="1">
      <alignment horizontal="center" vertical="center"/>
    </xf>
    <xf numFmtId="171" fontId="276" fillId="0" borderId="84" xfId="0" applyNumberFormat="1" applyFont="1" applyBorder="1" applyAlignment="1">
      <alignment horizontal="center" vertical="center"/>
    </xf>
    <xf numFmtId="171" fontId="276" fillId="0" borderId="84" xfId="0" applyNumberFormat="1" applyFont="1" applyFill="1" applyBorder="1" applyAlignment="1">
      <alignment horizontal="center" vertical="center"/>
    </xf>
    <xf numFmtId="171" fontId="276" fillId="0" borderId="94" xfId="0" applyNumberFormat="1" applyFont="1" applyBorder="1" applyAlignment="1">
      <alignment horizontal="center" vertical="center"/>
    </xf>
    <xf numFmtId="171" fontId="276" fillId="0" borderId="8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0" fontId="277" fillId="0" borderId="0" xfId="0" applyNumberFormat="1" applyFont="1" applyBorder="1"/>
    <xf numFmtId="49" fontId="278" fillId="0" borderId="0" xfId="0" applyNumberFormat="1" applyFont="1" applyBorder="1" applyAlignment="1">
      <alignment horizontal="center"/>
    </xf>
    <xf numFmtId="170" fontId="279" fillId="0" borderId="0" xfId="0" applyNumberFormat="1" applyFont="1" applyBorder="1"/>
    <xf numFmtId="49" fontId="280" fillId="0" borderId="0" xfId="0" applyNumberFormat="1" applyFont="1" applyBorder="1" applyAlignment="1">
      <alignment horizontal="center" vertical="center"/>
    </xf>
    <xf numFmtId="169" fontId="281" fillId="0" borderId="18" xfId="0" applyNumberFormat="1" applyFont="1" applyBorder="1" applyAlignment="1">
      <alignment horizontal="center"/>
    </xf>
    <xf numFmtId="170" fontId="277" fillId="0" borderId="20" xfId="0" applyNumberFormat="1" applyFont="1" applyBorder="1"/>
    <xf numFmtId="49" fontId="278" fillId="0" borderId="20" xfId="0" applyNumberFormat="1" applyFont="1" applyBorder="1" applyAlignment="1">
      <alignment horizontal="center"/>
    </xf>
    <xf numFmtId="170" fontId="279" fillId="0" borderId="20" xfId="0" applyNumberFormat="1" applyFont="1" applyBorder="1"/>
    <xf numFmtId="49" fontId="280" fillId="0" borderId="20" xfId="0" applyNumberFormat="1" applyFont="1" applyBorder="1" applyAlignment="1">
      <alignment horizontal="center" vertical="center"/>
    </xf>
    <xf numFmtId="169" fontId="281" fillId="0" borderId="21" xfId="0" applyNumberFormat="1" applyFont="1" applyBorder="1" applyAlignment="1">
      <alignment horizontal="center"/>
    </xf>
    <xf numFmtId="0" fontId="11" fillId="0" borderId="1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3" fontId="0" fillId="0" borderId="0" xfId="0" applyNumberFormat="1"/>
    <xf numFmtId="37" fontId="260" fillId="0" borderId="93" xfId="0" applyNumberFormat="1" applyFont="1" applyBorder="1" applyAlignment="1">
      <alignment horizontal="center" vertical="center"/>
    </xf>
    <xf numFmtId="166" fontId="261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5" fillId="28" borderId="0" xfId="0" applyFont="1" applyFill="1" applyBorder="1"/>
    <xf numFmtId="0" fontId="3" fillId="0" borderId="17" xfId="0" applyFont="1" applyBorder="1" applyAlignment="1">
      <alignment horizontal="center" vertical="center"/>
    </xf>
    <xf numFmtId="0" fontId="0" fillId="0" borderId="182" xfId="0" applyBorder="1" applyAlignment="1">
      <alignment horizontal="center"/>
    </xf>
    <xf numFmtId="0" fontId="0" fillId="0" borderId="4" xfId="0" applyBorder="1"/>
    <xf numFmtId="170" fontId="1" fillId="0" borderId="4" xfId="0" applyNumberFormat="1" applyFont="1" applyBorder="1" applyAlignment="1">
      <alignment horizontal="center" vertical="center"/>
    </xf>
    <xf numFmtId="0" fontId="282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4" xfId="0" applyFont="1" applyBorder="1"/>
    <xf numFmtId="0" fontId="3" fillId="0" borderId="17" xfId="0" applyFont="1" applyBorder="1" applyAlignment="1">
      <alignment horizontal="center" vertical="center"/>
    </xf>
    <xf numFmtId="0" fontId="150" fillId="0" borderId="28" xfId="0" applyFont="1" applyBorder="1" applyAlignment="1">
      <alignment horizontal="center" vertical="center"/>
    </xf>
    <xf numFmtId="170" fontId="9" fillId="0" borderId="30" xfId="0" applyNumberFormat="1" applyFont="1" applyBorder="1" applyAlignment="1">
      <alignment horizontal="center" vertical="center"/>
    </xf>
    <xf numFmtId="170" fontId="52" fillId="0" borderId="30" xfId="0" applyNumberFormat="1" applyFont="1" applyBorder="1" applyAlignment="1">
      <alignment horizontal="center" vertical="center"/>
    </xf>
    <xf numFmtId="172" fontId="146" fillId="0" borderId="28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169" fontId="11" fillId="0" borderId="28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171" fontId="11" fillId="0" borderId="28" xfId="0" applyNumberFormat="1" applyFont="1" applyBorder="1" applyAlignment="1">
      <alignment horizontal="center" vertical="center"/>
    </xf>
    <xf numFmtId="0" fontId="11" fillId="0" borderId="188" xfId="0" applyFont="1" applyBorder="1" applyAlignment="1">
      <alignment vertical="center"/>
    </xf>
    <xf numFmtId="170" fontId="50" fillId="0" borderId="19" xfId="0" applyNumberFormat="1" applyFont="1" applyBorder="1" applyAlignment="1">
      <alignment horizontal="center" vertical="center"/>
    </xf>
    <xf numFmtId="0" fontId="150" fillId="0" borderId="189" xfId="0" applyFont="1" applyBorder="1" applyAlignment="1">
      <alignment horizontal="center" vertical="center"/>
    </xf>
    <xf numFmtId="170" fontId="12" fillId="0" borderId="189" xfId="0" applyNumberFormat="1" applyFont="1" applyBorder="1" applyAlignment="1">
      <alignment horizontal="center" vertical="center"/>
    </xf>
    <xf numFmtId="170" fontId="50" fillId="0" borderId="189" xfId="0" applyNumberFormat="1" applyFont="1" applyBorder="1" applyAlignment="1">
      <alignment horizontal="center" vertical="center"/>
    </xf>
    <xf numFmtId="172" fontId="146" fillId="0" borderId="189" xfId="0" applyNumberFormat="1" applyFont="1" applyFill="1" applyBorder="1" applyAlignment="1">
      <alignment horizontal="center" vertical="center"/>
    </xf>
    <xf numFmtId="0" fontId="11" fillId="0" borderId="189" xfId="0" applyFont="1" applyBorder="1" applyAlignment="1">
      <alignment horizontal="center" vertical="center"/>
    </xf>
    <xf numFmtId="49" fontId="3" fillId="0" borderId="189" xfId="0" applyNumberFormat="1" applyFont="1" applyBorder="1" applyAlignment="1">
      <alignment horizontal="center" vertical="center"/>
    </xf>
    <xf numFmtId="169" fontId="11" fillId="0" borderId="189" xfId="0" applyNumberFormat="1" applyFont="1" applyBorder="1" applyAlignment="1">
      <alignment horizontal="center" vertical="center"/>
    </xf>
    <xf numFmtId="49" fontId="8" fillId="0" borderId="189" xfId="0" applyNumberFormat="1" applyFont="1" applyBorder="1" applyAlignment="1">
      <alignment horizontal="center" vertical="center"/>
    </xf>
    <xf numFmtId="171" fontId="87" fillId="0" borderId="189" xfId="0" applyNumberFormat="1" applyFont="1" applyBorder="1" applyAlignment="1">
      <alignment horizontal="center" vertical="center"/>
    </xf>
    <xf numFmtId="0" fontId="11" fillId="0" borderId="189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" fillId="0" borderId="19" xfId="0" applyFont="1" applyBorder="1" applyAlignment="1"/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76" fillId="0" borderId="0" xfId="0" applyFont="1" applyBorder="1" applyAlignment="1">
      <alignment horizontal="center" vertical="center" textRotation="255"/>
    </xf>
    <xf numFmtId="0" fontId="150" fillId="0" borderId="0" xfId="0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170" fontId="5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9" fontId="11" fillId="0" borderId="0" xfId="0" applyNumberFormat="1" applyFont="1" applyBorder="1" applyAlignment="1">
      <alignment horizontal="center" vertical="center"/>
    </xf>
    <xf numFmtId="171" fontId="87" fillId="0" borderId="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30" xfId="0" applyFont="1" applyBorder="1" applyAlignment="1"/>
    <xf numFmtId="0" fontId="3" fillId="0" borderId="17" xfId="0" applyFont="1" applyBorder="1" applyAlignment="1">
      <alignment horizontal="center" vertical="center"/>
    </xf>
    <xf numFmtId="0" fontId="28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0" xfId="0" applyBorder="1" applyAlignment="1">
      <alignment horizontal="center"/>
    </xf>
    <xf numFmtId="170" fontId="8" fillId="0" borderId="14" xfId="0" applyNumberFormat="1" applyFont="1" applyBorder="1" applyAlignment="1">
      <alignment horizontal="center" vertical="center"/>
    </xf>
    <xf numFmtId="170" fontId="50" fillId="0" borderId="14" xfId="0" applyNumberFormat="1" applyFont="1" applyBorder="1" applyAlignment="1">
      <alignment horizontal="center" vertical="center"/>
    </xf>
    <xf numFmtId="172" fontId="146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70" fontId="50" fillId="0" borderId="160" xfId="0" applyNumberFormat="1" applyFont="1" applyBorder="1" applyAlignment="1">
      <alignment horizontal="center" vertical="center"/>
    </xf>
    <xf numFmtId="172" fontId="146" fillId="0" borderId="89" xfId="0" applyNumberFormat="1" applyFont="1" applyFill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49" fontId="1" fillId="0" borderId="89" xfId="0" applyNumberFormat="1" applyFont="1" applyBorder="1" applyAlignment="1">
      <alignment horizontal="center" vertical="center"/>
    </xf>
    <xf numFmtId="169" fontId="11" fillId="0" borderId="89" xfId="0" applyNumberFormat="1" applyFont="1" applyBorder="1" applyAlignment="1">
      <alignment horizontal="center" vertical="center"/>
    </xf>
    <xf numFmtId="49" fontId="1" fillId="0" borderId="89" xfId="0" applyNumberFormat="1" applyFont="1" applyFill="1" applyBorder="1" applyAlignment="1">
      <alignment horizontal="center" vertical="center"/>
    </xf>
    <xf numFmtId="171" fontId="87" fillId="0" borderId="92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170" fontId="50" fillId="0" borderId="10" xfId="0" applyNumberFormat="1" applyFont="1" applyBorder="1" applyAlignment="1">
      <alignment horizontal="center" vertical="center"/>
    </xf>
    <xf numFmtId="170" fontId="8" fillId="0" borderId="193" xfId="0" applyNumberFormat="1" applyFont="1" applyBorder="1" applyAlignment="1">
      <alignment horizontal="center" vertical="center"/>
    </xf>
    <xf numFmtId="170" fontId="50" fillId="0" borderId="193" xfId="0" applyNumberFormat="1" applyFont="1" applyBorder="1" applyAlignment="1">
      <alignment horizontal="center" vertical="center"/>
    </xf>
    <xf numFmtId="172" fontId="146" fillId="0" borderId="192" xfId="0" applyNumberFormat="1" applyFont="1" applyFill="1" applyBorder="1" applyAlignment="1">
      <alignment horizontal="center" vertical="center"/>
    </xf>
    <xf numFmtId="0" fontId="11" fillId="0" borderId="192" xfId="0" applyFont="1" applyBorder="1" applyAlignment="1">
      <alignment horizontal="center" vertical="center"/>
    </xf>
    <xf numFmtId="49" fontId="3" fillId="0" borderId="192" xfId="0" applyNumberFormat="1" applyFont="1" applyBorder="1" applyAlignment="1">
      <alignment horizontal="center" vertical="center"/>
    </xf>
    <xf numFmtId="169" fontId="11" fillId="0" borderId="192" xfId="0" applyNumberFormat="1" applyFont="1" applyBorder="1" applyAlignment="1">
      <alignment horizontal="center" vertical="center"/>
    </xf>
    <xf numFmtId="49" fontId="1" fillId="0" borderId="192" xfId="0" applyNumberFormat="1" applyFont="1" applyFill="1" applyBorder="1" applyAlignment="1">
      <alignment horizontal="center" vertical="center"/>
    </xf>
    <xf numFmtId="171" fontId="87" fillId="0" borderId="194" xfId="0" applyNumberFormat="1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172" fontId="268" fillId="27" borderId="4" xfId="0" applyNumberFormat="1" applyFont="1" applyFill="1" applyBorder="1" applyAlignment="1">
      <alignment horizontal="center" vertical="center"/>
    </xf>
    <xf numFmtId="0" fontId="11" fillId="27" borderId="17" xfId="0" applyFont="1" applyFill="1" applyBorder="1" applyAlignment="1">
      <alignment horizontal="center" vertical="center"/>
    </xf>
    <xf numFmtId="49" fontId="3" fillId="27" borderId="17" xfId="0" applyNumberFormat="1" applyFont="1" applyFill="1" applyBorder="1" applyAlignment="1">
      <alignment horizontal="center" vertical="center"/>
    </xf>
    <xf numFmtId="169" fontId="11" fillId="27" borderId="12" xfId="0" applyNumberFormat="1" applyFont="1" applyFill="1" applyBorder="1" applyAlignment="1">
      <alignment horizontal="center" vertical="center"/>
    </xf>
    <xf numFmtId="49" fontId="3" fillId="27" borderId="19" xfId="0" applyNumberFormat="1" applyFont="1" applyFill="1" applyBorder="1" applyAlignment="1">
      <alignment horizontal="center" vertical="center"/>
    </xf>
    <xf numFmtId="171" fontId="276" fillId="27" borderId="95" xfId="0" applyNumberFormat="1" applyFont="1" applyFill="1" applyBorder="1" applyAlignment="1">
      <alignment horizontal="center" vertical="center"/>
    </xf>
    <xf numFmtId="0" fontId="11" fillId="27" borderId="131" xfId="0" applyFont="1" applyFill="1" applyBorder="1" applyAlignment="1">
      <alignment vertical="center"/>
    </xf>
    <xf numFmtId="0" fontId="11" fillId="27" borderId="4" xfId="0" applyFont="1" applyFill="1" applyBorder="1" applyAlignment="1">
      <alignment horizontal="center" vertical="center"/>
    </xf>
    <xf numFmtId="49" fontId="3" fillId="27" borderId="4" xfId="0" applyNumberFormat="1" applyFont="1" applyFill="1" applyBorder="1" applyAlignment="1">
      <alignment horizontal="center" vertical="center"/>
    </xf>
    <xf numFmtId="169" fontId="11" fillId="27" borderId="4" xfId="0" applyNumberFormat="1" applyFont="1" applyFill="1" applyBorder="1" applyAlignment="1">
      <alignment horizontal="center" vertical="center"/>
    </xf>
    <xf numFmtId="171" fontId="276" fillId="27" borderId="84" xfId="0" applyNumberFormat="1" applyFont="1" applyFill="1" applyBorder="1" applyAlignment="1">
      <alignment horizontal="center" vertical="center"/>
    </xf>
    <xf numFmtId="0" fontId="150" fillId="27" borderId="12" xfId="0" applyFont="1" applyFill="1" applyBorder="1" applyAlignment="1">
      <alignment horizontal="center" vertical="center"/>
    </xf>
    <xf numFmtId="170" fontId="8" fillId="27" borderId="18" xfId="0" applyNumberFormat="1" applyFont="1" applyFill="1" applyBorder="1" applyAlignment="1">
      <alignment horizontal="center" vertical="center"/>
    </xf>
    <xf numFmtId="170" fontId="50" fillId="27" borderId="18" xfId="0" applyNumberFormat="1" applyFont="1" applyFill="1" applyBorder="1" applyAlignment="1">
      <alignment horizontal="center" vertical="center"/>
    </xf>
    <xf numFmtId="0" fontId="150" fillId="27" borderId="4" xfId="0" applyFont="1" applyFill="1" applyBorder="1" applyAlignment="1">
      <alignment horizontal="center" vertical="center"/>
    </xf>
    <xf numFmtId="170" fontId="8" fillId="27" borderId="4" xfId="0" applyNumberFormat="1" applyFont="1" applyFill="1" applyBorder="1" applyAlignment="1">
      <alignment horizontal="center" vertical="center"/>
    </xf>
    <xf numFmtId="170" fontId="50" fillId="27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70" fontId="22" fillId="0" borderId="78" xfId="0" applyNumberFormat="1" applyFont="1" applyBorder="1" applyAlignment="1">
      <alignment horizontal="center" vertical="center"/>
    </xf>
    <xf numFmtId="170" fontId="11" fillId="0" borderId="4" xfId="0" applyNumberFormat="1" applyFont="1" applyBorder="1" applyAlignment="1">
      <alignment horizontal="center" vertical="center"/>
    </xf>
    <xf numFmtId="170" fontId="11" fillId="0" borderId="4" xfId="0" applyNumberFormat="1" applyFont="1" applyFill="1" applyBorder="1" applyAlignment="1">
      <alignment horizontal="center" vertical="center"/>
    </xf>
    <xf numFmtId="170" fontId="269" fillId="0" borderId="19" xfId="0" applyNumberFormat="1" applyFont="1" applyBorder="1" applyAlignment="1">
      <alignment horizontal="center" vertical="center"/>
    </xf>
    <xf numFmtId="170" fontId="269" fillId="0" borderId="87" xfId="0" applyNumberFormat="1" applyFont="1" applyBorder="1" applyAlignment="1">
      <alignment horizontal="center" vertical="center"/>
    </xf>
    <xf numFmtId="170" fontId="11" fillId="27" borderId="12" xfId="0" applyNumberFormat="1" applyFont="1" applyFill="1" applyBorder="1" applyAlignment="1">
      <alignment horizontal="center" vertical="center"/>
    </xf>
    <xf numFmtId="170" fontId="11" fillId="27" borderId="4" xfId="0" applyNumberFormat="1" applyFont="1" applyFill="1" applyBorder="1" applyAlignment="1">
      <alignment horizontal="center" vertical="center"/>
    </xf>
    <xf numFmtId="170" fontId="11" fillId="0" borderId="189" xfId="0" applyNumberFormat="1" applyFont="1" applyBorder="1" applyAlignment="1">
      <alignment horizontal="center" vertical="center"/>
    </xf>
    <xf numFmtId="170" fontId="11" fillId="0" borderId="28" xfId="0" applyNumberFormat="1" applyFont="1" applyBorder="1" applyAlignment="1">
      <alignment horizontal="center" vertical="center"/>
    </xf>
    <xf numFmtId="170" fontId="11" fillId="0" borderId="87" xfId="0" applyNumberFormat="1" applyFont="1" applyFill="1" applyBorder="1" applyAlignment="1">
      <alignment horizontal="center" vertical="center"/>
    </xf>
    <xf numFmtId="170" fontId="11" fillId="0" borderId="89" xfId="0" applyNumberFormat="1" applyFont="1" applyBorder="1" applyAlignment="1">
      <alignment horizontal="center" vertical="center"/>
    </xf>
    <xf numFmtId="170" fontId="11" fillId="0" borderId="192" xfId="0" applyNumberFormat="1" applyFont="1" applyBorder="1" applyAlignment="1">
      <alignment horizontal="center" vertical="center"/>
    </xf>
    <xf numFmtId="170" fontId="11" fillId="0" borderId="63" xfId="0" applyNumberFormat="1" applyFont="1" applyBorder="1" applyAlignment="1">
      <alignment horizontal="center" vertical="center"/>
    </xf>
    <xf numFmtId="170" fontId="11" fillId="0" borderId="0" xfId="0" applyNumberFormat="1" applyFont="1" applyBorder="1" applyAlignment="1">
      <alignment horizontal="center" vertical="center"/>
    </xf>
    <xf numFmtId="170" fontId="22" fillId="0" borderId="160" xfId="0" applyNumberFormat="1" applyFont="1" applyBorder="1" applyAlignment="1">
      <alignment horizontal="center" vertical="center"/>
    </xf>
    <xf numFmtId="170" fontId="11" fillId="0" borderId="136" xfId="0" applyNumberFormat="1" applyFont="1" applyBorder="1" applyAlignment="1">
      <alignment horizontal="center" vertical="center"/>
    </xf>
    <xf numFmtId="170" fontId="11" fillId="0" borderId="61" xfId="0" applyNumberFormat="1" applyFont="1" applyBorder="1" applyAlignment="1">
      <alignment horizontal="center" vertical="center"/>
    </xf>
    <xf numFmtId="170" fontId="22" fillId="0" borderId="19" xfId="0" applyNumberFormat="1" applyFont="1" applyBorder="1" applyAlignment="1">
      <alignment horizontal="center" vertical="center"/>
    </xf>
    <xf numFmtId="170" fontId="22" fillId="0" borderId="4" xfId="0" applyNumberFormat="1" applyFont="1" applyBorder="1" applyAlignment="1">
      <alignment horizontal="center" vertical="center"/>
    </xf>
    <xf numFmtId="170" fontId="22" fillId="0" borderId="12" xfId="0" applyNumberFormat="1" applyFont="1" applyBorder="1" applyAlignment="1">
      <alignment horizontal="center" vertical="center"/>
    </xf>
    <xf numFmtId="170" fontId="22" fillId="0" borderId="170" xfId="0" applyNumberFormat="1" applyFont="1" applyBorder="1" applyAlignment="1">
      <alignment horizontal="center" vertical="center"/>
    </xf>
    <xf numFmtId="170" fontId="11" fillId="0" borderId="63" xfId="0" applyNumberFormat="1" applyFont="1" applyFill="1" applyBorder="1" applyAlignment="1">
      <alignment horizontal="center" vertical="center"/>
    </xf>
    <xf numFmtId="170" fontId="22" fillId="0" borderId="172" xfId="0" applyNumberFormat="1" applyFont="1" applyBorder="1" applyAlignment="1">
      <alignment horizontal="center" vertical="center"/>
    </xf>
    <xf numFmtId="170" fontId="11" fillId="0" borderId="17" xfId="0" applyNumberFormat="1" applyFont="1" applyBorder="1" applyAlignment="1">
      <alignment horizontal="center" vertical="center"/>
    </xf>
    <xf numFmtId="170" fontId="11" fillId="0" borderId="0" xfId="0" applyNumberFormat="1" applyFont="1" applyFill="1" applyBorder="1" applyAlignment="1">
      <alignment horizontal="center" vertical="center"/>
    </xf>
    <xf numFmtId="170" fontId="11" fillId="0" borderId="91" xfId="0" applyNumberFormat="1" applyFont="1" applyFill="1" applyBorder="1" applyAlignment="1">
      <alignment horizontal="center" vertical="center"/>
    </xf>
    <xf numFmtId="170" fontId="22" fillId="0" borderId="87" xfId="0" applyNumberFormat="1" applyFont="1" applyBorder="1" applyAlignment="1">
      <alignment horizontal="center" vertical="center"/>
    </xf>
    <xf numFmtId="170" fontId="87" fillId="22" borderId="4" xfId="0" applyNumberFormat="1" applyFont="1" applyFill="1" applyBorder="1" applyAlignment="1">
      <alignment horizontal="center" vertical="center"/>
    </xf>
    <xf numFmtId="170" fontId="87" fillId="22" borderId="87" xfId="0" applyNumberFormat="1" applyFont="1" applyFill="1" applyBorder="1" applyAlignment="1">
      <alignment horizontal="center" vertical="center"/>
    </xf>
    <xf numFmtId="170" fontId="11" fillId="0" borderId="52" xfId="0" applyNumberFormat="1" applyFont="1" applyBorder="1" applyAlignment="1">
      <alignment horizontal="center" vertical="center"/>
    </xf>
    <xf numFmtId="170" fontId="11" fillId="0" borderId="146" xfId="0" applyNumberFormat="1" applyFont="1" applyBorder="1" applyAlignment="1">
      <alignment horizontal="center" vertical="center"/>
    </xf>
    <xf numFmtId="0" fontId="11" fillId="0" borderId="146" xfId="0" applyFont="1" applyBorder="1" applyAlignment="1">
      <alignment horizontal="center"/>
    </xf>
    <xf numFmtId="170" fontId="22" fillId="0" borderId="106" xfId="0" applyNumberFormat="1" applyFont="1" applyBorder="1" applyAlignment="1">
      <alignment horizontal="center" vertical="center"/>
    </xf>
    <xf numFmtId="170" fontId="36" fillId="0" borderId="91" xfId="0" applyNumberFormat="1" applyFont="1" applyBorder="1" applyAlignment="1">
      <alignment horizontal="center" vertical="center"/>
    </xf>
    <xf numFmtId="170" fontId="36" fillId="0" borderId="19" xfId="0" applyNumberFormat="1" applyFont="1" applyBorder="1" applyAlignment="1">
      <alignment horizontal="center" vertical="center"/>
    </xf>
    <xf numFmtId="170" fontId="36" fillId="0" borderId="117" xfId="0" applyNumberFormat="1" applyFont="1" applyBorder="1" applyAlignment="1">
      <alignment horizontal="center" vertical="center"/>
    </xf>
    <xf numFmtId="170" fontId="166" fillId="0" borderId="19" xfId="0" applyNumberFormat="1" applyFont="1" applyBorder="1" applyAlignment="1">
      <alignment horizontal="center" vertical="center"/>
    </xf>
    <xf numFmtId="170" fontId="166" fillId="0" borderId="87" xfId="0" applyNumberFormat="1" applyFont="1" applyBorder="1" applyAlignment="1">
      <alignment horizontal="center" vertical="center"/>
    </xf>
    <xf numFmtId="170" fontId="166" fillId="0" borderId="124" xfId="0" applyNumberFormat="1" applyFont="1" applyBorder="1" applyAlignment="1">
      <alignment horizontal="center" vertical="center"/>
    </xf>
    <xf numFmtId="0" fontId="87" fillId="0" borderId="63" xfId="0" applyFont="1" applyBorder="1" applyAlignment="1">
      <alignment horizontal="center" vertical="center"/>
    </xf>
    <xf numFmtId="0" fontId="173" fillId="0" borderId="125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170" fontId="11" fillId="21" borderId="91" xfId="0" applyNumberFormat="1" applyFont="1" applyFill="1" applyBorder="1" applyAlignment="1">
      <alignment horizontal="center" vertical="center"/>
    </xf>
    <xf numFmtId="170" fontId="11" fillId="21" borderId="149" xfId="0" applyNumberFormat="1" applyFont="1" applyFill="1" applyBorder="1" applyAlignment="1">
      <alignment horizontal="center" vertical="center"/>
    </xf>
    <xf numFmtId="170" fontId="11" fillId="21" borderId="19" xfId="0" applyNumberFormat="1" applyFont="1" applyFill="1" applyBorder="1" applyAlignment="1">
      <alignment horizontal="center" vertical="center"/>
    </xf>
    <xf numFmtId="170" fontId="11" fillId="21" borderId="87" xfId="0" applyNumberFormat="1" applyFont="1" applyFill="1" applyBorder="1" applyAlignment="1">
      <alignment horizontal="center" vertical="center"/>
    </xf>
    <xf numFmtId="170" fontId="22" fillId="0" borderId="77" xfId="0" applyNumberFormat="1" applyFont="1" applyBorder="1" applyAlignment="1">
      <alignment horizontal="left" vertical="center"/>
    </xf>
    <xf numFmtId="0" fontId="269" fillId="0" borderId="19" xfId="0" applyFont="1" applyBorder="1" applyAlignment="1">
      <alignment horizontal="center" vertical="center"/>
    </xf>
    <xf numFmtId="0" fontId="269" fillId="0" borderId="87" xfId="0" applyFont="1" applyBorder="1" applyAlignment="1">
      <alignment horizontal="center" vertical="center"/>
    </xf>
    <xf numFmtId="0" fontId="11" fillId="27" borderId="19" xfId="0" applyFont="1" applyFill="1" applyBorder="1" applyAlignment="1">
      <alignment horizontal="center" vertical="center"/>
    </xf>
    <xf numFmtId="170" fontId="22" fillId="0" borderId="89" xfId="0" applyNumberFormat="1" applyFont="1" applyBorder="1" applyAlignment="1">
      <alignment horizontal="left" vertical="center"/>
    </xf>
    <xf numFmtId="0" fontId="11" fillId="0" borderId="148" xfId="0" applyFont="1" applyBorder="1" applyAlignment="1">
      <alignment horizontal="center" vertical="center"/>
    </xf>
    <xf numFmtId="0" fontId="11" fillId="0" borderId="146" xfId="0" applyFont="1" applyBorder="1"/>
    <xf numFmtId="170" fontId="22" fillId="0" borderId="52" xfId="0" applyNumberFormat="1" applyFont="1" applyBorder="1" applyAlignment="1">
      <alignment horizontal="left" vertical="center"/>
    </xf>
    <xf numFmtId="0" fontId="36" fillId="0" borderId="91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17" xfId="0" applyFont="1" applyBorder="1" applyAlignment="1">
      <alignment horizontal="center" vertical="center"/>
    </xf>
    <xf numFmtId="0" fontId="166" fillId="0" borderId="19" xfId="0" applyFont="1" applyBorder="1" applyAlignment="1">
      <alignment horizontal="center" vertical="center"/>
    </xf>
    <xf numFmtId="0" fontId="166" fillId="0" borderId="87" xfId="0" applyFont="1" applyBorder="1" applyAlignment="1">
      <alignment horizontal="center" vertical="center"/>
    </xf>
    <xf numFmtId="0" fontId="166" fillId="0" borderId="124" xfId="0" applyFont="1" applyBorder="1" applyAlignment="1">
      <alignment horizontal="center" vertical="center"/>
    </xf>
    <xf numFmtId="0" fontId="11" fillId="21" borderId="91" xfId="0" applyFont="1" applyFill="1" applyBorder="1" applyAlignment="1">
      <alignment horizontal="center" vertical="center"/>
    </xf>
    <xf numFmtId="0" fontId="11" fillId="21" borderId="149" xfId="0" applyFont="1" applyFill="1" applyBorder="1" applyAlignment="1">
      <alignment horizontal="center" vertical="center"/>
    </xf>
    <xf numFmtId="0" fontId="11" fillId="21" borderId="19" xfId="0" applyFont="1" applyFill="1" applyBorder="1" applyAlignment="1">
      <alignment horizontal="center" vertical="center"/>
    </xf>
    <xf numFmtId="0" fontId="11" fillId="21" borderId="87" xfId="0" applyFont="1" applyFill="1" applyBorder="1" applyAlignment="1">
      <alignment horizontal="center" vertical="center"/>
    </xf>
    <xf numFmtId="0" fontId="11" fillId="0" borderId="186" xfId="0" applyFont="1" applyFill="1" applyBorder="1" applyAlignment="1">
      <alignment vertical="center"/>
    </xf>
    <xf numFmtId="171" fontId="87" fillId="0" borderId="139" xfId="0" applyNumberFormat="1" applyFont="1" applyBorder="1" applyAlignment="1">
      <alignment horizontal="center" vertical="center"/>
    </xf>
    <xf numFmtId="43" fontId="218" fillId="0" borderId="0" xfId="0" applyNumberFormat="1" applyFont="1" applyBorder="1" applyAlignment="1">
      <alignment horizontal="center"/>
    </xf>
    <xf numFmtId="0" fontId="1" fillId="27" borderId="20" xfId="0" applyFont="1" applyFill="1" applyBorder="1" applyAlignment="1">
      <alignment horizontal="center" vertical="center"/>
    </xf>
    <xf numFmtId="170" fontId="11" fillId="27" borderId="20" xfId="0" applyNumberFormat="1" applyFont="1" applyFill="1" applyBorder="1"/>
    <xf numFmtId="49" fontId="9" fillId="27" borderId="20" xfId="0" applyNumberFormat="1" applyFont="1" applyFill="1" applyBorder="1" applyAlignment="1">
      <alignment horizontal="center"/>
    </xf>
    <xf numFmtId="170" fontId="32" fillId="27" borderId="20" xfId="0" applyNumberFormat="1" applyFont="1" applyFill="1" applyBorder="1"/>
    <xf numFmtId="49" fontId="3" fillId="27" borderId="20" xfId="0" applyNumberFormat="1" applyFont="1" applyFill="1" applyBorder="1" applyAlignment="1">
      <alignment horizontal="center" vertical="center"/>
    </xf>
    <xf numFmtId="169" fontId="13" fillId="27" borderId="21" xfId="0" applyNumberFormat="1" applyFont="1" applyFill="1" applyBorder="1" applyAlignment="1">
      <alignment horizontal="center"/>
    </xf>
    <xf numFmtId="0" fontId="1" fillId="27" borderId="21" xfId="0" applyFont="1" applyFill="1" applyBorder="1" applyAlignment="1"/>
    <xf numFmtId="168" fontId="15" fillId="27" borderId="21" xfId="0" applyNumberFormat="1" applyFont="1" applyFill="1" applyBorder="1" applyAlignment="1">
      <alignment horizontal="center"/>
    </xf>
    <xf numFmtId="186" fontId="15" fillId="27" borderId="21" xfId="0" applyNumberFormat="1" applyFont="1" applyFill="1" applyBorder="1" applyAlignment="1">
      <alignment horizontal="center"/>
    </xf>
    <xf numFmtId="4" fontId="12" fillId="27" borderId="21" xfId="0" applyNumberFormat="1" applyFont="1" applyFill="1" applyBorder="1" applyAlignment="1">
      <alignment horizontal="center"/>
    </xf>
    <xf numFmtId="0" fontId="12" fillId="27" borderId="19" xfId="0" applyFont="1" applyFill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93" fontId="11" fillId="0" borderId="0" xfId="36" applyNumberFormat="1" applyFont="1" applyAlignment="1">
      <alignment horizontal="left" indent="1"/>
    </xf>
    <xf numFmtId="168" fontId="15" fillId="21" borderId="0" xfId="0" applyNumberFormat="1" applyFont="1" applyFill="1" applyBorder="1"/>
    <xf numFmtId="0" fontId="11" fillId="0" borderId="132" xfId="0" applyFont="1" applyBorder="1" applyAlignment="1">
      <alignment horizontal="center" vertical="center"/>
    </xf>
    <xf numFmtId="0" fontId="11" fillId="0" borderId="156" xfId="0" applyFont="1" applyBorder="1" applyAlignment="1">
      <alignment vertical="center"/>
    </xf>
    <xf numFmtId="170" fontId="7" fillId="0" borderId="160" xfId="0" applyNumberFormat="1" applyFont="1" applyBorder="1" applyAlignment="1">
      <alignment horizontal="center" vertical="center"/>
    </xf>
    <xf numFmtId="0" fontId="29" fillId="0" borderId="108" xfId="0" applyFont="1" applyBorder="1" applyAlignment="1">
      <alignment horizontal="center"/>
    </xf>
    <xf numFmtId="0" fontId="29" fillId="0" borderId="191" xfId="0" applyFont="1" applyBorder="1" applyAlignment="1">
      <alignment horizontal="center"/>
    </xf>
    <xf numFmtId="0" fontId="29" fillId="0" borderId="102" xfId="0" applyFont="1" applyBorder="1" applyAlignment="1">
      <alignment horizontal="center"/>
    </xf>
    <xf numFmtId="0" fontId="29" fillId="0" borderId="83" xfId="0" applyFont="1" applyBorder="1" applyAlignment="1">
      <alignment horizontal="center"/>
    </xf>
    <xf numFmtId="0" fontId="29" fillId="0" borderId="85" xfId="0" applyFont="1" applyBorder="1" applyAlignment="1">
      <alignment horizontal="center"/>
    </xf>
    <xf numFmtId="0" fontId="286" fillId="0" borderId="4" xfId="0" applyFont="1" applyBorder="1" applyAlignment="1">
      <alignment horizontal="center" vertical="center"/>
    </xf>
    <xf numFmtId="0" fontId="286" fillId="0" borderId="192" xfId="0" applyFont="1" applyBorder="1" applyAlignment="1">
      <alignment horizontal="center" vertical="center"/>
    </xf>
    <xf numFmtId="0" fontId="286" fillId="0" borderId="89" xfId="0" applyFont="1" applyBorder="1" applyAlignment="1">
      <alignment horizontal="center" vertical="center"/>
    </xf>
    <xf numFmtId="0" fontId="286" fillId="0" borderId="19" xfId="0" applyFont="1" applyBorder="1" applyAlignment="1">
      <alignment horizontal="center" vertical="center"/>
    </xf>
    <xf numFmtId="0" fontId="37" fillId="30" borderId="0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1" fontId="87" fillId="27" borderId="84" xfId="0" applyNumberFormat="1" applyFont="1" applyFill="1" applyBorder="1" applyAlignment="1">
      <alignment horizontal="center" vertical="center"/>
    </xf>
    <xf numFmtId="172" fontId="268" fillId="0" borderId="136" xfId="0" applyNumberFormat="1" applyFont="1" applyBorder="1" applyAlignment="1">
      <alignment horizontal="center" vertical="center"/>
    </xf>
    <xf numFmtId="49" fontId="265" fillId="0" borderId="4" xfId="0" applyNumberFormat="1" applyFont="1" applyBorder="1" applyAlignment="1">
      <alignment horizontal="center" vertical="center"/>
    </xf>
    <xf numFmtId="49" fontId="265" fillId="27" borderId="4" xfId="0" applyNumberFormat="1" applyFont="1" applyFill="1" applyBorder="1" applyAlignment="1">
      <alignment horizontal="center" vertical="center"/>
    </xf>
    <xf numFmtId="0" fontId="0" fillId="0" borderId="195" xfId="0" applyBorder="1" applyAlignment="1">
      <alignment horizontal="center"/>
    </xf>
    <xf numFmtId="170" fontId="8" fillId="0" borderId="117" xfId="0" applyNumberFormat="1" applyFont="1" applyFill="1" applyBorder="1" applyAlignment="1">
      <alignment horizontal="center" vertical="center"/>
    </xf>
    <xf numFmtId="170" fontId="50" fillId="0" borderId="117" xfId="0" applyNumberFormat="1" applyFont="1" applyFill="1" applyBorder="1" applyAlignment="1">
      <alignment horizontal="center" vertical="center"/>
    </xf>
    <xf numFmtId="170" fontId="11" fillId="0" borderId="117" xfId="0" applyNumberFormat="1" applyFont="1" applyFill="1" applyBorder="1" applyAlignment="1">
      <alignment horizontal="center" vertical="center"/>
    </xf>
    <xf numFmtId="172" fontId="146" fillId="0" borderId="117" xfId="0" applyNumberFormat="1" applyFont="1" applyFill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117" xfId="0" applyFont="1" applyFill="1" applyBorder="1" applyAlignment="1">
      <alignment horizontal="center" vertical="center"/>
    </xf>
    <xf numFmtId="49" fontId="1" fillId="0" borderId="117" xfId="0" applyNumberFormat="1" applyFont="1" applyFill="1" applyBorder="1" applyAlignment="1">
      <alignment horizontal="center" vertical="center"/>
    </xf>
    <xf numFmtId="169" fontId="11" fillId="0" borderId="117" xfId="0" applyNumberFormat="1" applyFont="1" applyFill="1" applyBorder="1" applyAlignment="1">
      <alignment horizontal="center" vertical="center"/>
    </xf>
    <xf numFmtId="49" fontId="1" fillId="0" borderId="196" xfId="0" applyNumberFormat="1" applyFont="1" applyFill="1" applyBorder="1" applyAlignment="1">
      <alignment horizontal="center" vertical="center"/>
    </xf>
    <xf numFmtId="171" fontId="87" fillId="0" borderId="119" xfId="0" applyNumberFormat="1" applyFont="1" applyFill="1" applyBorder="1" applyAlignment="1">
      <alignment horizontal="center" vertical="center"/>
    </xf>
    <xf numFmtId="170" fontId="8" fillId="0" borderId="19" xfId="0" applyNumberFormat="1" applyFont="1" applyFill="1" applyBorder="1" applyAlignment="1">
      <alignment horizontal="center" vertical="center"/>
    </xf>
    <xf numFmtId="170" fontId="50" fillId="0" borderId="19" xfId="0" applyNumberFormat="1" applyFont="1" applyFill="1" applyBorder="1" applyAlignment="1">
      <alignment horizontal="center" vertical="center"/>
    </xf>
    <xf numFmtId="170" fontId="11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69" fontId="11" fillId="0" borderId="19" xfId="0" applyNumberFormat="1" applyFont="1" applyFill="1" applyBorder="1" applyAlignment="1">
      <alignment horizontal="center" vertical="center"/>
    </xf>
    <xf numFmtId="171" fontId="87" fillId="0" borderId="94" xfId="0" applyNumberFormat="1" applyFont="1" applyFill="1" applyBorder="1" applyAlignment="1">
      <alignment horizontal="center" vertical="center"/>
    </xf>
    <xf numFmtId="170" fontId="50" fillId="0" borderId="197" xfId="0" applyNumberFormat="1" applyFont="1" applyBorder="1" applyAlignment="1">
      <alignment horizontal="center" vertical="center"/>
    </xf>
    <xf numFmtId="0" fontId="11" fillId="0" borderId="196" xfId="0" applyFont="1" applyBorder="1" applyAlignment="1">
      <alignment horizontal="center" vertical="center"/>
    </xf>
    <xf numFmtId="49" fontId="1" fillId="0" borderId="117" xfId="0" applyNumberFormat="1" applyFont="1" applyBorder="1" applyAlignment="1">
      <alignment horizontal="center" vertical="center"/>
    </xf>
    <xf numFmtId="169" fontId="11" fillId="0" borderId="117" xfId="0" applyNumberFormat="1" applyFont="1" applyBorder="1" applyAlignment="1">
      <alignment horizontal="center" vertical="center"/>
    </xf>
    <xf numFmtId="0" fontId="29" fillId="0" borderId="195" xfId="0" applyFont="1" applyBorder="1" applyAlignment="1">
      <alignment horizontal="center"/>
    </xf>
    <xf numFmtId="0" fontId="286" fillId="0" borderId="117" xfId="0" applyFont="1" applyBorder="1" applyAlignment="1">
      <alignment horizontal="center" vertical="center"/>
    </xf>
    <xf numFmtId="170" fontId="8" fillId="0" borderId="117" xfId="0" applyNumberFormat="1" applyFont="1" applyBorder="1" applyAlignment="1">
      <alignment horizontal="center" vertical="center"/>
    </xf>
    <xf numFmtId="170" fontId="50" fillId="0" borderId="117" xfId="0" applyNumberFormat="1" applyFont="1" applyBorder="1" applyAlignment="1">
      <alignment horizontal="center" vertical="center"/>
    </xf>
    <xf numFmtId="170" fontId="11" fillId="0" borderId="117" xfId="0" applyNumberFormat="1" applyFont="1" applyBorder="1" applyAlignment="1">
      <alignment horizontal="center" vertical="center"/>
    </xf>
    <xf numFmtId="172" fontId="268" fillId="27" borderId="117" xfId="0" applyNumberFormat="1" applyFont="1" applyFill="1" applyBorder="1" applyAlignment="1">
      <alignment horizontal="center" vertical="center"/>
    </xf>
    <xf numFmtId="49" fontId="3" fillId="0" borderId="117" xfId="0" applyNumberFormat="1" applyFont="1" applyBorder="1" applyAlignment="1">
      <alignment horizontal="center" vertical="center"/>
    </xf>
    <xf numFmtId="49" fontId="265" fillId="27" borderId="117" xfId="0" applyNumberFormat="1" applyFont="1" applyFill="1" applyBorder="1" applyAlignment="1">
      <alignment horizontal="center" vertical="center"/>
    </xf>
    <xf numFmtId="171" fontId="87" fillId="27" borderId="119" xfId="0" applyNumberFormat="1" applyFont="1" applyFill="1" applyBorder="1" applyAlignment="1">
      <alignment horizontal="center" vertical="center"/>
    </xf>
    <xf numFmtId="0" fontId="250" fillId="0" borderId="19" xfId="0" applyFont="1" applyFill="1" applyBorder="1" applyAlignment="1">
      <alignment horizontal="center" vertical="center"/>
    </xf>
    <xf numFmtId="0" fontId="250" fillId="0" borderId="1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68" fillId="0" borderId="19" xfId="0" applyFont="1" applyBorder="1" applyAlignment="1">
      <alignment horizontal="center"/>
    </xf>
    <xf numFmtId="0" fontId="268" fillId="0" borderId="196" xfId="0" applyFont="1" applyBorder="1" applyAlignment="1">
      <alignment horizontal="center"/>
    </xf>
    <xf numFmtId="0" fontId="37" fillId="0" borderId="23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171" fontId="11" fillId="0" borderId="94" xfId="0" applyNumberFormat="1" applyFont="1" applyBorder="1" applyAlignment="1">
      <alignment horizontal="center" vertical="center"/>
    </xf>
    <xf numFmtId="171" fontId="11" fillId="0" borderId="88" xfId="0" applyNumberFormat="1" applyFont="1" applyBorder="1" applyAlignment="1">
      <alignment horizontal="center" vertical="center"/>
    </xf>
    <xf numFmtId="170" fontId="292" fillId="0" borderId="78" xfId="0" applyNumberFormat="1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50" fillId="0" borderId="192" xfId="0" applyFont="1" applyBorder="1" applyAlignment="1">
      <alignment horizontal="center" vertical="center"/>
    </xf>
    <xf numFmtId="49" fontId="3" fillId="0" borderId="192" xfId="0" applyNumberFormat="1" applyFont="1" applyFill="1" applyBorder="1" applyAlignment="1">
      <alignment horizontal="center" vertical="center"/>
    </xf>
    <xf numFmtId="0" fontId="11" fillId="0" borderId="198" xfId="0" applyFont="1" applyBorder="1" applyAlignment="1">
      <alignment vertical="center"/>
    </xf>
    <xf numFmtId="166" fontId="1" fillId="0" borderId="2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166" fontId="1" fillId="0" borderId="155" xfId="0" applyNumberFormat="1" applyFont="1" applyBorder="1" applyAlignment="1">
      <alignment horizontal="center" vertical="center"/>
    </xf>
    <xf numFmtId="2" fontId="1" fillId="0" borderId="63" xfId="0" applyNumberFormat="1" applyFont="1" applyBorder="1" applyAlignment="1">
      <alignment horizontal="center" vertical="center"/>
    </xf>
    <xf numFmtId="166" fontId="1" fillId="0" borderId="17" xfId="0" applyNumberFormat="1" applyFont="1" applyBorder="1" applyAlignment="1">
      <alignment horizontal="center" vertical="center"/>
    </xf>
    <xf numFmtId="170" fontId="7" fillId="0" borderId="193" xfId="0" applyNumberFormat="1" applyFont="1" applyBorder="1" applyAlignment="1">
      <alignment horizontal="center" vertical="center"/>
    </xf>
    <xf numFmtId="170" fontId="7" fillId="0" borderId="18" xfId="0" applyNumberFormat="1" applyFont="1" applyBorder="1" applyAlignment="1">
      <alignment horizontal="center" vertical="center"/>
    </xf>
    <xf numFmtId="170" fontId="7" fillId="0" borderId="4" xfId="0" applyNumberFormat="1" applyFont="1" applyBorder="1" applyAlignment="1">
      <alignment horizontal="center" vertical="center"/>
    </xf>
    <xf numFmtId="170" fontId="7" fillId="0" borderId="4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32" borderId="0" xfId="0" applyFont="1" applyFill="1" applyAlignment="1">
      <alignment horizontal="center"/>
    </xf>
    <xf numFmtId="170" fontId="11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/>
    <xf numFmtId="0" fontId="11" fillId="32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0" fontId="12" fillId="0" borderId="4" xfId="0" applyFont="1" applyBorder="1" applyAlignment="1">
      <alignment horizontal="center"/>
    </xf>
    <xf numFmtId="170" fontId="26" fillId="0" borderId="22" xfId="0" applyNumberFormat="1" applyFont="1" applyBorder="1"/>
    <xf numFmtId="0" fontId="193" fillId="0" borderId="76" xfId="0" applyFont="1" applyBorder="1" applyAlignment="1">
      <alignment horizontal="center" vertical="center"/>
    </xf>
    <xf numFmtId="0" fontId="252" fillId="0" borderId="4" xfId="0" applyFont="1" applyBorder="1" applyAlignment="1">
      <alignment horizontal="center" vertical="center"/>
    </xf>
    <xf numFmtId="16" fontId="12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9" fontId="293" fillId="28" borderId="124" xfId="0" applyNumberFormat="1" applyFont="1" applyFill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166" fontId="1" fillId="0" borderId="89" xfId="0" applyNumberFormat="1" applyFont="1" applyBorder="1" applyAlignment="1">
      <alignment horizontal="center" vertical="center"/>
    </xf>
    <xf numFmtId="0" fontId="146" fillId="0" borderId="15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50" fillId="0" borderId="20" xfId="0" applyFont="1" applyBorder="1" applyAlignment="1">
      <alignment horizontal="center" vertical="center"/>
    </xf>
    <xf numFmtId="170" fontId="7" fillId="0" borderId="20" xfId="0" applyNumberFormat="1" applyFont="1" applyBorder="1" applyAlignment="1">
      <alignment horizontal="center" vertical="center"/>
    </xf>
    <xf numFmtId="170" fontId="50" fillId="0" borderId="20" xfId="0" applyNumberFormat="1" applyFont="1" applyBorder="1" applyAlignment="1">
      <alignment horizontal="center" vertical="center"/>
    </xf>
    <xf numFmtId="170" fontId="11" fillId="0" borderId="20" xfId="0" applyNumberFormat="1" applyFont="1" applyBorder="1" applyAlignment="1">
      <alignment horizontal="center" vertical="center"/>
    </xf>
    <xf numFmtId="172" fontId="146" fillId="0" borderId="20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69" fontId="11" fillId="0" borderId="20" xfId="0" applyNumberFormat="1" applyFont="1" applyBorder="1" applyAlignment="1">
      <alignment horizontal="center" vertical="center"/>
    </xf>
    <xf numFmtId="171" fontId="87" fillId="0" borderId="20" xfId="0" applyNumberFormat="1" applyFont="1" applyBorder="1" applyAlignment="1">
      <alignment horizontal="center" vertical="center"/>
    </xf>
    <xf numFmtId="0" fontId="286" fillId="0" borderId="12" xfId="0" applyFont="1" applyBorder="1" applyAlignment="1">
      <alignment horizontal="center" vertical="center"/>
    </xf>
    <xf numFmtId="0" fontId="84" fillId="0" borderId="39" xfId="0" applyFont="1" applyBorder="1" applyAlignment="1">
      <alignment horizontal="center" vertical="center"/>
    </xf>
    <xf numFmtId="0" fontId="250" fillId="0" borderId="4" xfId="0" applyFont="1" applyFill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37" fillId="0" borderId="124" xfId="0" applyFont="1" applyBorder="1" applyAlignment="1">
      <alignment vertical="center"/>
    </xf>
    <xf numFmtId="2" fontId="1" fillId="0" borderId="89" xfId="0" applyNumberFormat="1" applyFont="1" applyBorder="1" applyAlignment="1">
      <alignment horizontal="center" vertical="center"/>
    </xf>
    <xf numFmtId="0" fontId="193" fillId="0" borderId="124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31" borderId="17" xfId="0" applyFont="1" applyFill="1" applyBorder="1" applyAlignment="1">
      <alignment horizontal="center" vertical="center"/>
    </xf>
    <xf numFmtId="0" fontId="3" fillId="31" borderId="19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192" fontId="146" fillId="0" borderId="4" xfId="0" applyNumberFormat="1" applyFont="1" applyFill="1" applyBorder="1" applyAlignment="1">
      <alignment horizontal="center" vertical="center"/>
    </xf>
    <xf numFmtId="192" fontId="146" fillId="0" borderId="87" xfId="0" applyNumberFormat="1" applyFont="1" applyFill="1" applyBorder="1" applyAlignment="1">
      <alignment horizontal="center" vertical="center"/>
    </xf>
    <xf numFmtId="170" fontId="193" fillId="0" borderId="19" xfId="0" applyNumberFormat="1" applyFont="1" applyBorder="1" applyAlignment="1">
      <alignment horizontal="center" vertical="center"/>
    </xf>
    <xf numFmtId="170" fontId="193" fillId="0" borderId="8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50" fillId="0" borderId="19" xfId="0" applyFont="1" applyFill="1" applyBorder="1" applyAlignment="1">
      <alignment horizontal="center" vertical="center"/>
    </xf>
    <xf numFmtId="0" fontId="11" fillId="0" borderId="158" xfId="0" applyFont="1" applyFill="1" applyBorder="1" applyAlignment="1">
      <alignment vertical="center"/>
    </xf>
    <xf numFmtId="170" fontId="8" fillId="0" borderId="87" xfId="0" applyNumberFormat="1" applyFont="1" applyBorder="1" applyAlignment="1">
      <alignment horizontal="center" vertical="center"/>
    </xf>
    <xf numFmtId="170" fontId="50" fillId="0" borderId="87" xfId="0" applyNumberFormat="1" applyFont="1" applyBorder="1" applyAlignment="1">
      <alignment horizontal="center" vertical="center"/>
    </xf>
    <xf numFmtId="170" fontId="8" fillId="0" borderId="87" xfId="0" applyNumberFormat="1" applyFont="1" applyFill="1" applyBorder="1" applyAlignment="1">
      <alignment horizontal="center" vertical="center"/>
    </xf>
    <xf numFmtId="171" fontId="87" fillId="0" borderId="88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6" fontId="261" fillId="0" borderId="23" xfId="0" applyNumberFormat="1" applyFont="1" applyBorder="1" applyAlignment="1">
      <alignment horizontal="center" vertical="center"/>
    </xf>
    <xf numFmtId="2" fontId="261" fillId="0" borderId="17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0" xfId="0" applyFont="1" applyBorder="1" applyAlignment="1"/>
    <xf numFmtId="0" fontId="280" fillId="0" borderId="0" xfId="0" applyFont="1" applyBorder="1" applyAlignment="1">
      <alignment horizontal="center" vertical="center"/>
    </xf>
    <xf numFmtId="0" fontId="280" fillId="0" borderId="18" xfId="0" applyFont="1" applyBorder="1" applyAlignment="1"/>
    <xf numFmtId="168" fontId="281" fillId="0" borderId="18" xfId="0" applyNumberFormat="1" applyFont="1" applyBorder="1" applyAlignment="1">
      <alignment horizontal="center"/>
    </xf>
    <xf numFmtId="186" fontId="281" fillId="0" borderId="18" xfId="0" applyNumberFormat="1" applyFont="1" applyBorder="1" applyAlignment="1">
      <alignment horizontal="center"/>
    </xf>
    <xf numFmtId="4" fontId="294" fillId="0" borderId="18" xfId="0" applyNumberFormat="1" applyFont="1" applyBorder="1" applyAlignment="1">
      <alignment horizontal="center"/>
    </xf>
    <xf numFmtId="0" fontId="294" fillId="0" borderId="17" xfId="0" applyFont="1" applyFill="1" applyBorder="1" applyAlignment="1">
      <alignment horizontal="left"/>
    </xf>
    <xf numFmtId="0" fontId="277" fillId="0" borderId="0" xfId="0" applyFont="1" applyAlignment="1">
      <alignment horizontal="left" indent="1"/>
    </xf>
    <xf numFmtId="0" fontId="280" fillId="0" borderId="20" xfId="0" applyFont="1" applyBorder="1" applyAlignment="1">
      <alignment horizontal="center" vertical="center"/>
    </xf>
    <xf numFmtId="0" fontId="280" fillId="0" borderId="21" xfId="0" applyFont="1" applyBorder="1" applyAlignment="1"/>
    <xf numFmtId="168" fontId="281" fillId="0" borderId="21" xfId="0" applyNumberFormat="1" applyFont="1" applyBorder="1" applyAlignment="1">
      <alignment horizontal="center"/>
    </xf>
    <xf numFmtId="186" fontId="281" fillId="0" borderId="21" xfId="0" applyNumberFormat="1" applyFont="1" applyBorder="1" applyAlignment="1">
      <alignment horizontal="center"/>
    </xf>
    <xf numFmtId="4" fontId="294" fillId="0" borderId="21" xfId="0" applyNumberFormat="1" applyFont="1" applyBorder="1" applyAlignment="1">
      <alignment horizontal="center"/>
    </xf>
    <xf numFmtId="0" fontId="294" fillId="0" borderId="19" xfId="0" applyFont="1" applyFill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0" fillId="0" borderId="157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9" xfId="0" applyBorder="1"/>
    <xf numFmtId="0" fontId="1" fillId="0" borderId="19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282" fillId="0" borderId="61" xfId="0" applyFont="1" applyBorder="1" applyAlignment="1">
      <alignment horizontal="center"/>
    </xf>
    <xf numFmtId="0" fontId="1" fillId="0" borderId="61" xfId="0" applyFont="1" applyBorder="1"/>
    <xf numFmtId="0" fontId="1" fillId="0" borderId="61" xfId="0" applyFont="1" applyBorder="1" applyAlignment="1">
      <alignment horizontal="center"/>
    </xf>
    <xf numFmtId="0" fontId="0" fillId="0" borderId="61" xfId="0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172" fontId="146" fillId="0" borderId="61" xfId="0" applyNumberFormat="1" applyFont="1" applyFill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/>
    </xf>
    <xf numFmtId="49" fontId="1" fillId="0" borderId="61" xfId="0" applyNumberFormat="1" applyFont="1" applyFill="1" applyBorder="1" applyAlignment="1">
      <alignment horizontal="center" vertical="center"/>
    </xf>
    <xf numFmtId="171" fontId="87" fillId="0" borderId="61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170" fontId="22" fillId="0" borderId="78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169" fontId="11" fillId="0" borderId="12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7" fillId="28" borderId="0" xfId="0" applyFont="1" applyFill="1" applyBorder="1" applyAlignment="1">
      <alignment vertical="center"/>
    </xf>
    <xf numFmtId="0" fontId="149" fillId="28" borderId="93" xfId="0" applyFont="1" applyFill="1" applyBorder="1" applyAlignment="1">
      <alignment horizontal="center" vertical="center"/>
    </xf>
    <xf numFmtId="166" fontId="3" fillId="28" borderId="23" xfId="0" applyNumberFormat="1" applyFont="1" applyFill="1" applyBorder="1" applyAlignment="1">
      <alignment horizontal="center" vertical="center"/>
    </xf>
    <xf numFmtId="4" fontId="11" fillId="28" borderId="140" xfId="0" applyNumberFormat="1" applyFont="1" applyFill="1" applyBorder="1" applyAlignment="1">
      <alignment horizontal="center" vertical="center"/>
    </xf>
    <xf numFmtId="0" fontId="11" fillId="28" borderId="139" xfId="0" applyFont="1" applyFill="1" applyBorder="1" applyAlignment="1">
      <alignment vertical="center"/>
    </xf>
    <xf numFmtId="1" fontId="18" fillId="28" borderId="93" xfId="0" applyNumberFormat="1" applyFont="1" applyFill="1" applyBorder="1" applyAlignment="1">
      <alignment horizontal="center" vertical="center"/>
    </xf>
    <xf numFmtId="168" fontId="11" fillId="0" borderId="14" xfId="0" applyNumberFormat="1" applyFont="1" applyBorder="1" applyAlignment="1">
      <alignment horizontal="center"/>
    </xf>
    <xf numFmtId="168" fontId="11" fillId="20" borderId="16" xfId="0" applyNumberFormat="1" applyFont="1" applyFill="1" applyBorder="1" applyAlignment="1">
      <alignment horizontal="center"/>
    </xf>
    <xf numFmtId="168" fontId="11" fillId="0" borderId="18" xfId="0" applyNumberFormat="1" applyFont="1" applyBorder="1" applyAlignment="1">
      <alignment horizontal="center"/>
    </xf>
    <xf numFmtId="168" fontId="11" fillId="0" borderId="21" xfId="0" applyNumberFormat="1" applyFont="1" applyBorder="1" applyAlignment="1">
      <alignment horizontal="center"/>
    </xf>
    <xf numFmtId="168" fontId="11" fillId="0" borderId="10" xfId="0" applyNumberFormat="1" applyFont="1" applyBorder="1" applyAlignment="1">
      <alignment horizontal="center"/>
    </xf>
    <xf numFmtId="168" fontId="277" fillId="0" borderId="18" xfId="0" applyNumberFormat="1" applyFont="1" applyBorder="1" applyAlignment="1">
      <alignment horizontal="center"/>
    </xf>
    <xf numFmtId="168" fontId="277" fillId="0" borderId="21" xfId="0" applyNumberFormat="1" applyFont="1" applyBorder="1" applyAlignment="1">
      <alignment horizontal="center"/>
    </xf>
    <xf numFmtId="168" fontId="295" fillId="0" borderId="18" xfId="0" applyNumberFormat="1" applyFont="1" applyBorder="1" applyAlignment="1">
      <alignment horizontal="center"/>
    </xf>
    <xf numFmtId="168" fontId="295" fillId="27" borderId="21" xfId="0" applyNumberFormat="1" applyFont="1" applyFill="1" applyBorder="1" applyAlignment="1">
      <alignment horizontal="center"/>
    </xf>
    <xf numFmtId="168" fontId="11" fillId="0" borderId="30" xfId="0" applyNumberFormat="1" applyFont="1" applyBorder="1" applyAlignment="1">
      <alignment horizontal="center"/>
    </xf>
    <xf numFmtId="168" fontId="22" fillId="0" borderId="18" xfId="0" applyNumberFormat="1" applyFont="1" applyBorder="1" applyAlignment="1">
      <alignment horizontal="center"/>
    </xf>
    <xf numFmtId="168" fontId="11" fillId="0" borderId="21" xfId="0" applyNumberFormat="1" applyFont="1" applyFill="1" applyBorder="1" applyAlignment="1">
      <alignment horizontal="center"/>
    </xf>
    <xf numFmtId="168" fontId="11" fillId="0" borderId="38" xfId="0" applyNumberFormat="1" applyFont="1" applyBorder="1" applyAlignment="1">
      <alignment horizontal="center"/>
    </xf>
    <xf numFmtId="168" fontId="11" fillId="0" borderId="17" xfId="0" applyNumberFormat="1" applyFont="1" applyBorder="1" applyAlignment="1">
      <alignment horizontal="center"/>
    </xf>
    <xf numFmtId="168" fontId="11" fillId="27" borderId="18" xfId="0" applyNumberFormat="1" applyFont="1" applyFill="1" applyBorder="1" applyAlignment="1">
      <alignment horizontal="center"/>
    </xf>
    <xf numFmtId="168" fontId="11" fillId="0" borderId="34" xfId="0" applyNumberFormat="1" applyFont="1" applyBorder="1" applyAlignment="1">
      <alignment horizontal="center"/>
    </xf>
    <xf numFmtId="168" fontId="11" fillId="18" borderId="21" xfId="0" applyNumberFormat="1" applyFont="1" applyFill="1" applyBorder="1" applyAlignment="1">
      <alignment horizontal="center"/>
    </xf>
    <xf numFmtId="168" fontId="11" fillId="0" borderId="27" xfId="0" applyNumberFormat="1" applyFont="1" applyBorder="1" applyAlignment="1">
      <alignment horizontal="center"/>
    </xf>
    <xf numFmtId="168" fontId="11" fillId="18" borderId="18" xfId="0" applyNumberFormat="1" applyFont="1" applyFill="1" applyBorder="1" applyAlignment="1">
      <alignment horizontal="center"/>
    </xf>
    <xf numFmtId="168" fontId="87" fillId="0" borderId="21" xfId="0" applyNumberFormat="1" applyFont="1" applyBorder="1" applyAlignment="1">
      <alignment horizontal="center"/>
    </xf>
    <xf numFmtId="168" fontId="87" fillId="0" borderId="18" xfId="0" applyNumberFormat="1" applyFont="1" applyBorder="1" applyAlignment="1">
      <alignment horizontal="center"/>
    </xf>
    <xf numFmtId="168" fontId="11" fillId="0" borderId="19" xfId="0" applyNumberFormat="1" applyFont="1" applyBorder="1" applyAlignment="1">
      <alignment horizontal="center"/>
    </xf>
    <xf numFmtId="168" fontId="11" fillId="21" borderId="18" xfId="0" applyNumberFormat="1" applyFont="1" applyFill="1" applyBorder="1" applyAlignment="1">
      <alignment horizontal="center"/>
    </xf>
    <xf numFmtId="168" fontId="11" fillId="21" borderId="21" xfId="0" applyNumberFormat="1" applyFont="1" applyFill="1" applyBorder="1" applyAlignment="1">
      <alignment horizontal="center"/>
    </xf>
    <xf numFmtId="168" fontId="14" fillId="0" borderId="18" xfId="0" applyNumberFormat="1" applyFont="1" applyBorder="1" applyAlignment="1">
      <alignment horizontal="center"/>
    </xf>
    <xf numFmtId="168" fontId="14" fillId="0" borderId="21" xfId="0" applyNumberFormat="1" applyFont="1" applyBorder="1" applyAlignment="1">
      <alignment horizontal="center"/>
    </xf>
    <xf numFmtId="168" fontId="36" fillId="22" borderId="18" xfId="0" applyNumberFormat="1" applyFont="1" applyFill="1" applyBorder="1" applyAlignment="1">
      <alignment horizontal="center"/>
    </xf>
    <xf numFmtId="168" fontId="33" fillId="22" borderId="18" xfId="0" applyNumberFormat="1" applyFont="1" applyFill="1" applyBorder="1" applyAlignment="1">
      <alignment horizontal="center"/>
    </xf>
    <xf numFmtId="168" fontId="14" fillId="22" borderId="18" xfId="0" applyNumberFormat="1" applyFont="1" applyFill="1" applyBorder="1" applyAlignment="1">
      <alignment horizontal="center"/>
    </xf>
    <xf numFmtId="168" fontId="33" fillId="21" borderId="18" xfId="0" applyNumberFormat="1" applyFont="1" applyFill="1" applyBorder="1" applyAlignment="1">
      <alignment horizontal="center"/>
    </xf>
    <xf numFmtId="168" fontId="14" fillId="22" borderId="21" xfId="0" applyNumberFormat="1" applyFont="1" applyFill="1" applyBorder="1" applyAlignment="1">
      <alignment horizontal="center"/>
    </xf>
    <xf numFmtId="168" fontId="14" fillId="0" borderId="18" xfId="0" applyNumberFormat="1" applyFont="1" applyFill="1" applyBorder="1" applyAlignment="1">
      <alignment horizontal="center"/>
    </xf>
    <xf numFmtId="168" fontId="14" fillId="16" borderId="18" xfId="0" applyNumberFormat="1" applyFont="1" applyFill="1" applyBorder="1" applyAlignment="1">
      <alignment horizontal="center"/>
    </xf>
    <xf numFmtId="168" fontId="14" fillId="16" borderId="42" xfId="0" applyNumberFormat="1" applyFont="1" applyFill="1" applyBorder="1" applyAlignment="1">
      <alignment horizontal="center"/>
    </xf>
    <xf numFmtId="168" fontId="14" fillId="16" borderId="21" xfId="0" applyNumberFormat="1" applyFont="1" applyFill="1" applyBorder="1" applyAlignment="1">
      <alignment horizontal="center"/>
    </xf>
    <xf numFmtId="168" fontId="11" fillId="0" borderId="42" xfId="0" applyNumberFormat="1" applyFont="1" applyBorder="1" applyAlignment="1">
      <alignment horizontal="center"/>
    </xf>
    <xf numFmtId="168" fontId="33" fillId="0" borderId="18" xfId="0" applyNumberFormat="1" applyFont="1" applyBorder="1" applyAlignment="1">
      <alignment horizontal="center"/>
    </xf>
    <xf numFmtId="168" fontId="33" fillId="0" borderId="19" xfId="0" applyNumberFormat="1" applyFont="1" applyBorder="1" applyAlignment="1">
      <alignment horizontal="center"/>
    </xf>
    <xf numFmtId="168" fontId="11" fillId="0" borderId="39" xfId="0" applyNumberFormat="1" applyFont="1" applyBorder="1" applyAlignment="1">
      <alignment horizontal="center"/>
    </xf>
    <xf numFmtId="168" fontId="33" fillId="0" borderId="42" xfId="0" applyNumberFormat="1" applyFont="1" applyBorder="1" applyAlignment="1">
      <alignment horizontal="center"/>
    </xf>
    <xf numFmtId="168" fontId="41" fillId="0" borderId="18" xfId="0" applyNumberFormat="1" applyFont="1" applyBorder="1" applyAlignment="1">
      <alignment horizontal="center"/>
    </xf>
    <xf numFmtId="168" fontId="11" fillId="20" borderId="44" xfId="0" applyNumberFormat="1" applyFont="1" applyFill="1" applyBorder="1" applyAlignment="1">
      <alignment horizontal="center"/>
    </xf>
    <xf numFmtId="168" fontId="41" fillId="0" borderId="21" xfId="0" applyNumberFormat="1" applyFont="1" applyBorder="1" applyAlignment="1">
      <alignment horizontal="center"/>
    </xf>
    <xf numFmtId="168" fontId="33" fillId="0" borderId="21" xfId="0" applyNumberFormat="1" applyFont="1" applyBorder="1" applyAlignment="1">
      <alignment horizontal="center"/>
    </xf>
    <xf numFmtId="168" fontId="41" fillId="0" borderId="10" xfId="0" applyNumberFormat="1" applyFont="1" applyBorder="1" applyAlignment="1">
      <alignment horizontal="center"/>
    </xf>
    <xf numFmtId="168" fontId="11" fillId="19" borderId="44" xfId="0" applyNumberFormat="1" applyFont="1" applyFill="1" applyBorder="1" applyAlignment="1">
      <alignment horizontal="center"/>
    </xf>
    <xf numFmtId="168" fontId="11" fillId="0" borderId="18" xfId="0" applyNumberFormat="1" applyFont="1" applyBorder="1" applyAlignment="1">
      <alignment horizontal="center" vertical="center"/>
    </xf>
    <xf numFmtId="168" fontId="33" fillId="0" borderId="21" xfId="0" applyNumberFormat="1" applyFont="1" applyBorder="1" applyAlignment="1">
      <alignment horizontal="center" vertical="center"/>
    </xf>
    <xf numFmtId="168" fontId="14" fillId="16" borderId="18" xfId="0" applyNumberFormat="1" applyFont="1" applyFill="1" applyBorder="1" applyAlignment="1">
      <alignment horizontal="center" vertical="center"/>
    </xf>
    <xf numFmtId="168" fontId="11" fillId="0" borderId="42" xfId="0" applyNumberFormat="1" applyFont="1" applyBorder="1" applyAlignment="1">
      <alignment horizontal="center" vertical="center"/>
    </xf>
    <xf numFmtId="168" fontId="33" fillId="0" borderId="18" xfId="0" applyNumberFormat="1" applyFont="1" applyBorder="1" applyAlignment="1">
      <alignment horizontal="center" vertical="center"/>
    </xf>
    <xf numFmtId="168" fontId="11" fillId="0" borderId="14" xfId="0" applyNumberFormat="1" applyFont="1" applyBorder="1" applyAlignment="1">
      <alignment horizontal="center" vertical="center"/>
    </xf>
    <xf numFmtId="168" fontId="41" fillId="0" borderId="18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41" fillId="0" borderId="21" xfId="0" applyNumberFormat="1" applyFont="1" applyBorder="1" applyAlignment="1">
      <alignment horizontal="center" vertical="center"/>
    </xf>
    <xf numFmtId="168" fontId="41" fillId="0" borderId="10" xfId="0" applyNumberFormat="1" applyFont="1" applyBorder="1" applyAlignment="1">
      <alignment horizontal="center" vertical="center"/>
    </xf>
    <xf numFmtId="168" fontId="33" fillId="0" borderId="10" xfId="0" applyNumberFormat="1" applyFont="1" applyBorder="1" applyAlignment="1">
      <alignment horizontal="center" vertical="center"/>
    </xf>
    <xf numFmtId="168" fontId="33" fillId="16" borderId="18" xfId="0" applyNumberFormat="1" applyFont="1" applyFill="1" applyBorder="1" applyAlignment="1">
      <alignment horizontal="center" vertical="center"/>
    </xf>
    <xf numFmtId="168" fontId="57" fillId="0" borderId="18" xfId="0" applyNumberFormat="1" applyFont="1" applyBorder="1" applyAlignment="1">
      <alignment horizontal="center" vertical="center"/>
    </xf>
    <xf numFmtId="168" fontId="11" fillId="16" borderId="18" xfId="0" applyNumberFormat="1" applyFont="1" applyFill="1" applyBorder="1" applyAlignment="1">
      <alignment horizontal="center" vertical="center"/>
    </xf>
    <xf numFmtId="168" fontId="11" fillId="16" borderId="21" xfId="0" applyNumberFormat="1" applyFont="1" applyFill="1" applyBorder="1" applyAlignment="1">
      <alignment horizontal="center" vertical="center"/>
    </xf>
    <xf numFmtId="168" fontId="11" fillId="0" borderId="42" xfId="0" applyNumberFormat="1" applyFont="1" applyFill="1" applyBorder="1" applyAlignment="1">
      <alignment horizontal="center"/>
    </xf>
    <xf numFmtId="168" fontId="14" fillId="21" borderId="18" xfId="0" applyNumberFormat="1" applyFont="1" applyFill="1" applyBorder="1" applyAlignment="1">
      <alignment horizontal="center"/>
    </xf>
    <xf numFmtId="168" fontId="14" fillId="21" borderId="18" xfId="0" applyNumberFormat="1" applyFont="1" applyFill="1" applyBorder="1" applyAlignment="1">
      <alignment horizontal="center" vertical="center"/>
    </xf>
    <xf numFmtId="168" fontId="72" fillId="16" borderId="18" xfId="0" applyNumberFormat="1" applyFont="1" applyFill="1" applyBorder="1" applyAlignment="1">
      <alignment horizontal="center"/>
    </xf>
    <xf numFmtId="168" fontId="97" fillId="16" borderId="18" xfId="0" applyNumberFormat="1" applyFont="1" applyFill="1" applyBorder="1" applyAlignment="1">
      <alignment horizontal="center"/>
    </xf>
    <xf numFmtId="168" fontId="97" fillId="0" borderId="18" xfId="0" applyNumberFormat="1" applyFont="1" applyBorder="1" applyAlignment="1">
      <alignment horizontal="center"/>
    </xf>
    <xf numFmtId="168" fontId="97" fillId="21" borderId="14" xfId="0" applyNumberFormat="1" applyFont="1" applyFill="1" applyBorder="1" applyAlignment="1">
      <alignment horizontal="center"/>
    </xf>
    <xf numFmtId="168" fontId="97" fillId="21" borderId="18" xfId="0" applyNumberFormat="1" applyFont="1" applyFill="1" applyBorder="1" applyAlignment="1">
      <alignment horizontal="center"/>
    </xf>
    <xf numFmtId="168" fontId="105" fillId="0" borderId="18" xfId="0" applyNumberFormat="1" applyFont="1" applyBorder="1" applyAlignment="1">
      <alignment horizontal="center"/>
    </xf>
    <xf numFmtId="168" fontId="73" fillId="0" borderId="18" xfId="0" applyNumberFormat="1" applyFont="1" applyBorder="1" applyAlignment="1">
      <alignment horizontal="center"/>
    </xf>
    <xf numFmtId="168" fontId="116" fillId="0" borderId="18" xfId="0" applyNumberFormat="1" applyFont="1" applyBorder="1" applyAlignment="1">
      <alignment horizontal="center"/>
    </xf>
    <xf numFmtId="168" fontId="11" fillId="0" borderId="4" xfId="0" applyNumberFormat="1" applyFont="1" applyFill="1" applyBorder="1" applyAlignment="1">
      <alignment horizontal="center"/>
    </xf>
    <xf numFmtId="168" fontId="11" fillId="0" borderId="4" xfId="0" applyNumberFormat="1" applyFont="1" applyBorder="1" applyAlignment="1">
      <alignment horizontal="center"/>
    </xf>
    <xf numFmtId="170" fontId="22" fillId="31" borderId="0" xfId="0" applyNumberFormat="1" applyFont="1" applyFill="1" applyBorder="1"/>
    <xf numFmtId="49" fontId="23" fillId="31" borderId="0" xfId="0" applyNumberFormat="1" applyFont="1" applyFill="1" applyBorder="1" applyAlignment="1">
      <alignment horizontal="center"/>
    </xf>
    <xf numFmtId="168" fontId="27" fillId="31" borderId="18" xfId="0" applyNumberFormat="1" applyFont="1" applyFill="1" applyBorder="1" applyAlignment="1">
      <alignment horizontal="center"/>
    </xf>
    <xf numFmtId="170" fontId="11" fillId="31" borderId="0" xfId="0" applyNumberFormat="1" applyFont="1" applyFill="1" applyBorder="1"/>
    <xf numFmtId="0" fontId="1" fillId="31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" fontId="18" fillId="0" borderId="0" xfId="0" applyNumberFormat="1" applyFont="1"/>
    <xf numFmtId="0" fontId="3" fillId="0" borderId="17" xfId="0" applyFont="1" applyBorder="1" applyAlignment="1">
      <alignment horizontal="center" vertical="center"/>
    </xf>
    <xf numFmtId="0" fontId="0" fillId="0" borderId="0" xfId="0" applyNumberFormat="1"/>
    <xf numFmtId="0" fontId="0" fillId="0" borderId="22" xfId="0" applyBorder="1"/>
    <xf numFmtId="0" fontId="0" fillId="0" borderId="10" xfId="0" applyBorder="1"/>
    <xf numFmtId="0" fontId="0" fillId="0" borderId="162" xfId="0" applyBorder="1"/>
    <xf numFmtId="0" fontId="0" fillId="0" borderId="13" xfId="0" applyNumberFormat="1" applyBorder="1"/>
    <xf numFmtId="0" fontId="0" fillId="0" borderId="14" xfId="0" applyBorder="1"/>
    <xf numFmtId="0" fontId="0" fillId="0" borderId="23" xfId="0" applyBorder="1"/>
    <xf numFmtId="0" fontId="87" fillId="0" borderId="0" xfId="0" applyFont="1" applyBorder="1" applyAlignment="1">
      <alignment horizontal="center" vertical="center"/>
    </xf>
    <xf numFmtId="194" fontId="23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0" fillId="0" borderId="18" xfId="0" applyBorder="1"/>
    <xf numFmtId="194" fontId="0" fillId="0" borderId="0" xfId="0" applyNumberFormat="1" applyBorder="1"/>
    <xf numFmtId="49" fontId="0" fillId="0" borderId="0" xfId="0" applyNumberFormat="1" applyBorder="1"/>
    <xf numFmtId="0" fontId="0" fillId="0" borderId="0" xfId="0" applyNumberFormat="1" applyBorder="1"/>
    <xf numFmtId="49" fontId="1" fillId="0" borderId="0" xfId="0" applyNumberFormat="1" applyFont="1" applyBorder="1"/>
    <xf numFmtId="0" fontId="0" fillId="0" borderId="24" xfId="0" applyBorder="1"/>
    <xf numFmtId="0" fontId="0" fillId="0" borderId="20" xfId="0" applyNumberFormat="1" applyBorder="1"/>
    <xf numFmtId="0" fontId="0" fillId="0" borderId="21" xfId="0" applyBorder="1"/>
    <xf numFmtId="0" fontId="23" fillId="0" borderId="0" xfId="0" applyNumberFormat="1" applyFont="1" applyBorder="1" applyAlignment="1">
      <alignment vertical="center"/>
    </xf>
    <xf numFmtId="194" fontId="296" fillId="0" borderId="0" xfId="0" applyNumberFormat="1" applyFont="1" applyBorder="1" applyAlignment="1">
      <alignment vertical="center"/>
    </xf>
    <xf numFmtId="49" fontId="296" fillId="0" borderId="0" xfId="0" applyNumberFormat="1" applyFont="1" applyBorder="1" applyAlignment="1">
      <alignment vertical="center"/>
    </xf>
    <xf numFmtId="0" fontId="149" fillId="0" borderId="45" xfId="0" applyFont="1" applyBorder="1" applyAlignment="1">
      <alignment vertical="center"/>
    </xf>
    <xf numFmtId="0" fontId="297" fillId="0" borderId="13" xfId="0" applyFont="1" applyBorder="1" applyAlignment="1">
      <alignment vertical="center"/>
    </xf>
    <xf numFmtId="0" fontId="149" fillId="0" borderId="0" xfId="0" applyFont="1" applyBorder="1" applyAlignment="1">
      <alignment vertical="center"/>
    </xf>
    <xf numFmtId="0" fontId="297" fillId="0" borderId="0" xfId="0" applyFont="1" applyBorder="1" applyAlignment="1">
      <alignment vertical="center"/>
    </xf>
    <xf numFmtId="49" fontId="23" fillId="0" borderId="18" xfId="0" applyNumberFormat="1" applyFont="1" applyBorder="1" applyAlignment="1">
      <alignment vertical="center"/>
    </xf>
    <xf numFmtId="0" fontId="0" fillId="0" borderId="18" xfId="0" applyNumberFormat="1" applyBorder="1"/>
    <xf numFmtId="0" fontId="0" fillId="0" borderId="41" xfId="0" applyBorder="1"/>
    <xf numFmtId="49" fontId="0" fillId="0" borderId="41" xfId="0" applyNumberFormat="1" applyBorder="1"/>
    <xf numFmtId="0" fontId="0" fillId="0" borderId="41" xfId="0" applyNumberFormat="1" applyBorder="1"/>
    <xf numFmtId="0" fontId="137" fillId="0" borderId="0" xfId="0" applyFont="1" applyBorder="1"/>
    <xf numFmtId="0" fontId="137" fillId="0" borderId="0" xfId="0" applyFont="1" applyBorder="1" applyAlignment="1">
      <alignment horizontal="right"/>
    </xf>
    <xf numFmtId="0" fontId="11" fillId="0" borderId="1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56" xfId="0" applyBorder="1" applyAlignment="1">
      <alignment vertical="center"/>
    </xf>
    <xf numFmtId="0" fontId="298" fillId="0" borderId="0" xfId="1" applyNumberFormat="1" applyFont="1" applyFill="1" applyBorder="1" applyAlignment="1" applyProtection="1">
      <alignment vertical="top"/>
      <protection hidden="1"/>
    </xf>
    <xf numFmtId="0" fontId="299" fillId="0" borderId="0" xfId="0" applyFont="1" applyAlignment="1">
      <alignment horizontal="left"/>
    </xf>
    <xf numFmtId="4" fontId="0" fillId="0" borderId="154" xfId="0" applyNumberFormat="1" applyBorder="1" applyAlignment="1">
      <alignment horizontal="center" vertical="center"/>
    </xf>
    <xf numFmtId="4" fontId="0" fillId="0" borderId="124" xfId="0" applyNumberFormat="1" applyBorder="1" applyAlignment="1">
      <alignment vertical="center"/>
    </xf>
    <xf numFmtId="175" fontId="12" fillId="0" borderId="124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8" fillId="0" borderId="78" xfId="0" applyNumberFormat="1" applyFont="1" applyBorder="1" applyAlignment="1">
      <alignment horizontal="center" vertical="center"/>
    </xf>
    <xf numFmtId="170" fontId="1" fillId="0" borderId="19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4" xfId="0" applyFont="1" applyBorder="1"/>
    <xf numFmtId="0" fontId="3" fillId="0" borderId="17" xfId="0" applyFont="1" applyBorder="1" applyAlignment="1">
      <alignment horizontal="center" vertical="center"/>
    </xf>
    <xf numFmtId="195" fontId="300" fillId="27" borderId="0" xfId="0" applyNumberFormat="1" applyFont="1" applyFill="1" applyAlignment="1">
      <alignment horizontal="center" vertical="center"/>
    </xf>
    <xf numFmtId="168" fontId="301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69" fillId="0" borderId="0" xfId="0" applyFont="1" applyAlignment="1">
      <alignment horizontal="left" indent="1"/>
    </xf>
    <xf numFmtId="0" fontId="265" fillId="27" borderId="0" xfId="0" applyFont="1" applyFill="1" applyBorder="1" applyAlignment="1">
      <alignment horizontal="center" vertical="center"/>
    </xf>
    <xf numFmtId="170" fontId="269" fillId="27" borderId="0" xfId="0" applyNumberFormat="1" applyFont="1" applyFill="1" applyBorder="1"/>
    <xf numFmtId="49" fontId="270" fillId="27" borderId="0" xfId="0" applyNumberFormat="1" applyFont="1" applyFill="1" applyBorder="1" applyAlignment="1">
      <alignment horizontal="center"/>
    </xf>
    <xf numFmtId="170" fontId="271" fillId="27" borderId="0" xfId="0" applyNumberFormat="1" applyFont="1" applyFill="1" applyBorder="1"/>
    <xf numFmtId="49" fontId="265" fillId="27" borderId="0" xfId="0" applyNumberFormat="1" applyFont="1" applyFill="1" applyBorder="1" applyAlignment="1">
      <alignment horizontal="center" vertical="center"/>
    </xf>
    <xf numFmtId="169" fontId="272" fillId="27" borderId="18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265" fillId="27" borderId="20" xfId="0" applyFont="1" applyFill="1" applyBorder="1" applyAlignment="1">
      <alignment horizontal="center" vertical="center"/>
    </xf>
    <xf numFmtId="170" fontId="269" fillId="27" borderId="20" xfId="0" applyNumberFormat="1" applyFont="1" applyFill="1" applyBorder="1"/>
    <xf numFmtId="49" fontId="270" fillId="27" borderId="20" xfId="0" applyNumberFormat="1" applyFont="1" applyFill="1" applyBorder="1" applyAlignment="1">
      <alignment horizontal="center"/>
    </xf>
    <xf numFmtId="170" fontId="271" fillId="27" borderId="20" xfId="0" applyNumberFormat="1" applyFont="1" applyFill="1" applyBorder="1"/>
    <xf numFmtId="49" fontId="265" fillId="27" borderId="20" xfId="0" applyNumberFormat="1" applyFont="1" applyFill="1" applyBorder="1" applyAlignment="1">
      <alignment horizontal="center" vertical="center"/>
    </xf>
    <xf numFmtId="169" fontId="272" fillId="27" borderId="21" xfId="0" applyNumberFormat="1" applyFont="1" applyFill="1" applyBorder="1" applyAlignment="1">
      <alignment horizontal="center"/>
    </xf>
    <xf numFmtId="0" fontId="265" fillId="0" borderId="0" xfId="0" applyFont="1" applyFill="1" applyBorder="1" applyAlignment="1">
      <alignment horizontal="center" vertical="center"/>
    </xf>
    <xf numFmtId="170" fontId="269" fillId="0" borderId="0" xfId="0" applyNumberFormat="1" applyFont="1" applyFill="1" applyBorder="1"/>
    <xf numFmtId="49" fontId="270" fillId="0" borderId="0" xfId="0" applyNumberFormat="1" applyFont="1" applyFill="1" applyBorder="1" applyAlignment="1">
      <alignment horizontal="center"/>
    </xf>
    <xf numFmtId="170" fontId="271" fillId="0" borderId="0" xfId="0" applyNumberFormat="1" applyFont="1" applyFill="1" applyBorder="1"/>
    <xf numFmtId="49" fontId="265" fillId="0" borderId="0" xfId="0" applyNumberFormat="1" applyFont="1" applyFill="1" applyBorder="1" applyAlignment="1">
      <alignment horizontal="center" vertical="center"/>
    </xf>
    <xf numFmtId="169" fontId="272" fillId="0" borderId="18" xfId="0" applyNumberFormat="1" applyFont="1" applyFill="1" applyBorder="1" applyAlignment="1">
      <alignment horizontal="center"/>
    </xf>
    <xf numFmtId="0" fontId="265" fillId="0" borderId="18" xfId="0" applyFont="1" applyFill="1" applyBorder="1" applyAlignment="1"/>
    <xf numFmtId="186" fontId="272" fillId="0" borderId="18" xfId="0" applyNumberFormat="1" applyFont="1" applyFill="1" applyBorder="1" applyAlignment="1">
      <alignment horizontal="center"/>
    </xf>
    <xf numFmtId="168" fontId="269" fillId="0" borderId="18" xfId="0" applyNumberFormat="1" applyFont="1" applyFill="1" applyBorder="1" applyAlignment="1">
      <alignment horizontal="center"/>
    </xf>
    <xf numFmtId="4" fontId="284" fillId="0" borderId="18" xfId="0" applyNumberFormat="1" applyFont="1" applyFill="1" applyBorder="1" applyAlignment="1">
      <alignment horizontal="center"/>
    </xf>
    <xf numFmtId="0" fontId="284" fillId="0" borderId="17" xfId="0" applyFont="1" applyFill="1" applyBorder="1" applyAlignment="1">
      <alignment horizontal="left"/>
    </xf>
    <xf numFmtId="0" fontId="269" fillId="0" borderId="0" xfId="0" applyFont="1" applyFill="1" applyAlignment="1">
      <alignment horizontal="left" indent="1"/>
    </xf>
    <xf numFmtId="168" fontId="303" fillId="0" borderId="18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2" fillId="0" borderId="4" xfId="0" applyFont="1" applyBorder="1" applyAlignment="1"/>
    <xf numFmtId="0" fontId="3" fillId="0" borderId="17" xfId="0" applyFont="1" applyBorder="1" applyAlignment="1">
      <alignment horizontal="center" vertical="center"/>
    </xf>
    <xf numFmtId="49" fontId="296" fillId="27" borderId="0" xfId="0" applyNumberFormat="1" applyFont="1" applyFill="1" applyBorder="1" applyAlignment="1">
      <alignment horizontal="center"/>
    </xf>
    <xf numFmtId="0" fontId="265" fillId="27" borderId="18" xfId="0" applyFont="1" applyFill="1" applyBorder="1" applyAlignment="1"/>
    <xf numFmtId="168" fontId="272" fillId="27" borderId="18" xfId="0" applyNumberFormat="1" applyFont="1" applyFill="1" applyBorder="1" applyAlignment="1">
      <alignment horizontal="center"/>
    </xf>
    <xf numFmtId="186" fontId="272" fillId="27" borderId="18" xfId="0" applyNumberFormat="1" applyFont="1" applyFill="1" applyBorder="1" applyAlignment="1">
      <alignment horizontal="center"/>
    </xf>
    <xf numFmtId="168" fontId="269" fillId="27" borderId="18" xfId="0" applyNumberFormat="1" applyFont="1" applyFill="1" applyBorder="1" applyAlignment="1">
      <alignment horizontal="center"/>
    </xf>
    <xf numFmtId="4" fontId="302" fillId="27" borderId="18" xfId="0" applyNumberFormat="1" applyFont="1" applyFill="1" applyBorder="1" applyAlignment="1">
      <alignment horizontal="center"/>
    </xf>
    <xf numFmtId="170" fontId="284" fillId="27" borderId="0" xfId="0" applyNumberFormat="1" applyFont="1" applyFill="1" applyBorder="1"/>
    <xf numFmtId="49" fontId="1" fillId="27" borderId="20" xfId="0" applyNumberFormat="1" applyFont="1" applyFill="1" applyBorder="1" applyAlignment="1">
      <alignment horizontal="center" vertical="center"/>
    </xf>
    <xf numFmtId="168" fontId="11" fillId="27" borderId="21" xfId="0" applyNumberFormat="1" applyFont="1" applyFill="1" applyBorder="1" applyAlignment="1">
      <alignment horizontal="center"/>
    </xf>
    <xf numFmtId="0" fontId="1" fillId="0" borderId="0" xfId="0" applyNumberFormat="1" applyFont="1"/>
    <xf numFmtId="49" fontId="296" fillId="27" borderId="20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0" fontId="304" fillId="0" borderId="4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305" fillId="0" borderId="0" xfId="0" applyNumberFormat="1" applyFont="1" applyAlignment="1">
      <alignment horizontal="center"/>
    </xf>
    <xf numFmtId="4" fontId="305" fillId="0" borderId="4" xfId="0" applyNumberFormat="1" applyFont="1" applyBorder="1" applyAlignment="1">
      <alignment horizontal="center"/>
    </xf>
    <xf numFmtId="4" fontId="305" fillId="0" borderId="14" xfId="0" applyNumberFormat="1" applyFont="1" applyBorder="1" applyAlignment="1">
      <alignment horizontal="center"/>
    </xf>
    <xf numFmtId="4" fontId="305" fillId="20" borderId="16" xfId="0" applyNumberFormat="1" applyFont="1" applyFill="1" applyBorder="1" applyAlignment="1">
      <alignment horizontal="center"/>
    </xf>
    <xf numFmtId="4" fontId="305" fillId="0" borderId="18" xfId="0" applyNumberFormat="1" applyFont="1" applyBorder="1" applyAlignment="1">
      <alignment horizontal="center"/>
    </xf>
    <xf numFmtId="4" fontId="305" fillId="0" borderId="21" xfId="0" applyNumberFormat="1" applyFont="1" applyBorder="1" applyAlignment="1">
      <alignment horizontal="center"/>
    </xf>
    <xf numFmtId="4" fontId="305" fillId="27" borderId="18" xfId="0" applyNumberFormat="1" applyFont="1" applyFill="1" applyBorder="1" applyAlignment="1">
      <alignment horizontal="center"/>
    </xf>
    <xf numFmtId="4" fontId="305" fillId="27" borderId="21" xfId="0" applyNumberFormat="1" applyFont="1" applyFill="1" applyBorder="1" applyAlignment="1">
      <alignment horizontal="center"/>
    </xf>
    <xf numFmtId="176" fontId="305" fillId="0" borderId="18" xfId="0" applyNumberFormat="1" applyFont="1" applyBorder="1" applyAlignment="1">
      <alignment horizontal="center"/>
    </xf>
    <xf numFmtId="4" fontId="305" fillId="0" borderId="18" xfId="0" applyNumberFormat="1" applyFont="1" applyFill="1" applyBorder="1" applyAlignment="1">
      <alignment horizontal="center"/>
    </xf>
    <xf numFmtId="179" fontId="305" fillId="27" borderId="18" xfId="0" applyNumberFormat="1" applyFont="1" applyFill="1" applyBorder="1" applyAlignment="1">
      <alignment horizontal="center"/>
    </xf>
    <xf numFmtId="179" fontId="305" fillId="0" borderId="18" xfId="0" applyNumberFormat="1" applyFont="1" applyBorder="1" applyAlignment="1">
      <alignment horizontal="center"/>
    </xf>
    <xf numFmtId="4" fontId="305" fillId="0" borderId="10" xfId="0" applyNumberFormat="1" applyFont="1" applyBorder="1" applyAlignment="1">
      <alignment horizontal="center"/>
    </xf>
    <xf numFmtId="179" fontId="305" fillId="0" borderId="21" xfId="0" applyNumberFormat="1" applyFont="1" applyBorder="1" applyAlignment="1">
      <alignment horizontal="center"/>
    </xf>
    <xf numFmtId="4" fontId="305" fillId="0" borderId="30" xfId="0" applyNumberFormat="1" applyFont="1" applyBorder="1" applyAlignment="1">
      <alignment horizontal="center"/>
    </xf>
    <xf numFmtId="4" fontId="305" fillId="0" borderId="21" xfId="0" applyNumberFormat="1" applyFont="1" applyFill="1" applyBorder="1" applyAlignment="1">
      <alignment horizontal="center"/>
    </xf>
    <xf numFmtId="4" fontId="305" fillId="0" borderId="38" xfId="0" applyNumberFormat="1" applyFont="1" applyBorder="1" applyAlignment="1">
      <alignment horizontal="center"/>
    </xf>
    <xf numFmtId="4" fontId="305" fillId="0" borderId="34" xfId="0" applyNumberFormat="1" applyFont="1" applyBorder="1" applyAlignment="1">
      <alignment horizontal="center"/>
    </xf>
    <xf numFmtId="4" fontId="305" fillId="18" borderId="21" xfId="0" applyNumberFormat="1" applyFont="1" applyFill="1" applyBorder="1" applyAlignment="1">
      <alignment horizontal="center"/>
    </xf>
    <xf numFmtId="4" fontId="305" fillId="0" borderId="27" xfId="0" applyNumberFormat="1" applyFont="1" applyBorder="1" applyAlignment="1">
      <alignment horizontal="center"/>
    </xf>
    <xf numFmtId="4" fontId="305" fillId="18" borderId="18" xfId="0" applyNumberFormat="1" applyFont="1" applyFill="1" applyBorder="1" applyAlignment="1">
      <alignment horizontal="center"/>
    </xf>
    <xf numFmtId="4" fontId="305" fillId="21" borderId="18" xfId="0" applyNumberFormat="1" applyFont="1" applyFill="1" applyBorder="1" applyAlignment="1">
      <alignment horizontal="center"/>
    </xf>
    <xf numFmtId="4" fontId="305" fillId="21" borderId="21" xfId="0" applyNumberFormat="1" applyFont="1" applyFill="1" applyBorder="1" applyAlignment="1">
      <alignment horizontal="center"/>
    </xf>
    <xf numFmtId="4" fontId="305" fillId="22" borderId="18" xfId="0" applyNumberFormat="1" applyFont="1" applyFill="1" applyBorder="1" applyAlignment="1">
      <alignment horizontal="center"/>
    </xf>
    <xf numFmtId="10" fontId="305" fillId="0" borderId="18" xfId="36" applyNumberFormat="1" applyFont="1" applyBorder="1" applyAlignment="1">
      <alignment horizontal="center"/>
    </xf>
    <xf numFmtId="4" fontId="305" fillId="22" borderId="21" xfId="0" applyNumberFormat="1" applyFont="1" applyFill="1" applyBorder="1" applyAlignment="1">
      <alignment horizontal="center"/>
    </xf>
    <xf numFmtId="4" fontId="305" fillId="16" borderId="18" xfId="0" applyNumberFormat="1" applyFont="1" applyFill="1" applyBorder="1" applyAlignment="1">
      <alignment horizontal="center"/>
    </xf>
    <xf numFmtId="4" fontId="305" fillId="16" borderId="42" xfId="0" applyNumberFormat="1" applyFont="1" applyFill="1" applyBorder="1" applyAlignment="1">
      <alignment horizontal="center"/>
    </xf>
    <xf numFmtId="4" fontId="305" fillId="16" borderId="21" xfId="0" applyNumberFormat="1" applyFont="1" applyFill="1" applyBorder="1" applyAlignment="1">
      <alignment horizontal="center"/>
    </xf>
    <xf numFmtId="4" fontId="305" fillId="0" borderId="42" xfId="0" applyNumberFormat="1" applyFont="1" applyBorder="1" applyAlignment="1">
      <alignment horizontal="center"/>
    </xf>
    <xf numFmtId="4" fontId="305" fillId="0" borderId="39" xfId="0" applyNumberFormat="1" applyFont="1" applyBorder="1" applyAlignment="1">
      <alignment horizontal="center"/>
    </xf>
    <xf numFmtId="4" fontId="305" fillId="20" borderId="44" xfId="0" applyNumberFormat="1" applyFont="1" applyFill="1" applyBorder="1" applyAlignment="1">
      <alignment horizontal="center"/>
    </xf>
    <xf numFmtId="4" fontId="305" fillId="19" borderId="44" xfId="0" applyNumberFormat="1" applyFont="1" applyFill="1" applyBorder="1" applyAlignment="1">
      <alignment horizontal="center"/>
    </xf>
    <xf numFmtId="4" fontId="305" fillId="0" borderId="18" xfId="0" applyNumberFormat="1" applyFont="1" applyBorder="1" applyAlignment="1">
      <alignment horizontal="center" vertical="center"/>
    </xf>
    <xf numFmtId="4" fontId="305" fillId="0" borderId="21" xfId="0" applyNumberFormat="1" applyFont="1" applyBorder="1" applyAlignment="1">
      <alignment horizontal="center" vertical="center"/>
    </xf>
    <xf numFmtId="4" fontId="305" fillId="16" borderId="18" xfId="0" applyNumberFormat="1" applyFont="1" applyFill="1" applyBorder="1" applyAlignment="1">
      <alignment horizontal="center" vertical="center"/>
    </xf>
    <xf numFmtId="4" fontId="305" fillId="0" borderId="42" xfId="0" applyNumberFormat="1" applyFont="1" applyBorder="1" applyAlignment="1">
      <alignment horizontal="center" vertical="center"/>
    </xf>
    <xf numFmtId="4" fontId="305" fillId="0" borderId="14" xfId="0" applyNumberFormat="1" applyFont="1" applyBorder="1" applyAlignment="1">
      <alignment horizontal="center" vertical="center"/>
    </xf>
    <xf numFmtId="4" fontId="305" fillId="0" borderId="10" xfId="0" applyNumberFormat="1" applyFont="1" applyBorder="1" applyAlignment="1">
      <alignment horizontal="center" vertical="center"/>
    </xf>
    <xf numFmtId="4" fontId="306" fillId="0" borderId="18" xfId="0" applyNumberFormat="1" applyFont="1" applyBorder="1" applyAlignment="1">
      <alignment horizontal="center" vertical="center"/>
    </xf>
    <xf numFmtId="4" fontId="305" fillId="16" borderId="21" xfId="0" applyNumberFormat="1" applyFont="1" applyFill="1" applyBorder="1" applyAlignment="1">
      <alignment horizontal="center" vertical="center"/>
    </xf>
    <xf numFmtId="4" fontId="305" fillId="0" borderId="19" xfId="0" applyNumberFormat="1" applyFont="1" applyFill="1" applyBorder="1" applyAlignment="1">
      <alignment horizontal="center"/>
    </xf>
    <xf numFmtId="4" fontId="305" fillId="0" borderId="42" xfId="0" applyNumberFormat="1" applyFont="1" applyFill="1" applyBorder="1" applyAlignment="1">
      <alignment horizontal="center"/>
    </xf>
    <xf numFmtId="4" fontId="305" fillId="21" borderId="18" xfId="0" applyNumberFormat="1" applyFont="1" applyFill="1" applyBorder="1" applyAlignment="1">
      <alignment horizontal="center" vertical="center"/>
    </xf>
    <xf numFmtId="4" fontId="305" fillId="0" borderId="19" xfId="0" applyNumberFormat="1" applyFont="1" applyBorder="1" applyAlignment="1">
      <alignment horizontal="center"/>
    </xf>
    <xf numFmtId="4" fontId="305" fillId="21" borderId="14" xfId="0" applyNumberFormat="1" applyFont="1" applyFill="1" applyBorder="1" applyAlignment="1">
      <alignment horizontal="center"/>
    </xf>
    <xf numFmtId="4" fontId="305" fillId="0" borderId="0" xfId="0" applyNumberFormat="1" applyFont="1" applyBorder="1" applyAlignment="1">
      <alignment horizontal="center"/>
    </xf>
    <xf numFmtId="49" fontId="307" fillId="0" borderId="51" xfId="0" applyNumberFormat="1" applyFont="1" applyBorder="1" applyAlignment="1">
      <alignment horizontal="center" vertical="center"/>
    </xf>
    <xf numFmtId="177" fontId="308" fillId="0" borderId="56" xfId="0" applyNumberFormat="1" applyFont="1" applyBorder="1" applyAlignment="1">
      <alignment vertical="center"/>
    </xf>
    <xf numFmtId="177" fontId="308" fillId="0" borderId="58" xfId="0" applyNumberFormat="1" applyFont="1" applyBorder="1" applyAlignment="1">
      <alignment vertical="center"/>
    </xf>
    <xf numFmtId="177" fontId="308" fillId="0" borderId="60" xfId="0" applyNumberFormat="1" applyFont="1" applyBorder="1" applyAlignment="1">
      <alignment vertical="center"/>
    </xf>
    <xf numFmtId="177" fontId="308" fillId="0" borderId="62" xfId="0" applyNumberFormat="1" applyFont="1" applyBorder="1" applyAlignment="1">
      <alignment vertical="center"/>
    </xf>
    <xf numFmtId="4" fontId="305" fillId="0" borderId="0" xfId="0" applyNumberFormat="1" applyFont="1" applyAlignment="1">
      <alignment horizontal="center" vertical="center"/>
    </xf>
    <xf numFmtId="4" fontId="309" fillId="0" borderId="74" xfId="0" applyNumberFormat="1" applyFont="1" applyBorder="1" applyAlignment="1">
      <alignment horizontal="center"/>
    </xf>
    <xf numFmtId="4" fontId="305" fillId="0" borderId="4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/>
    <xf numFmtId="0" fontId="1" fillId="0" borderId="2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65" fillId="0" borderId="18" xfId="0" applyFont="1" applyBorder="1" applyAlignment="1"/>
    <xf numFmtId="0" fontId="265" fillId="0" borderId="21" xfId="0" applyFont="1" applyBorder="1" applyAlignment="1"/>
    <xf numFmtId="0" fontId="3" fillId="0" borderId="17" xfId="0" applyFont="1" applyBorder="1" applyAlignment="1">
      <alignment horizontal="center" vertical="center"/>
    </xf>
    <xf numFmtId="179" fontId="11" fillId="21" borderId="140" xfId="0" applyNumberFormat="1" applyFont="1" applyFill="1" applyBorder="1" applyAlignment="1">
      <alignment horizontal="center" vertical="center"/>
    </xf>
    <xf numFmtId="37" fontId="310" fillId="0" borderId="9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10" fillId="0" borderId="151" xfId="0" applyFont="1" applyFill="1" applyBorder="1" applyAlignment="1">
      <alignment horizontal="center" vertical="center"/>
    </xf>
    <xf numFmtId="37" fontId="311" fillId="0" borderId="9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12" fillId="0" borderId="93" xfId="0" applyFont="1" applyFill="1" applyBorder="1" applyAlignment="1">
      <alignment horizontal="center" vertical="center"/>
    </xf>
    <xf numFmtId="170" fontId="304" fillId="0" borderId="19" xfId="0" applyNumberFormat="1" applyFont="1" applyFill="1" applyBorder="1" applyAlignment="1">
      <alignment horizontal="center" vertical="center"/>
    </xf>
    <xf numFmtId="0" fontId="0" fillId="0" borderId="199" xfId="0" applyBorder="1" applyAlignment="1">
      <alignment horizontal="center"/>
    </xf>
    <xf numFmtId="0" fontId="0" fillId="0" borderId="41" xfId="0" applyBorder="1" applyAlignment="1">
      <alignment horizontal="center"/>
    </xf>
    <xf numFmtId="0" fontId="150" fillId="0" borderId="61" xfId="0" applyFont="1" applyFill="1" applyBorder="1" applyAlignment="1">
      <alignment horizontal="center" vertical="center"/>
    </xf>
    <xf numFmtId="170" fontId="304" fillId="0" borderId="61" xfId="0" applyNumberFormat="1" applyFont="1" applyFill="1" applyBorder="1" applyAlignment="1">
      <alignment horizontal="center" vertical="center"/>
    </xf>
    <xf numFmtId="170" fontId="50" fillId="0" borderId="61" xfId="0" applyNumberFormat="1" applyFont="1" applyFill="1" applyBorder="1" applyAlignment="1">
      <alignment horizontal="center" vertical="center"/>
    </xf>
    <xf numFmtId="170" fontId="11" fillId="0" borderId="61" xfId="0" applyNumberFormat="1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169" fontId="11" fillId="0" borderId="61" xfId="0" applyNumberFormat="1" applyFont="1" applyFill="1" applyBorder="1" applyAlignment="1">
      <alignment horizontal="center" vertical="center"/>
    </xf>
    <xf numFmtId="171" fontId="87" fillId="0" borderId="169" xfId="0" applyNumberFormat="1" applyFont="1" applyFill="1" applyBorder="1" applyAlignment="1">
      <alignment horizontal="center" vertical="center"/>
    </xf>
    <xf numFmtId="0" fontId="11" fillId="0" borderId="181" xfId="0" applyFont="1" applyFill="1" applyBorder="1" applyAlignment="1">
      <alignment vertical="center"/>
    </xf>
    <xf numFmtId="0" fontId="1" fillId="0" borderId="0" xfId="0" applyFont="1" applyBorder="1"/>
    <xf numFmtId="0" fontId="3" fillId="0" borderId="17" xfId="0" applyFont="1" applyBorder="1" applyAlignment="1">
      <alignment horizontal="center" vertical="center"/>
    </xf>
    <xf numFmtId="0" fontId="12" fillId="0" borderId="4" xfId="0" applyFont="1" applyBorder="1"/>
    <xf numFmtId="0" fontId="3" fillId="0" borderId="17" xfId="0" applyFont="1" applyBorder="1" applyAlignment="1">
      <alignment horizontal="center" vertical="center"/>
    </xf>
    <xf numFmtId="170" fontId="26" fillId="0" borderId="0" xfId="0" applyNumberFormat="1" applyFont="1" applyBorder="1"/>
    <xf numFmtId="171" fontId="259" fillId="0" borderId="84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6" fontId="315" fillId="0" borderId="23" xfId="0" applyNumberFormat="1" applyFont="1" applyBorder="1" applyAlignment="1">
      <alignment horizontal="center" vertical="center"/>
    </xf>
    <xf numFmtId="2" fontId="315" fillId="0" borderId="17" xfId="0" applyNumberFormat="1" applyFont="1" applyBorder="1" applyAlignment="1">
      <alignment horizontal="center" vertical="center"/>
    </xf>
    <xf numFmtId="37" fontId="316" fillId="0" borderId="9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2" fillId="0" borderId="61" xfId="0" applyFont="1" applyBorder="1"/>
    <xf numFmtId="0" fontId="11" fillId="0" borderId="61" xfId="0" applyFont="1" applyBorder="1"/>
    <xf numFmtId="0" fontId="1" fillId="0" borderId="19" xfId="0" applyFont="1" applyBorder="1"/>
    <xf numFmtId="0" fontId="3" fillId="0" borderId="17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318" fillId="0" borderId="0" xfId="1" applyNumberFormat="1" applyFont="1" applyFill="1" applyBorder="1" applyAlignment="1" applyProtection="1">
      <alignment vertical="top"/>
      <protection hidden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07" fillId="0" borderId="0" xfId="0" applyNumberFormat="1" applyFont="1" applyBorder="1" applyAlignment="1">
      <alignment horizontal="center"/>
    </xf>
    <xf numFmtId="170" fontId="319" fillId="0" borderId="0" xfId="0" applyNumberFormat="1" applyFont="1" applyBorder="1"/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80" fillId="0" borderId="0" xfId="0" applyFont="1" applyBorder="1" applyAlignment="1">
      <alignment horizontal="center" vertical="center" textRotation="255"/>
    </xf>
    <xf numFmtId="170" fontId="8" fillId="0" borderId="20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/>
    <xf numFmtId="0" fontId="3" fillId="0" borderId="17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170" fontId="7" fillId="0" borderId="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/>
    </xf>
    <xf numFmtId="0" fontId="1" fillId="0" borderId="17" xfId="0" applyFont="1" applyBorder="1" applyAlignment="1"/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171" fontId="321" fillId="0" borderId="94" xfId="0" applyNumberFormat="1" applyFont="1" applyBorder="1" applyAlignment="1">
      <alignment horizontal="center" vertical="center"/>
    </xf>
    <xf numFmtId="168" fontId="269" fillId="0" borderId="21" xfId="0" applyNumberFormat="1" applyFont="1" applyFill="1" applyBorder="1" applyAlignment="1">
      <alignment horizontal="center"/>
    </xf>
    <xf numFmtId="4" fontId="284" fillId="0" borderId="21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/>
    <xf numFmtId="9" fontId="3" fillId="0" borderId="0" xfId="36" applyNumberFormat="1" applyFont="1" applyBorder="1" applyAlignment="1">
      <alignment horizontal="center" vertical="center"/>
    </xf>
    <xf numFmtId="2" fontId="0" fillId="0" borderId="0" xfId="0" applyNumberFormat="1" applyBorder="1"/>
    <xf numFmtId="2" fontId="3" fillId="0" borderId="140" xfId="0" applyNumberFormat="1" applyFont="1" applyBorder="1" applyAlignment="1">
      <alignment horizontal="center" vertical="center"/>
    </xf>
    <xf numFmtId="2" fontId="0" fillId="0" borderId="153" xfId="0" applyNumberFormat="1" applyBorder="1"/>
    <xf numFmtId="2" fontId="3" fillId="0" borderId="154" xfId="0" applyNumberFormat="1" applyFont="1" applyBorder="1" applyAlignment="1">
      <alignment horizontal="center" vertical="center"/>
    </xf>
    <xf numFmtId="9" fontId="3" fillId="0" borderId="124" xfId="36" applyNumberFormat="1" applyFont="1" applyBorder="1" applyAlignment="1">
      <alignment horizontal="center" vertical="center"/>
    </xf>
    <xf numFmtId="2" fontId="0" fillId="0" borderId="156" xfId="0" applyNumberFormat="1" applyBorder="1"/>
    <xf numFmtId="2" fontId="0" fillId="0" borderId="124" xfId="0" applyNumberFormat="1" applyBorder="1"/>
    <xf numFmtId="44" fontId="23" fillId="0" borderId="132" xfId="0" applyNumberFormat="1" applyFont="1" applyBorder="1"/>
    <xf numFmtId="0" fontId="0" fillId="0" borderId="150" xfId="0" applyBorder="1"/>
    <xf numFmtId="0" fontId="0" fillId="0" borderId="154" xfId="0" applyBorder="1"/>
    <xf numFmtId="0" fontId="0" fillId="0" borderId="182" xfId="0" applyBorder="1"/>
    <xf numFmtId="2" fontId="3" fillId="0" borderId="182" xfId="0" applyNumberFormat="1" applyFont="1" applyBorder="1" applyAlignment="1">
      <alignment horizontal="center" vertical="center"/>
    </xf>
    <xf numFmtId="9" fontId="3" fillId="0" borderId="22" xfId="36" applyNumberFormat="1" applyFont="1" applyBorder="1" applyAlignment="1">
      <alignment horizontal="center" vertical="center"/>
    </xf>
    <xf numFmtId="2" fontId="0" fillId="0" borderId="183" xfId="0" applyNumberFormat="1" applyBorder="1"/>
    <xf numFmtId="2" fontId="0" fillId="0" borderId="22" xfId="0" applyNumberFormat="1" applyBorder="1"/>
    <xf numFmtId="44" fontId="23" fillId="0" borderId="83" xfId="0" applyNumberFormat="1" applyFont="1" applyBorder="1"/>
    <xf numFmtId="0" fontId="23" fillId="0" borderId="0" xfId="0" applyFont="1"/>
    <xf numFmtId="0" fontId="322" fillId="0" borderId="150" xfId="0" applyFont="1" applyBorder="1" applyAlignment="1">
      <alignment horizontal="center"/>
    </xf>
    <xf numFmtId="0" fontId="322" fillId="0" borderId="15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52" xfId="0" applyFont="1" applyBorder="1"/>
    <xf numFmtId="0" fontId="1" fillId="0" borderId="183" xfId="0" applyFont="1" applyBorder="1"/>
    <xf numFmtId="0" fontId="1" fillId="0" borderId="156" xfId="0" applyFont="1" applyBorder="1"/>
    <xf numFmtId="44" fontId="149" fillId="0" borderId="105" xfId="0" applyNumberFormat="1" applyFont="1" applyBorder="1"/>
    <xf numFmtId="0" fontId="11" fillId="0" borderId="10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65" fillId="27" borderId="17" xfId="0" applyFont="1" applyFill="1" applyBorder="1" applyAlignment="1">
      <alignment horizontal="center" vertical="center"/>
    </xf>
    <xf numFmtId="49" fontId="269" fillId="27" borderId="0" xfId="0" applyNumberFormat="1" applyFont="1" applyFill="1" applyBorder="1" applyAlignment="1">
      <alignment horizontal="left"/>
    </xf>
    <xf numFmtId="0" fontId="1" fillId="27" borderId="18" xfId="0" applyFont="1" applyFill="1" applyBorder="1" applyAlignment="1"/>
    <xf numFmtId="0" fontId="265" fillId="27" borderId="19" xfId="0" applyFont="1" applyFill="1" applyBorder="1" applyAlignment="1">
      <alignment horizontal="center" vertical="center"/>
    </xf>
    <xf numFmtId="49" fontId="269" fillId="27" borderId="20" xfId="0" applyNumberFormat="1" applyFont="1" applyFill="1" applyBorder="1" applyAlignment="1">
      <alignment horizontal="center"/>
    </xf>
    <xf numFmtId="49" fontId="269" fillId="27" borderId="0" xfId="0" applyNumberFormat="1" applyFont="1" applyFill="1" applyBorder="1" applyAlignment="1">
      <alignment horizontal="center"/>
    </xf>
    <xf numFmtId="0" fontId="1" fillId="27" borderId="19" xfId="0" applyFont="1" applyFill="1" applyBorder="1" applyAlignment="1"/>
    <xf numFmtId="170" fontId="319" fillId="27" borderId="20" xfId="0" applyNumberFormat="1" applyFont="1" applyFill="1" applyBorder="1"/>
    <xf numFmtId="49" fontId="307" fillId="27" borderId="20" xfId="0" applyNumberFormat="1" applyFont="1" applyFill="1" applyBorder="1" applyAlignment="1">
      <alignment horizontal="center"/>
    </xf>
    <xf numFmtId="170" fontId="313" fillId="27" borderId="20" xfId="0" applyNumberFormat="1" applyFont="1" applyFill="1" applyBorder="1"/>
    <xf numFmtId="170" fontId="314" fillId="27" borderId="20" xfId="0" applyNumberFormat="1" applyFont="1" applyFill="1" applyBorder="1"/>
    <xf numFmtId="0" fontId="1" fillId="27" borderId="0" xfId="0" applyFont="1" applyFill="1" applyBorder="1" applyAlignment="1">
      <alignment horizontal="center" vertical="center"/>
    </xf>
    <xf numFmtId="0" fontId="3" fillId="27" borderId="21" xfId="0" applyFont="1" applyFill="1" applyBorder="1" applyAlignment="1"/>
    <xf numFmtId="49" fontId="1" fillId="27" borderId="0" xfId="0" applyNumberFormat="1" applyFont="1" applyFill="1" applyBorder="1" applyAlignment="1">
      <alignment horizontal="center" vertical="center"/>
    </xf>
    <xf numFmtId="168" fontId="303" fillId="27" borderId="21" xfId="0" applyNumberFormat="1" applyFont="1" applyFill="1" applyBorder="1" applyAlignment="1">
      <alignment horizontal="center"/>
    </xf>
    <xf numFmtId="168" fontId="303" fillId="27" borderId="18" xfId="0" applyNumberFormat="1" applyFont="1" applyFill="1" applyBorder="1" applyAlignment="1">
      <alignment horizontal="center"/>
    </xf>
    <xf numFmtId="49" fontId="23" fillId="27" borderId="20" xfId="0" applyNumberFormat="1" applyFont="1" applyFill="1" applyBorder="1" applyAlignment="1">
      <alignment horizontal="center"/>
    </xf>
    <xf numFmtId="49" fontId="18" fillId="27" borderId="20" xfId="0" applyNumberFormat="1" applyFont="1" applyFill="1" applyBorder="1" applyAlignment="1">
      <alignment horizontal="center" vertical="center"/>
    </xf>
    <xf numFmtId="168" fontId="27" fillId="27" borderId="21" xfId="0" applyNumberFormat="1" applyFont="1" applyFill="1" applyBorder="1" applyAlignment="1">
      <alignment horizontal="center"/>
    </xf>
    <xf numFmtId="168" fontId="22" fillId="27" borderId="21" xfId="0" applyNumberFormat="1" applyFont="1" applyFill="1" applyBorder="1" applyAlignment="1">
      <alignment horizontal="center"/>
    </xf>
    <xf numFmtId="0" fontId="37" fillId="27" borderId="19" xfId="0" applyFont="1" applyFill="1" applyBorder="1" applyAlignment="1">
      <alignment horizontal="left"/>
    </xf>
    <xf numFmtId="0" fontId="18" fillId="27" borderId="20" xfId="0" applyFont="1" applyFill="1" applyBorder="1" applyAlignment="1">
      <alignment horizontal="center" vertical="center"/>
    </xf>
    <xf numFmtId="170" fontId="22" fillId="27" borderId="20" xfId="0" applyNumberFormat="1" applyFont="1" applyFill="1" applyBorder="1"/>
    <xf numFmtId="169" fontId="24" fillId="27" borderId="21" xfId="0" applyNumberFormat="1" applyFont="1" applyFill="1" applyBorder="1" applyAlignment="1">
      <alignment horizontal="center"/>
    </xf>
    <xf numFmtId="0" fontId="18" fillId="27" borderId="21" xfId="0" applyFont="1" applyFill="1" applyBorder="1" applyAlignment="1"/>
    <xf numFmtId="186" fontId="27" fillId="27" borderId="21" xfId="0" applyNumberFormat="1" applyFont="1" applyFill="1" applyBorder="1" applyAlignment="1">
      <alignment horizontal="center"/>
    </xf>
    <xf numFmtId="4" fontId="306" fillId="27" borderId="21" xfId="0" applyNumberFormat="1" applyFont="1" applyFill="1" applyBorder="1" applyAlignment="1">
      <alignment horizontal="center"/>
    </xf>
    <xf numFmtId="4" fontId="37" fillId="27" borderId="21" xfId="0" applyNumberFormat="1" applyFont="1" applyFill="1" applyBorder="1" applyAlignment="1">
      <alignment horizontal="center"/>
    </xf>
    <xf numFmtId="0" fontId="22" fillId="27" borderId="0" xfId="0" applyFont="1" applyFill="1" applyAlignment="1">
      <alignment horizontal="left" indent="1"/>
    </xf>
    <xf numFmtId="170" fontId="283" fillId="27" borderId="20" xfId="0" applyNumberFormat="1" applyFont="1" applyFill="1" applyBorder="1"/>
    <xf numFmtId="0" fontId="3" fillId="27" borderId="20" xfId="0" applyFont="1" applyFill="1" applyBorder="1" applyAlignment="1">
      <alignment horizontal="center" vertical="center"/>
    </xf>
    <xf numFmtId="170" fontId="33" fillId="27" borderId="20" xfId="0" applyNumberFormat="1" applyFont="1" applyFill="1" applyBorder="1"/>
    <xf numFmtId="49" fontId="34" fillId="27" borderId="20" xfId="0" applyNumberFormat="1" applyFont="1" applyFill="1" applyBorder="1" applyAlignment="1">
      <alignment horizontal="center"/>
    </xf>
    <xf numFmtId="170" fontId="35" fillId="27" borderId="20" xfId="0" applyNumberFormat="1" applyFont="1" applyFill="1" applyBorder="1"/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12" fillId="0" borderId="0" xfId="0" applyNumberFormat="1" applyFont="1" applyBorder="1" applyAlignment="1"/>
    <xf numFmtId="0" fontId="265" fillId="28" borderId="19" xfId="0" applyFont="1" applyFill="1" applyBorder="1" applyAlignment="1">
      <alignment horizontal="center" vertical="center"/>
    </xf>
    <xf numFmtId="0" fontId="265" fillId="28" borderId="20" xfId="0" applyFont="1" applyFill="1" applyBorder="1" applyAlignment="1">
      <alignment horizontal="center" vertical="center"/>
    </xf>
    <xf numFmtId="170" fontId="269" fillId="28" borderId="20" xfId="0" applyNumberFormat="1" applyFont="1" applyFill="1" applyBorder="1"/>
    <xf numFmtId="49" fontId="270" fillId="28" borderId="20" xfId="0" applyNumberFormat="1" applyFont="1" applyFill="1" applyBorder="1" applyAlignment="1">
      <alignment horizontal="center"/>
    </xf>
    <xf numFmtId="49" fontId="269" fillId="28" borderId="20" xfId="0" applyNumberFormat="1" applyFont="1" applyFill="1" applyBorder="1" applyAlignment="1">
      <alignment horizontal="center"/>
    </xf>
    <xf numFmtId="170" fontId="271" fillId="28" borderId="20" xfId="0" applyNumberFormat="1" applyFont="1" applyFill="1" applyBorder="1"/>
    <xf numFmtId="49" fontId="265" fillId="28" borderId="20" xfId="0" applyNumberFormat="1" applyFont="1" applyFill="1" applyBorder="1" applyAlignment="1">
      <alignment horizontal="center" vertical="center"/>
    </xf>
    <xf numFmtId="169" fontId="272" fillId="28" borderId="21" xfId="0" applyNumberFormat="1" applyFont="1" applyFill="1" applyBorder="1" applyAlignment="1">
      <alignment horizontal="center"/>
    </xf>
    <xf numFmtId="0" fontId="1" fillId="28" borderId="21" xfId="0" applyFont="1" applyFill="1" applyBorder="1" applyAlignment="1"/>
    <xf numFmtId="168" fontId="15" fillId="28" borderId="21" xfId="0" applyNumberFormat="1" applyFont="1" applyFill="1" applyBorder="1" applyAlignment="1">
      <alignment horizontal="center"/>
    </xf>
    <xf numFmtId="186" fontId="15" fillId="28" borderId="21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27" borderId="0" xfId="0" applyFill="1"/>
    <xf numFmtId="0" fontId="29" fillId="27" borderId="0" xfId="0" applyFont="1" applyFill="1" applyBorder="1" applyAlignment="1">
      <alignment horizontal="center" vertical="center" textRotation="90"/>
    </xf>
    <xf numFmtId="0" fontId="8" fillId="27" borderId="0" xfId="0" applyFont="1" applyFill="1" applyAlignment="1">
      <alignment horizontal="center" vertical="center"/>
    </xf>
    <xf numFmtId="0" fontId="9" fillId="27" borderId="0" xfId="0" applyFont="1" applyFill="1" applyAlignment="1">
      <alignment horizontal="center" vertical="center"/>
    </xf>
    <xf numFmtId="49" fontId="11" fillId="27" borderId="0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28" borderId="20" xfId="0" applyFont="1" applyFill="1" applyBorder="1" applyAlignment="1">
      <alignment horizontal="center" vertical="center"/>
    </xf>
    <xf numFmtId="170" fontId="11" fillId="28" borderId="20" xfId="0" applyNumberFormat="1" applyFont="1" applyFill="1" applyBorder="1"/>
    <xf numFmtId="49" fontId="9" fillId="28" borderId="20" xfId="0" applyNumberFormat="1" applyFont="1" applyFill="1" applyBorder="1" applyAlignment="1">
      <alignment horizontal="center"/>
    </xf>
    <xf numFmtId="49" fontId="11" fillId="28" borderId="20" xfId="0" applyNumberFormat="1" applyFont="1" applyFill="1" applyBorder="1" applyAlignment="1">
      <alignment horizontal="center"/>
    </xf>
    <xf numFmtId="170" fontId="32" fillId="28" borderId="20" xfId="0" applyNumberFormat="1" applyFont="1" applyFill="1" applyBorder="1"/>
    <xf numFmtId="49" fontId="1" fillId="28" borderId="20" xfId="0" applyNumberFormat="1" applyFont="1" applyFill="1" applyBorder="1" applyAlignment="1">
      <alignment horizontal="center" vertical="center"/>
    </xf>
    <xf numFmtId="169" fontId="13" fillId="28" borderId="21" xfId="0" applyNumberFormat="1" applyFont="1" applyFill="1" applyBorder="1" applyAlignment="1">
      <alignment horizontal="center"/>
    </xf>
    <xf numFmtId="168" fontId="11" fillId="28" borderId="21" xfId="0" applyNumberFormat="1" applyFont="1" applyFill="1" applyBorder="1" applyAlignment="1">
      <alignment horizontal="center"/>
    </xf>
    <xf numFmtId="4" fontId="305" fillId="28" borderId="21" xfId="0" applyNumberFormat="1" applyFont="1" applyFill="1" applyBorder="1" applyAlignment="1">
      <alignment horizontal="center"/>
    </xf>
    <xf numFmtId="4" fontId="12" fillId="28" borderId="21" xfId="0" applyNumberFormat="1" applyFont="1" applyFill="1" applyBorder="1" applyAlignment="1">
      <alignment horizontal="center"/>
    </xf>
    <xf numFmtId="0" fontId="12" fillId="28" borderId="19" xfId="0" applyFont="1" applyFill="1" applyBorder="1" applyAlignment="1">
      <alignment horizontal="left"/>
    </xf>
    <xf numFmtId="0" fontId="1" fillId="28" borderId="19" xfId="0" applyFont="1" applyFill="1" applyBorder="1" applyAlignment="1"/>
    <xf numFmtId="170" fontId="8" fillId="0" borderId="66" xfId="0" applyNumberFormat="1" applyFont="1" applyBorder="1" applyAlignment="1">
      <alignment horizontal="center" vertical="center"/>
    </xf>
    <xf numFmtId="170" fontId="50" fillId="0" borderId="66" xfId="0" applyNumberFormat="1" applyFont="1" applyBorder="1" applyAlignment="1">
      <alignment horizontal="center" vertical="center"/>
    </xf>
    <xf numFmtId="171" fontId="87" fillId="0" borderId="169" xfId="0" applyNumberFormat="1" applyFont="1" applyBorder="1" applyAlignment="1">
      <alignment horizontal="center" vertical="center"/>
    </xf>
    <xf numFmtId="0" fontId="11" fillId="0" borderId="181" xfId="0" applyFont="1" applyBorder="1" applyAlignment="1">
      <alignment vertical="center"/>
    </xf>
    <xf numFmtId="170" fontId="8" fillId="0" borderId="61" xfId="0" applyNumberFormat="1" applyFont="1" applyBorder="1" applyAlignment="1">
      <alignment horizontal="center" vertical="center"/>
    </xf>
    <xf numFmtId="170" fontId="50" fillId="0" borderId="6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65" fillId="28" borderId="21" xfId="0" applyFont="1" applyFill="1" applyBorder="1" applyAlignment="1"/>
    <xf numFmtId="168" fontId="272" fillId="28" borderId="21" xfId="0" applyNumberFormat="1" applyFont="1" applyFill="1" applyBorder="1" applyAlignment="1">
      <alignment horizontal="center"/>
    </xf>
    <xf numFmtId="186" fontId="272" fillId="28" borderId="21" xfId="0" applyNumberFormat="1" applyFont="1" applyFill="1" applyBorder="1" applyAlignment="1">
      <alignment horizontal="center"/>
    </xf>
    <xf numFmtId="168" fontId="269" fillId="28" borderId="21" xfId="0" applyNumberFormat="1" applyFont="1" applyFill="1" applyBorder="1" applyAlignment="1">
      <alignment horizontal="center"/>
    </xf>
    <xf numFmtId="4" fontId="284" fillId="28" borderId="21" xfId="0" applyNumberFormat="1" applyFont="1" applyFill="1" applyBorder="1" applyAlignment="1">
      <alignment horizontal="center"/>
    </xf>
    <xf numFmtId="0" fontId="284" fillId="28" borderId="19" xfId="0" applyFont="1" applyFill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24" fillId="0" borderId="0" xfId="0" applyFont="1" applyAlignment="1">
      <alignment horizontal="center"/>
    </xf>
    <xf numFmtId="0" fontId="265" fillId="0" borderId="0" xfId="0" applyNumberFormat="1" applyFont="1"/>
    <xf numFmtId="169" fontId="269" fillId="0" borderId="4" xfId="0" applyNumberFormat="1" applyFont="1" applyBorder="1" applyAlignment="1">
      <alignment horizontal="center" vertical="center"/>
    </xf>
    <xf numFmtId="49" fontId="265" fillId="0" borderId="4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9" fontId="218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11" fillId="0" borderId="20" xfId="0" applyNumberFormat="1" applyFont="1" applyBorder="1" applyAlignment="1"/>
    <xf numFmtId="0" fontId="12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69" fillId="0" borderId="4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3" fontId="326" fillId="0" borderId="0" xfId="0" applyNumberFormat="1" applyFont="1"/>
    <xf numFmtId="43" fontId="327" fillId="0" borderId="0" xfId="0" applyNumberFormat="1" applyFont="1"/>
    <xf numFmtId="2" fontId="326" fillId="0" borderId="0" xfId="0" applyNumberFormat="1" applyFont="1" applyAlignment="1">
      <alignment horizontal="center"/>
    </xf>
    <xf numFmtId="0" fontId="328" fillId="0" borderId="0" xfId="0" applyFont="1"/>
    <xf numFmtId="0" fontId="328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2" fillId="0" borderId="19" xfId="0" applyFont="1" applyBorder="1"/>
    <xf numFmtId="0" fontId="11" fillId="0" borderId="19" xfId="0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0" fillId="0" borderId="61" xfId="0" applyBorder="1"/>
    <xf numFmtId="49" fontId="0" fillId="0" borderId="61" xfId="0" applyNumberFormat="1" applyBorder="1" applyAlignment="1">
      <alignment horizontal="center"/>
    </xf>
    <xf numFmtId="168" fontId="14" fillId="27" borderId="18" xfId="0" applyNumberFormat="1" applyFont="1" applyFill="1" applyBorder="1" applyAlignment="1">
      <alignment horizontal="center"/>
    </xf>
    <xf numFmtId="168" fontId="13" fillId="0" borderId="18" xfId="0" applyNumberFormat="1" applyFont="1" applyBorder="1" applyAlignment="1">
      <alignment horizontal="center"/>
    </xf>
    <xf numFmtId="168" fontId="13" fillId="0" borderId="21" xfId="0" applyNumberFormat="1" applyFont="1" applyBorder="1" applyAlignment="1">
      <alignment horizontal="center"/>
    </xf>
    <xf numFmtId="0" fontId="317" fillId="0" borderId="19" xfId="0" applyFont="1" applyBorder="1" applyAlignment="1">
      <alignment horizontal="center"/>
    </xf>
    <xf numFmtId="0" fontId="317" fillId="0" borderId="4" xfId="0" applyFont="1" applyBorder="1" applyAlignment="1">
      <alignment horizontal="center"/>
    </xf>
    <xf numFmtId="0" fontId="317" fillId="0" borderId="61" xfId="0" applyFont="1" applyBorder="1" applyAlignment="1">
      <alignment horizontal="center"/>
    </xf>
    <xf numFmtId="184" fontId="115" fillId="25" borderId="132" xfId="0" applyNumberFormat="1" applyFont="1" applyFill="1" applyBorder="1" applyAlignment="1">
      <alignment horizontal="center" vertical="center" textRotation="255"/>
    </xf>
    <xf numFmtId="184" fontId="115" fillId="25" borderId="103" xfId="0" applyNumberFormat="1" applyFont="1" applyFill="1" applyBorder="1" applyAlignment="1">
      <alignment horizontal="center" vertical="center" textRotation="255"/>
    </xf>
    <xf numFmtId="184" fontId="81" fillId="0" borderId="108" xfId="0" applyNumberFormat="1" applyFont="1" applyBorder="1" applyAlignment="1">
      <alignment horizontal="center" vertical="center" textRotation="255"/>
    </xf>
    <xf numFmtId="184" fontId="81" fillId="0" borderId="132" xfId="0" applyNumberFormat="1" applyFont="1" applyBorder="1" applyAlignment="1">
      <alignment horizontal="center" vertical="center" textRotation="255"/>
    </xf>
    <xf numFmtId="184" fontId="81" fillId="0" borderId="103" xfId="0" applyNumberFormat="1" applyFont="1" applyBorder="1" applyAlignment="1">
      <alignment horizontal="center" vertical="center" textRotation="255"/>
    </xf>
    <xf numFmtId="168" fontId="23" fillId="0" borderId="130" xfId="0" applyNumberFormat="1" applyFont="1" applyBorder="1" applyAlignment="1">
      <alignment horizontal="center" vertical="center"/>
    </xf>
    <xf numFmtId="168" fontId="23" fillId="0" borderId="54" xfId="0" applyNumberFormat="1" applyFont="1" applyBorder="1" applyAlignment="1">
      <alignment horizontal="center" vertical="center"/>
    </xf>
    <xf numFmtId="168" fontId="23" fillId="0" borderId="107" xfId="0" applyNumberFormat="1" applyFont="1" applyBorder="1" applyAlignment="1">
      <alignment horizontal="center" vertical="center"/>
    </xf>
    <xf numFmtId="1" fontId="47" fillId="0" borderId="19" xfId="0" applyNumberFormat="1" applyFont="1" applyBorder="1" applyAlignment="1">
      <alignment horizontal="center" vertical="center"/>
    </xf>
    <xf numFmtId="1" fontId="47" fillId="0" borderId="94" xfId="0" applyNumberFormat="1" applyFont="1" applyBorder="1" applyAlignment="1">
      <alignment horizontal="center" vertical="center"/>
    </xf>
    <xf numFmtId="170" fontId="16" fillId="0" borderId="55" xfId="0" applyNumberFormat="1" applyFont="1" applyFill="1" applyBorder="1" applyAlignment="1">
      <alignment horizontal="center" vertical="center" wrapText="1"/>
    </xf>
    <xf numFmtId="170" fontId="16" fillId="0" borderId="107" xfId="0" applyNumberFormat="1" applyFont="1" applyFill="1" applyBorder="1" applyAlignment="1">
      <alignment horizontal="center" vertical="center" wrapText="1"/>
    </xf>
    <xf numFmtId="184" fontId="62" fillId="0" borderId="108" xfId="0" applyNumberFormat="1" applyFont="1" applyBorder="1" applyAlignment="1">
      <alignment horizontal="center" vertical="center" textRotation="255"/>
    </xf>
    <xf numFmtId="184" fontId="62" fillId="0" borderId="132" xfId="0" applyNumberFormat="1" applyFont="1" applyBorder="1" applyAlignment="1">
      <alignment horizontal="center" vertical="center" textRotation="255"/>
    </xf>
    <xf numFmtId="184" fontId="62" fillId="0" borderId="103" xfId="0" applyNumberFormat="1" applyFont="1" applyBorder="1" applyAlignment="1">
      <alignment horizontal="center" vertical="center" textRotation="255"/>
    </xf>
    <xf numFmtId="184" fontId="70" fillId="0" borderId="108" xfId="0" applyNumberFormat="1" applyFont="1" applyBorder="1" applyAlignment="1">
      <alignment horizontal="center" vertical="center" textRotation="255"/>
    </xf>
    <xf numFmtId="184" fontId="70" fillId="0" borderId="132" xfId="0" applyNumberFormat="1" applyFont="1" applyBorder="1" applyAlignment="1">
      <alignment horizontal="center" vertical="center" textRotation="255"/>
    </xf>
    <xf numFmtId="184" fontId="70" fillId="0" borderId="103" xfId="0" applyNumberFormat="1" applyFont="1" applyBorder="1" applyAlignment="1">
      <alignment horizontal="center" vertical="center" textRotation="255"/>
    </xf>
    <xf numFmtId="17" fontId="65" fillId="0" borderId="0" xfId="0" applyNumberFormat="1" applyFont="1" applyBorder="1" applyAlignment="1">
      <alignment horizontal="center" vertical="center"/>
    </xf>
    <xf numFmtId="184" fontId="71" fillId="0" borderId="108" xfId="0" applyNumberFormat="1" applyFont="1" applyBorder="1" applyAlignment="1">
      <alignment horizontal="center" vertical="center" textRotation="255"/>
    </xf>
    <xf numFmtId="184" fontId="71" fillId="0" borderId="132" xfId="0" applyNumberFormat="1" applyFont="1" applyBorder="1" applyAlignment="1">
      <alignment horizontal="center" vertical="center" textRotation="255"/>
    </xf>
    <xf numFmtId="184" fontId="71" fillId="0" borderId="103" xfId="0" applyNumberFormat="1" applyFont="1" applyBorder="1" applyAlignment="1">
      <alignment horizontal="center" vertical="center" textRotation="255"/>
    </xf>
    <xf numFmtId="184" fontId="78" fillId="0" borderId="108" xfId="0" applyNumberFormat="1" applyFont="1" applyBorder="1" applyAlignment="1">
      <alignment horizontal="center" vertical="center" textRotation="255"/>
    </xf>
    <xf numFmtId="184" fontId="78" fillId="0" borderId="132" xfId="0" applyNumberFormat="1" applyFont="1" applyBorder="1" applyAlignment="1">
      <alignment horizontal="center" vertical="center" textRotation="255"/>
    </xf>
    <xf numFmtId="184" fontId="78" fillId="0" borderId="103" xfId="0" applyNumberFormat="1" applyFont="1" applyBorder="1" applyAlignment="1">
      <alignment horizontal="center" vertical="center" textRotation="255"/>
    </xf>
    <xf numFmtId="184" fontId="59" fillId="0" borderId="108" xfId="0" applyNumberFormat="1" applyFont="1" applyBorder="1" applyAlignment="1">
      <alignment horizontal="center" vertical="center" textRotation="255"/>
    </xf>
    <xf numFmtId="184" fontId="59" fillId="0" borderId="132" xfId="0" applyNumberFormat="1" applyFont="1" applyBorder="1" applyAlignment="1">
      <alignment horizontal="center" vertical="center" textRotation="255"/>
    </xf>
    <xf numFmtId="184" fontId="59" fillId="0" borderId="103" xfId="0" applyNumberFormat="1" applyFont="1" applyBorder="1" applyAlignment="1">
      <alignment horizontal="center" vertical="center" textRotation="255"/>
    </xf>
    <xf numFmtId="0" fontId="30" fillId="19" borderId="43" xfId="0" applyFont="1" applyFill="1" applyBorder="1" applyAlignment="1">
      <alignment horizontal="center"/>
    </xf>
    <xf numFmtId="0" fontId="30" fillId="19" borderId="0" xfId="0" applyFont="1" applyFill="1" applyBorder="1" applyAlignment="1">
      <alignment horizontal="center"/>
    </xf>
    <xf numFmtId="0" fontId="30" fillId="19" borderId="44" xfId="0" applyFont="1" applyFill="1" applyBorder="1" applyAlignment="1">
      <alignment horizontal="center"/>
    </xf>
    <xf numFmtId="184" fontId="83" fillId="0" borderId="108" xfId="0" applyNumberFormat="1" applyFont="1" applyBorder="1" applyAlignment="1">
      <alignment horizontal="center" vertical="center" textRotation="255"/>
    </xf>
    <xf numFmtId="184" fontId="83" fillId="0" borderId="132" xfId="0" applyNumberFormat="1" applyFont="1" applyBorder="1" applyAlignment="1">
      <alignment horizontal="center" vertical="center" textRotation="255"/>
    </xf>
    <xf numFmtId="184" fontId="83" fillId="0" borderId="103" xfId="0" applyNumberFormat="1" applyFont="1" applyBorder="1" applyAlignment="1">
      <alignment horizontal="center" vertical="center" textRotation="255"/>
    </xf>
    <xf numFmtId="168" fontId="47" fillId="0" borderId="64" xfId="0" applyNumberFormat="1" applyFont="1" applyBorder="1" applyAlignment="1">
      <alignment horizontal="center" vertical="center" wrapText="1"/>
    </xf>
    <xf numFmtId="168" fontId="47" fillId="0" borderId="65" xfId="0" applyNumberFormat="1" applyFont="1" applyBorder="1" applyAlignment="1">
      <alignment horizontal="center" vertical="center" wrapText="1"/>
    </xf>
    <xf numFmtId="168" fontId="47" fillId="0" borderId="181" xfId="0" applyNumberFormat="1" applyFont="1" applyBorder="1" applyAlignment="1">
      <alignment horizontal="center" vertical="center" wrapText="1"/>
    </xf>
    <xf numFmtId="168" fontId="98" fillId="0" borderId="145" xfId="0" applyNumberFormat="1" applyFont="1" applyBorder="1" applyAlignment="1">
      <alignment horizontal="center" vertical="center"/>
    </xf>
    <xf numFmtId="168" fontId="98" fillId="0" borderId="146" xfId="0" applyNumberFormat="1" applyFont="1" applyBorder="1" applyAlignment="1">
      <alignment horizontal="center" vertical="center"/>
    </xf>
    <xf numFmtId="168" fontId="98" fillId="0" borderId="147" xfId="0" applyNumberFormat="1" applyFont="1" applyBorder="1" applyAlignment="1">
      <alignment horizontal="center" vertical="center"/>
    </xf>
    <xf numFmtId="1" fontId="134" fillId="16" borderId="19" xfId="0" applyNumberFormat="1" applyFont="1" applyFill="1" applyBorder="1" applyAlignment="1">
      <alignment horizontal="center" vertical="center"/>
    </xf>
    <xf numFmtId="1" fontId="134" fillId="16" borderId="94" xfId="0" applyNumberFormat="1" applyFont="1" applyFill="1" applyBorder="1" applyAlignment="1">
      <alignment horizontal="center" vertical="center"/>
    </xf>
    <xf numFmtId="1" fontId="135" fillId="0" borderId="63" xfId="0" applyNumberFormat="1" applyFont="1" applyBorder="1" applyAlignment="1">
      <alignment horizontal="center" vertical="center"/>
    </xf>
    <xf numFmtId="1" fontId="135" fillId="0" borderId="104" xfId="0" applyNumberFormat="1" applyFont="1" applyBorder="1" applyAlignment="1">
      <alignment horizontal="center" vertical="center"/>
    </xf>
    <xf numFmtId="1" fontId="47" fillId="16" borderId="19" xfId="0" applyNumberFormat="1" applyFont="1" applyFill="1" applyBorder="1" applyAlignment="1">
      <alignment horizontal="center" vertical="center"/>
    </xf>
    <xf numFmtId="1" fontId="47" fillId="16" borderId="94" xfId="0" applyNumberFormat="1" applyFont="1" applyFill="1" applyBorder="1" applyAlignment="1">
      <alignment horizontal="center" vertical="center"/>
    </xf>
    <xf numFmtId="1" fontId="47" fillId="16" borderId="61" xfId="0" applyNumberFormat="1" applyFont="1" applyFill="1" applyBorder="1" applyAlignment="1">
      <alignment horizontal="center" vertical="center"/>
    </xf>
    <xf numFmtId="1" fontId="47" fillId="16" borderId="169" xfId="0" applyNumberFormat="1" applyFont="1" applyFill="1" applyBorder="1" applyAlignment="1">
      <alignment horizontal="center" vertical="center"/>
    </xf>
    <xf numFmtId="170" fontId="134" fillId="16" borderId="130" xfId="0" applyNumberFormat="1" applyFont="1" applyFill="1" applyBorder="1" applyAlignment="1">
      <alignment horizontal="center" vertical="center"/>
    </xf>
    <xf numFmtId="170" fontId="134" fillId="16" borderId="54" xfId="0" applyNumberFormat="1" applyFont="1" applyFill="1" applyBorder="1" applyAlignment="1">
      <alignment horizontal="center" vertical="center"/>
    </xf>
    <xf numFmtId="170" fontId="134" fillId="16" borderId="106" xfId="0" applyNumberFormat="1" applyFont="1" applyFill="1" applyBorder="1" applyAlignment="1">
      <alignment horizontal="center" vertical="center"/>
    </xf>
    <xf numFmtId="168" fontId="23" fillId="0" borderId="178" xfId="0" applyNumberFormat="1" applyFont="1" applyBorder="1" applyAlignment="1">
      <alignment horizontal="center" vertical="center" wrapText="1"/>
    </xf>
    <xf numFmtId="168" fontId="23" fillId="0" borderId="179" xfId="0" applyNumberFormat="1" applyFont="1" applyBorder="1" applyAlignment="1">
      <alignment horizontal="center" vertical="center" wrapText="1"/>
    </xf>
    <xf numFmtId="168" fontId="23" fillId="0" borderId="180" xfId="0" applyNumberFormat="1" applyFont="1" applyBorder="1" applyAlignment="1">
      <alignment horizontal="center" vertical="center" wrapText="1"/>
    </xf>
    <xf numFmtId="168" fontId="74" fillId="0" borderId="182" xfId="0" applyNumberFormat="1" applyFont="1" applyBorder="1" applyAlignment="1">
      <alignment horizontal="center" vertical="center" wrapText="1"/>
    </xf>
    <xf numFmtId="168" fontId="74" fillId="0" borderId="22" xfId="0" applyNumberFormat="1" applyFont="1" applyBorder="1" applyAlignment="1">
      <alignment horizontal="center" vertical="center" wrapText="1"/>
    </xf>
    <xf numFmtId="168" fontId="74" fillId="0" borderId="183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/>
    </xf>
    <xf numFmtId="0" fontId="30" fillId="20" borderId="15" xfId="0" applyFont="1" applyFill="1" applyBorder="1" applyAlignment="1">
      <alignment horizontal="center"/>
    </xf>
    <xf numFmtId="0" fontId="30" fillId="20" borderId="0" xfId="0" applyFont="1" applyFill="1" applyBorder="1" applyAlignment="1">
      <alignment horizontal="center"/>
    </xf>
    <xf numFmtId="0" fontId="30" fillId="20" borderId="16" xfId="0" applyFont="1" applyFill="1" applyBorder="1" applyAlignment="1">
      <alignment horizontal="center"/>
    </xf>
    <xf numFmtId="17" fontId="62" fillId="0" borderId="0" xfId="0" applyNumberFormat="1" applyFont="1" applyBorder="1" applyAlignment="1">
      <alignment horizontal="center" vertical="center"/>
    </xf>
    <xf numFmtId="184" fontId="61" fillId="0" borderId="108" xfId="0" applyNumberFormat="1" applyFont="1" applyBorder="1" applyAlignment="1">
      <alignment horizontal="center" vertical="center" textRotation="255"/>
    </xf>
    <xf numFmtId="184" fontId="61" fillId="0" borderId="132" xfId="0" applyNumberFormat="1" applyFont="1" applyBorder="1" applyAlignment="1">
      <alignment horizontal="center" vertical="center" textRotation="255"/>
    </xf>
    <xf numFmtId="184" fontId="61" fillId="0" borderId="103" xfId="0" applyNumberFormat="1" applyFont="1" applyBorder="1" applyAlignment="1">
      <alignment horizontal="center" vertical="center" textRotation="255"/>
    </xf>
    <xf numFmtId="0" fontId="30" fillId="20" borderId="43" xfId="0" applyFont="1" applyFill="1" applyBorder="1" applyAlignment="1">
      <alignment horizontal="center"/>
    </xf>
    <xf numFmtId="0" fontId="30" fillId="20" borderId="44" xfId="0" applyFont="1" applyFill="1" applyBorder="1" applyAlignment="1">
      <alignment horizontal="center"/>
    </xf>
    <xf numFmtId="178" fontId="21" fillId="21" borderId="45" xfId="0" applyNumberFormat="1" applyFont="1" applyFill="1" applyBorder="1" applyAlignment="1">
      <alignment horizontal="center" vertical="center"/>
    </xf>
    <xf numFmtId="178" fontId="21" fillId="21" borderId="22" xfId="0" applyNumberFormat="1" applyFont="1" applyFill="1" applyBorder="1" applyAlignment="1">
      <alignment horizontal="center" vertical="center"/>
    </xf>
    <xf numFmtId="178" fontId="21" fillId="21" borderId="1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18" fillId="0" borderId="4" xfId="0" applyFont="1" applyBorder="1" applyAlignment="1">
      <alignment horizontal="center" vertical="center" textRotation="90"/>
    </xf>
    <xf numFmtId="187" fontId="60" fillId="0" borderId="108" xfId="0" applyNumberFormat="1" applyFont="1" applyBorder="1" applyAlignment="1">
      <alignment horizontal="center" vertical="center" textRotation="90"/>
    </xf>
    <xf numFmtId="187" fontId="60" fillId="0" borderId="132" xfId="0" applyNumberFormat="1" applyFont="1" applyBorder="1" applyAlignment="1">
      <alignment horizontal="center" vertical="center" textRotation="90"/>
    </xf>
    <xf numFmtId="187" fontId="60" fillId="0" borderId="103" xfId="0" applyNumberFormat="1" applyFont="1" applyBorder="1" applyAlignment="1">
      <alignment horizontal="center" vertical="center" textRotation="90"/>
    </xf>
    <xf numFmtId="187" fontId="1" fillId="0" borderId="108" xfId="0" applyNumberFormat="1" applyFont="1" applyBorder="1" applyAlignment="1">
      <alignment horizontal="center" vertical="center" textRotation="90"/>
    </xf>
    <xf numFmtId="187" fontId="1" fillId="0" borderId="132" xfId="0" applyNumberFormat="1" applyFont="1" applyBorder="1" applyAlignment="1">
      <alignment horizontal="center" vertical="center" textRotation="90"/>
    </xf>
    <xf numFmtId="187" fontId="1" fillId="0" borderId="103" xfId="0" applyNumberFormat="1" applyFont="1" applyBorder="1" applyAlignment="1">
      <alignment horizontal="center" vertical="center" textRotation="90"/>
    </xf>
    <xf numFmtId="0" fontId="58" fillId="0" borderId="108" xfId="0" applyFont="1" applyBorder="1" applyAlignment="1">
      <alignment horizontal="center" vertical="center" textRotation="90" wrapText="1"/>
    </xf>
    <xf numFmtId="0" fontId="58" fillId="0" borderId="103" xfId="0" applyFont="1" applyBorder="1" applyAlignment="1">
      <alignment horizontal="center" vertical="center" textRotation="90"/>
    </xf>
    <xf numFmtId="0" fontId="51" fillId="0" borderId="89" xfId="0" applyFont="1" applyBorder="1" applyAlignment="1">
      <alignment horizontal="center" vertical="center" wrapText="1" shrinkToFit="1"/>
    </xf>
    <xf numFmtId="0" fontId="51" fillId="0" borderId="17" xfId="0" applyFont="1" applyBorder="1" applyAlignment="1">
      <alignment horizontal="center" vertical="center" wrapText="1" shrinkToFit="1"/>
    </xf>
    <xf numFmtId="0" fontId="51" fillId="0" borderId="19" xfId="0" applyFont="1" applyBorder="1" applyAlignment="1">
      <alignment horizontal="center" vertical="center" wrapText="1" shrinkToFit="1"/>
    </xf>
    <xf numFmtId="175" fontId="3" fillId="0" borderId="89" xfId="33" applyNumberFormat="1" applyFont="1" applyBorder="1" applyAlignment="1">
      <alignment horizontal="center" vertical="center"/>
    </xf>
    <xf numFmtId="175" fontId="3" fillId="0" borderId="17" xfId="33" applyNumberFormat="1" applyFont="1" applyBorder="1" applyAlignment="1">
      <alignment horizontal="center" vertical="center"/>
    </xf>
    <xf numFmtId="175" fontId="3" fillId="0" borderId="19" xfId="33" applyNumberFormat="1" applyFont="1" applyBorder="1" applyAlignment="1">
      <alignment horizontal="center" vertical="center"/>
    </xf>
    <xf numFmtId="4" fontId="55" fillId="0" borderId="89" xfId="33" applyNumberFormat="1" applyFont="1" applyBorder="1" applyAlignment="1">
      <alignment horizontal="center" vertical="center"/>
    </xf>
    <xf numFmtId="4" fontId="55" fillId="0" borderId="17" xfId="33" applyNumberFormat="1" applyFont="1" applyBorder="1" applyAlignment="1">
      <alignment horizontal="center" vertical="center"/>
    </xf>
    <xf numFmtId="4" fontId="55" fillId="0" borderId="19" xfId="33" applyNumberFormat="1" applyFont="1" applyBorder="1" applyAlignment="1">
      <alignment horizontal="center" vertical="center"/>
    </xf>
    <xf numFmtId="4" fontId="191" fillId="0" borderId="92" xfId="33" applyNumberFormat="1" applyFont="1" applyBorder="1" applyAlignment="1">
      <alignment horizontal="center" vertical="center"/>
    </xf>
    <xf numFmtId="4" fontId="191" fillId="0" borderId="139" xfId="33" applyNumberFormat="1" applyFont="1" applyBorder="1" applyAlignment="1">
      <alignment horizontal="center" vertical="center"/>
    </xf>
    <xf numFmtId="4" fontId="191" fillId="0" borderId="94" xfId="33" applyNumberFormat="1" applyFont="1" applyBorder="1" applyAlignment="1">
      <alignment horizontal="center" vertical="center"/>
    </xf>
    <xf numFmtId="0" fontId="51" fillId="0" borderId="63" xfId="0" applyFont="1" applyBorder="1" applyAlignment="1">
      <alignment horizontal="center" vertical="center" wrapText="1" shrinkToFit="1"/>
    </xf>
    <xf numFmtId="175" fontId="3" fillId="0" borderId="63" xfId="33" applyNumberFormat="1" applyFont="1" applyBorder="1" applyAlignment="1">
      <alignment horizontal="center" vertical="center"/>
    </xf>
    <xf numFmtId="4" fontId="55" fillId="0" borderId="63" xfId="33" applyNumberFormat="1" applyFont="1" applyBorder="1" applyAlignment="1">
      <alignment horizontal="center" vertical="center"/>
    </xf>
    <xf numFmtId="4" fontId="191" fillId="0" borderId="104" xfId="33" applyNumberFormat="1" applyFont="1" applyBorder="1" applyAlignment="1">
      <alignment horizontal="center" vertical="center"/>
    </xf>
    <xf numFmtId="0" fontId="204" fillId="34" borderId="17" xfId="0" applyFont="1" applyFill="1" applyBorder="1" applyAlignment="1">
      <alignment horizontal="center" vertical="center" wrapText="1" shrinkToFit="1"/>
    </xf>
    <xf numFmtId="0" fontId="204" fillId="34" borderId="63" xfId="0" applyFont="1" applyFill="1" applyBorder="1" applyAlignment="1">
      <alignment horizontal="center" vertical="center" wrapText="1" shrinkToFit="1"/>
    </xf>
    <xf numFmtId="4" fontId="191" fillId="0" borderId="84" xfId="33" applyNumberFormat="1" applyFont="1" applyBorder="1" applyAlignment="1">
      <alignment horizontal="center" vertical="center"/>
    </xf>
    <xf numFmtId="4" fontId="191" fillId="0" borderId="88" xfId="33" applyNumberFormat="1" applyFont="1" applyBorder="1" applyAlignment="1">
      <alignment horizontal="center" vertical="center"/>
    </xf>
    <xf numFmtId="173" fontId="191" fillId="0" borderId="108" xfId="33" applyNumberFormat="1" applyFont="1" applyBorder="1" applyAlignment="1">
      <alignment vertical="center"/>
    </xf>
    <xf numFmtId="173" fontId="191" fillId="0" borderId="132" xfId="33" applyNumberFormat="1" applyFont="1" applyBorder="1" applyAlignment="1">
      <alignment vertical="center"/>
    </xf>
    <xf numFmtId="173" fontId="191" fillId="0" borderId="103" xfId="33" applyNumberFormat="1" applyFont="1" applyBorder="1" applyAlignment="1">
      <alignment vertical="center"/>
    </xf>
    <xf numFmtId="173" fontId="191" fillId="0" borderId="132" xfId="33" applyNumberFormat="1" applyFont="1" applyBorder="1" applyAlignment="1">
      <alignment horizontal="center" vertical="center"/>
    </xf>
    <xf numFmtId="173" fontId="191" fillId="0" borderId="103" xfId="33" applyNumberFormat="1" applyFont="1" applyBorder="1" applyAlignment="1">
      <alignment horizontal="center" vertical="center"/>
    </xf>
    <xf numFmtId="173" fontId="66" fillId="0" borderId="132" xfId="33" applyNumberFormat="1" applyFont="1" applyBorder="1" applyAlignment="1">
      <alignment horizontal="center" vertical="center"/>
    </xf>
    <xf numFmtId="173" fontId="66" fillId="0" borderId="103" xfId="33" applyNumberFormat="1" applyFont="1" applyBorder="1" applyAlignment="1">
      <alignment horizontal="center" vertical="center"/>
    </xf>
    <xf numFmtId="4" fontId="66" fillId="0" borderId="153" xfId="33" applyNumberFormat="1" applyFont="1" applyBorder="1" applyAlignment="1">
      <alignment horizontal="center" vertical="center"/>
    </xf>
    <xf numFmtId="4" fontId="66" fillId="0" borderId="156" xfId="33" applyNumberFormat="1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166" fontId="18" fillId="0" borderId="51" xfId="0" applyNumberFormat="1" applyFont="1" applyBorder="1" applyAlignment="1">
      <alignment horizontal="center" vertical="center"/>
    </xf>
    <xf numFmtId="166" fontId="18" fillId="0" borderId="52" xfId="0" applyNumberFormat="1" applyFont="1" applyBorder="1" applyAlignment="1">
      <alignment horizontal="center" vertical="center"/>
    </xf>
    <xf numFmtId="4" fontId="51" fillId="0" borderId="153" xfId="33" applyNumberFormat="1" applyFont="1" applyBorder="1" applyAlignment="1">
      <alignment horizontal="center" vertical="center"/>
    </xf>
    <xf numFmtId="0" fontId="3" fillId="0" borderId="159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4" fontId="1" fillId="0" borderId="91" xfId="33" applyNumberFormat="1" applyFont="1" applyBorder="1" applyAlignment="1">
      <alignment horizontal="center" vertical="center"/>
    </xf>
    <xf numFmtId="4" fontId="1" fillId="0" borderId="87" xfId="33" applyNumberFormat="1" applyFont="1" applyBorder="1" applyAlignment="1">
      <alignment horizontal="center" vertical="center"/>
    </xf>
    <xf numFmtId="0" fontId="51" fillId="0" borderId="89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5" fontId="51" fillId="0" borderId="160" xfId="33" applyNumberFormat="1" applyFont="1" applyBorder="1" applyAlignment="1">
      <alignment horizontal="right" vertical="center"/>
    </xf>
    <xf numFmtId="175" fontId="51" fillId="0" borderId="18" xfId="33" applyNumberFormat="1" applyFont="1" applyBorder="1" applyAlignment="1">
      <alignment horizontal="right" vertical="center"/>
    </xf>
    <xf numFmtId="175" fontId="51" fillId="0" borderId="69" xfId="33" applyNumberFormat="1" applyFont="1" applyBorder="1" applyAlignment="1">
      <alignment horizontal="right" vertical="center"/>
    </xf>
    <xf numFmtId="4" fontId="51" fillId="0" borderId="159" xfId="33" applyNumberFormat="1" applyFont="1" applyBorder="1" applyAlignment="1">
      <alignment horizontal="center" vertical="center"/>
    </xf>
    <xf numFmtId="4" fontId="51" fillId="0" borderId="23" xfId="33" applyNumberFormat="1" applyFont="1" applyBorder="1" applyAlignment="1">
      <alignment horizontal="center" vertical="center"/>
    </xf>
    <xf numFmtId="4" fontId="51" fillId="0" borderId="155" xfId="33" applyNumberFormat="1" applyFont="1" applyBorder="1" applyAlignment="1">
      <alignment horizontal="center" vertical="center"/>
    </xf>
    <xf numFmtId="4" fontId="51" fillId="0" borderId="139" xfId="33" applyNumberFormat="1" applyFont="1" applyBorder="1" applyAlignment="1">
      <alignment horizontal="center" vertical="center"/>
    </xf>
    <xf numFmtId="4" fontId="51" fillId="0" borderId="104" xfId="33" applyNumberFormat="1" applyFont="1" applyBorder="1" applyAlignment="1">
      <alignment horizontal="center" vertical="center"/>
    </xf>
    <xf numFmtId="4" fontId="1" fillId="0" borderId="12" xfId="33" applyNumberFormat="1" applyFont="1" applyBorder="1" applyAlignment="1">
      <alignment horizontal="center" vertical="center"/>
    </xf>
    <xf numFmtId="4" fontId="67" fillId="0" borderId="89" xfId="33" applyNumberFormat="1" applyFont="1" applyBorder="1" applyAlignment="1">
      <alignment horizontal="center" vertical="center"/>
    </xf>
    <xf numFmtId="4" fontId="67" fillId="0" borderId="17" xfId="33" applyNumberFormat="1" applyFont="1" applyBorder="1" applyAlignment="1">
      <alignment horizontal="center" vertical="center"/>
    </xf>
    <xf numFmtId="4" fontId="67" fillId="0" borderId="63" xfId="33" applyNumberFormat="1" applyFont="1" applyBorder="1" applyAlignment="1">
      <alignment horizontal="center" vertical="center"/>
    </xf>
    <xf numFmtId="4" fontId="55" fillId="0" borderId="4" xfId="33" applyNumberFormat="1" applyFont="1" applyBorder="1" applyAlignment="1">
      <alignment horizontal="center" vertical="center"/>
    </xf>
    <xf numFmtId="4" fontId="55" fillId="0" borderId="87" xfId="33" applyNumberFormat="1" applyFont="1" applyBorder="1" applyAlignment="1">
      <alignment horizontal="center" vertical="center"/>
    </xf>
    <xf numFmtId="175" fontId="3" fillId="0" borderId="4" xfId="33" applyNumberFormat="1" applyFont="1" applyBorder="1" applyAlignment="1">
      <alignment horizontal="center" vertical="center"/>
    </xf>
    <xf numFmtId="175" fontId="3" fillId="0" borderId="87" xfId="33" applyNumberFormat="1" applyFont="1" applyBorder="1" applyAlignment="1">
      <alignment horizontal="center" vertical="center"/>
    </xf>
    <xf numFmtId="166" fontId="18" fillId="0" borderId="55" xfId="0" applyNumberFormat="1" applyFont="1" applyBorder="1" applyAlignment="1">
      <alignment horizontal="center" vertical="center"/>
    </xf>
    <xf numFmtId="166" fontId="18" fillId="0" borderId="106" xfId="0" applyNumberFormat="1" applyFont="1" applyBorder="1" applyAlignment="1">
      <alignment horizontal="center" vertical="center"/>
    </xf>
    <xf numFmtId="4" fontId="55" fillId="0" borderId="139" xfId="33" applyNumberFormat="1" applyFont="1" applyBorder="1" applyAlignment="1">
      <alignment horizontal="center" vertical="center"/>
    </xf>
    <xf numFmtId="4" fontId="55" fillId="0" borderId="104" xfId="33" applyNumberFormat="1" applyFont="1" applyBorder="1" applyAlignment="1">
      <alignment horizontal="center" vertical="center"/>
    </xf>
    <xf numFmtId="2" fontId="0" fillId="0" borderId="130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5" fontId="3" fillId="0" borderId="18" xfId="33" applyNumberFormat="1" applyFont="1" applyBorder="1" applyAlignment="1">
      <alignment horizontal="center" vertical="center"/>
    </xf>
    <xf numFmtId="175" fontId="3" fillId="0" borderId="69" xfId="33" applyNumberFormat="1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32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33" fillId="0" borderId="108" xfId="0" applyFont="1" applyBorder="1" applyAlignment="1">
      <alignment horizontal="center" vertical="center" textRotation="90" wrapText="1"/>
    </xf>
    <xf numFmtId="0" fontId="33" fillId="0" borderId="132" xfId="0" applyFont="1" applyBorder="1" applyAlignment="1">
      <alignment horizontal="center" vertical="center" textRotation="90"/>
    </xf>
    <xf numFmtId="0" fontId="33" fillId="0" borderId="103" xfId="0" applyFont="1" applyBorder="1" applyAlignment="1">
      <alignment horizontal="center" vertical="center" textRotation="90"/>
    </xf>
    <xf numFmtId="0" fontId="0" fillId="0" borderId="108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54" fillId="0" borderId="108" xfId="0" applyFont="1" applyBorder="1" applyAlignment="1">
      <alignment horizontal="center" vertical="center"/>
    </xf>
    <xf numFmtId="0" fontId="54" fillId="0" borderId="132" xfId="0" applyFont="1" applyBorder="1" applyAlignment="1">
      <alignment horizontal="center" vertical="center"/>
    </xf>
    <xf numFmtId="0" fontId="54" fillId="0" borderId="103" xfId="0" applyFont="1" applyBorder="1" applyAlignment="1">
      <alignment horizontal="center" vertical="center"/>
    </xf>
    <xf numFmtId="0" fontId="184" fillId="0" borderId="89" xfId="0" applyFont="1" applyBorder="1" applyAlignment="1">
      <alignment horizontal="center" vertical="justify" wrapText="1"/>
    </xf>
    <xf numFmtId="0" fontId="50" fillId="0" borderId="17" xfId="0" applyFont="1" applyBorder="1" applyAlignment="1">
      <alignment horizontal="center" vertical="justify" wrapText="1"/>
    </xf>
    <xf numFmtId="0" fontId="54" fillId="0" borderId="108" xfId="0" applyFont="1" applyBorder="1" applyAlignment="1">
      <alignment horizontal="center" vertical="center" wrapText="1" shrinkToFit="1"/>
    </xf>
    <xf numFmtId="0" fontId="54" fillId="0" borderId="132" xfId="0" applyFont="1" applyBorder="1" applyAlignment="1">
      <alignment horizontal="center" vertical="center" wrapText="1" shrinkToFit="1"/>
    </xf>
    <xf numFmtId="0" fontId="54" fillId="0" borderId="103" xfId="0" applyFont="1" applyBorder="1" applyAlignment="1">
      <alignment horizontal="center" vertical="center" wrapText="1" shrinkToFit="1"/>
    </xf>
    <xf numFmtId="0" fontId="51" fillId="0" borderId="63" xfId="0" applyFont="1" applyBorder="1" applyAlignment="1">
      <alignment horizontal="center" vertical="center"/>
    </xf>
    <xf numFmtId="175" fontId="51" fillId="0" borderId="18" xfId="33" applyNumberFormat="1" applyFont="1" applyBorder="1" applyAlignment="1">
      <alignment horizontal="center" vertical="center"/>
    </xf>
    <xf numFmtId="175" fontId="51" fillId="0" borderId="69" xfId="33" applyNumberFormat="1" applyFont="1" applyBorder="1" applyAlignment="1">
      <alignment horizontal="center" vertical="center"/>
    </xf>
    <xf numFmtId="0" fontId="36" fillId="0" borderId="108" xfId="0" applyFont="1" applyBorder="1" applyAlignment="1">
      <alignment horizontal="center" vertical="center"/>
    </xf>
    <xf numFmtId="0" fontId="36" fillId="0" borderId="132" xfId="0" applyFont="1" applyBorder="1" applyAlignment="1">
      <alignment horizontal="center" vertical="center"/>
    </xf>
    <xf numFmtId="0" fontId="36" fillId="0" borderId="103" xfId="0" applyFont="1" applyBorder="1" applyAlignment="1">
      <alignment horizontal="center" vertical="center"/>
    </xf>
    <xf numFmtId="166" fontId="204" fillId="0" borderId="55" xfId="0" applyNumberFormat="1" applyFont="1" applyBorder="1" applyAlignment="1">
      <alignment horizontal="center" vertical="center"/>
    </xf>
    <xf numFmtId="166" fontId="204" fillId="0" borderId="107" xfId="0" applyNumberFormat="1" applyFont="1" applyBorder="1" applyAlignment="1">
      <alignment horizontal="center" vertical="center"/>
    </xf>
    <xf numFmtId="175" fontId="51" fillId="0" borderId="21" xfId="33" applyNumberFormat="1" applyFont="1" applyBorder="1" applyAlignment="1">
      <alignment horizontal="right" vertical="center"/>
    </xf>
    <xf numFmtId="0" fontId="36" fillId="0" borderId="108" xfId="0" applyFont="1" applyBorder="1" applyAlignment="1">
      <alignment horizontal="center" vertical="center" wrapText="1" shrinkToFit="1"/>
    </xf>
    <xf numFmtId="0" fontId="36" fillId="0" borderId="132" xfId="0" applyFont="1" applyBorder="1" applyAlignment="1">
      <alignment horizontal="center" vertical="center" wrapText="1" shrinkToFit="1"/>
    </xf>
    <xf numFmtId="0" fontId="36" fillId="0" borderId="103" xfId="0" applyFont="1" applyBorder="1" applyAlignment="1">
      <alignment horizontal="center" vertical="center" wrapText="1" shrinkToFit="1"/>
    </xf>
    <xf numFmtId="164" fontId="22" fillId="0" borderId="22" xfId="0" applyNumberFormat="1" applyFont="1" applyBorder="1" applyAlignment="1">
      <alignment vertical="center"/>
    </xf>
    <xf numFmtId="164" fontId="22" fillId="0" borderId="10" xfId="0" applyNumberFormat="1" applyFont="1" applyBorder="1" applyAlignment="1">
      <alignment vertical="center"/>
    </xf>
    <xf numFmtId="4" fontId="51" fillId="0" borderId="152" xfId="33" applyNumberFormat="1" applyFont="1" applyBorder="1" applyAlignment="1">
      <alignment horizontal="center" vertical="center"/>
    </xf>
    <xf numFmtId="4" fontId="51" fillId="0" borderId="158" xfId="33" applyNumberFormat="1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11" fillId="0" borderId="0" xfId="0" applyNumberFormat="1" applyFont="1" applyAlignment="1">
      <alignment horizontal="left" vertical="center"/>
    </xf>
    <xf numFmtId="2" fontId="151" fillId="0" borderId="109" xfId="33" applyNumberFormat="1" applyFont="1" applyBorder="1" applyAlignment="1">
      <alignment horizontal="center" vertical="center"/>
    </xf>
    <xf numFmtId="2" fontId="151" fillId="0" borderId="88" xfId="33" applyNumberFormat="1" applyFont="1" applyBorder="1" applyAlignment="1">
      <alignment horizontal="center" vertical="center"/>
    </xf>
    <xf numFmtId="2" fontId="151" fillId="0" borderId="95" xfId="33" applyNumberFormat="1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175" fontId="0" fillId="0" borderId="4" xfId="0" applyNumberForma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4" fontId="12" fillId="0" borderId="0" xfId="0" applyNumberFormat="1" applyFont="1" applyAlignment="1">
      <alignment horizontal="left" vertical="center"/>
    </xf>
    <xf numFmtId="165" fontId="202" fillId="0" borderId="10" xfId="33" applyFont="1" applyBorder="1" applyAlignment="1">
      <alignment horizontal="center"/>
    </xf>
    <xf numFmtId="165" fontId="202" fillId="0" borderId="4" xfId="33" applyFont="1" applyBorder="1" applyAlignment="1">
      <alignment horizontal="center"/>
    </xf>
    <xf numFmtId="165" fontId="44" fillId="0" borderId="4" xfId="33" applyFont="1" applyBorder="1" applyAlignment="1">
      <alignment horizontal="center"/>
    </xf>
    <xf numFmtId="165" fontId="44" fillId="0" borderId="45" xfId="33" applyFont="1" applyBorder="1" applyAlignment="1">
      <alignment horizontal="center"/>
    </xf>
    <xf numFmtId="165" fontId="44" fillId="0" borderId="59" xfId="33" applyFont="1" applyBorder="1" applyAlignment="1">
      <alignment horizontal="center"/>
    </xf>
    <xf numFmtId="0" fontId="19" fillId="0" borderId="108" xfId="0" applyFont="1" applyBorder="1" applyAlignment="1">
      <alignment horizontal="center" vertical="center" textRotation="90" wrapText="1"/>
    </xf>
    <xf numFmtId="0" fontId="19" fillId="0" borderId="132" xfId="0" applyFont="1" applyBorder="1" applyAlignment="1">
      <alignment horizontal="center" vertical="center" textRotation="90" wrapText="1"/>
    </xf>
    <xf numFmtId="0" fontId="19" fillId="0" borderId="103" xfId="0" applyFont="1" applyBorder="1" applyAlignment="1">
      <alignment horizontal="center" vertical="center" textRotation="90" wrapText="1"/>
    </xf>
    <xf numFmtId="0" fontId="196" fillId="0" borderId="108" xfId="0" applyFont="1" applyBorder="1" applyAlignment="1">
      <alignment horizontal="center" vertical="center"/>
    </xf>
    <xf numFmtId="0" fontId="196" fillId="0" borderId="132" xfId="0" applyFont="1" applyBorder="1" applyAlignment="1">
      <alignment horizontal="center" vertical="center"/>
    </xf>
    <xf numFmtId="0" fontId="196" fillId="0" borderId="103" xfId="0" applyFont="1" applyBorder="1" applyAlignment="1">
      <alignment horizontal="center" vertical="center"/>
    </xf>
    <xf numFmtId="0" fontId="204" fillId="0" borderId="89" xfId="0" applyFont="1" applyFill="1" applyBorder="1" applyAlignment="1">
      <alignment horizontal="center" vertical="center" wrapText="1" shrinkToFit="1"/>
    </xf>
    <xf numFmtId="0" fontId="204" fillId="0" borderId="17" xfId="0" applyFont="1" applyFill="1" applyBorder="1" applyAlignment="1">
      <alignment horizontal="center" vertical="center" wrapText="1" shrinkToFit="1"/>
    </xf>
    <xf numFmtId="0" fontId="204" fillId="0" borderId="63" xfId="0" applyFont="1" applyFill="1" applyBorder="1" applyAlignment="1">
      <alignment horizontal="center" vertical="center" wrapText="1" shrinkToFit="1"/>
    </xf>
    <xf numFmtId="14" fontId="193" fillId="0" borderId="140" xfId="0" applyNumberFormat="1" applyFont="1" applyBorder="1" applyAlignment="1">
      <alignment horizontal="center"/>
    </xf>
    <xf numFmtId="14" fontId="193" fillId="0" borderId="0" xfId="0" applyNumberFormat="1" applyFont="1" applyAlignment="1">
      <alignment horizontal="center"/>
    </xf>
    <xf numFmtId="0" fontId="180" fillId="0" borderId="93" xfId="0" applyFont="1" applyBorder="1" applyAlignment="1">
      <alignment horizontal="center" vertical="center" textRotation="255"/>
    </xf>
    <xf numFmtId="0" fontId="180" fillId="0" borderId="151" xfId="0" applyFont="1" applyBorder="1" applyAlignment="1">
      <alignment horizontal="center" vertical="center" textRotation="255"/>
    </xf>
    <xf numFmtId="0" fontId="181" fillId="0" borderId="93" xfId="0" applyFont="1" applyBorder="1"/>
    <xf numFmtId="0" fontId="181" fillId="0" borderId="140" xfId="0" applyFont="1" applyBorder="1"/>
    <xf numFmtId="0" fontId="181" fillId="0" borderId="154" xfId="0" applyFont="1" applyBorder="1"/>
    <xf numFmtId="0" fontId="180" fillId="0" borderId="184" xfId="0" applyFont="1" applyBorder="1" applyAlignment="1">
      <alignment horizontal="center" vertical="center" textRotation="255"/>
    </xf>
    <xf numFmtId="0" fontId="180" fillId="0" borderId="62" xfId="0" applyFont="1" applyBorder="1" applyAlignment="1">
      <alignment horizontal="center" vertical="center" textRotation="255"/>
    </xf>
    <xf numFmtId="0" fontId="252" fillId="0" borderId="184" xfId="0" applyFont="1" applyBorder="1" applyAlignment="1">
      <alignment horizontal="center" vertical="center" textRotation="255"/>
    </xf>
    <xf numFmtId="0" fontId="252" fillId="0" borderId="93" xfId="0" applyFont="1" applyBorder="1" applyAlignment="1">
      <alignment horizontal="center" vertical="center" textRotation="255"/>
    </xf>
    <xf numFmtId="0" fontId="252" fillId="0" borderId="62" xfId="0" applyFont="1" applyBorder="1" applyAlignment="1">
      <alignment horizontal="center" vertical="center" textRotation="255"/>
    </xf>
    <xf numFmtId="0" fontId="149" fillId="0" borderId="184" xfId="0" applyFont="1" applyBorder="1" applyAlignment="1">
      <alignment horizontal="center" vertical="center" textRotation="255"/>
    </xf>
    <xf numFmtId="0" fontId="149" fillId="0" borderId="93" xfId="0" applyFont="1" applyBorder="1" applyAlignment="1">
      <alignment horizontal="center" vertical="center" textRotation="255"/>
    </xf>
    <xf numFmtId="0" fontId="149" fillId="0" borderId="62" xfId="0" applyFont="1" applyBorder="1" applyAlignment="1">
      <alignment horizontal="center" vertical="center" textRotation="255"/>
    </xf>
    <xf numFmtId="49" fontId="18" fillId="0" borderId="130" xfId="0" applyNumberFormat="1" applyFont="1" applyBorder="1" applyAlignment="1">
      <alignment horizontal="center"/>
    </xf>
    <xf numFmtId="49" fontId="18" fillId="0" borderId="107" xfId="0" applyNumberFormat="1" applyFont="1" applyBorder="1" applyAlignment="1">
      <alignment horizontal="center"/>
    </xf>
    <xf numFmtId="0" fontId="176" fillId="0" borderId="184" xfId="0" applyFont="1" applyBorder="1" applyAlignment="1">
      <alignment horizontal="center" vertical="center" textRotation="255"/>
    </xf>
    <xf numFmtId="0" fontId="176" fillId="0" borderId="93" xfId="0" applyFont="1" applyBorder="1" applyAlignment="1">
      <alignment horizontal="center" vertical="center" textRotation="255"/>
    </xf>
    <xf numFmtId="0" fontId="176" fillId="0" borderId="62" xfId="0" applyFont="1" applyBorder="1" applyAlignment="1">
      <alignment horizontal="center" vertical="center" textRotation="255"/>
    </xf>
    <xf numFmtId="0" fontId="285" fillId="0" borderId="184" xfId="0" applyFont="1" applyBorder="1" applyAlignment="1">
      <alignment horizontal="center" vertical="center" textRotation="255"/>
    </xf>
    <xf numFmtId="0" fontId="285" fillId="0" borderId="93" xfId="0" applyFont="1" applyBorder="1" applyAlignment="1">
      <alignment horizontal="center" vertical="center" textRotation="255"/>
    </xf>
    <xf numFmtId="0" fontId="285" fillId="0" borderId="62" xfId="0" applyFont="1" applyBorder="1" applyAlignment="1">
      <alignment horizontal="center" vertical="center" textRotation="255"/>
    </xf>
    <xf numFmtId="0" fontId="176" fillId="0" borderId="56" xfId="0" applyFont="1" applyBorder="1" applyAlignment="1">
      <alignment horizontal="center" vertical="center" textRotation="255"/>
    </xf>
    <xf numFmtId="0" fontId="161" fillId="26" borderId="162" xfId="0" applyFont="1" applyFill="1" applyBorder="1" applyAlignment="1">
      <alignment horizontal="center" vertical="center"/>
    </xf>
    <xf numFmtId="0" fontId="161" fillId="26" borderId="14" xfId="0" applyFont="1" applyFill="1" applyBorder="1" applyAlignment="1">
      <alignment horizontal="center" vertical="center"/>
    </xf>
    <xf numFmtId="0" fontId="161" fillId="26" borderId="23" xfId="0" applyFont="1" applyFill="1" applyBorder="1" applyAlignment="1">
      <alignment horizontal="center" vertical="center"/>
    </xf>
    <xf numFmtId="0" fontId="161" fillId="26" borderId="18" xfId="0" applyFont="1" applyFill="1" applyBorder="1" applyAlignment="1">
      <alignment horizontal="center" vertical="center"/>
    </xf>
    <xf numFmtId="0" fontId="161" fillId="26" borderId="24" xfId="0" applyFont="1" applyFill="1" applyBorder="1" applyAlignment="1">
      <alignment horizontal="center" vertical="center"/>
    </xf>
    <xf numFmtId="0" fontId="161" fillId="26" borderId="21" xfId="0" applyFont="1" applyFill="1" applyBorder="1" applyAlignment="1">
      <alignment horizontal="center" vertical="center"/>
    </xf>
    <xf numFmtId="49" fontId="18" fillId="0" borderId="145" xfId="0" applyNumberFormat="1" applyFont="1" applyBorder="1" applyAlignment="1">
      <alignment horizontal="center"/>
    </xf>
    <xf numFmtId="49" fontId="18" fillId="0" borderId="147" xfId="0" applyNumberFormat="1" applyFont="1" applyBorder="1" applyAlignment="1">
      <alignment horizontal="center"/>
    </xf>
    <xf numFmtId="0" fontId="248" fillId="0" borderId="184" xfId="0" applyFont="1" applyBorder="1" applyAlignment="1">
      <alignment horizontal="center" vertical="center" textRotation="255"/>
    </xf>
    <xf numFmtId="0" fontId="248" fillId="0" borderId="93" xfId="0" applyFont="1" applyBorder="1" applyAlignment="1">
      <alignment horizontal="center" vertical="center" textRotation="255"/>
    </xf>
    <xf numFmtId="0" fontId="248" fillId="0" borderId="62" xfId="0" applyFont="1" applyBorder="1" applyAlignment="1">
      <alignment horizontal="center" vertical="center" textRotation="255"/>
    </xf>
    <xf numFmtId="49" fontId="18" fillId="0" borderId="0" xfId="0" applyNumberFormat="1" applyFont="1" applyBorder="1" applyAlignment="1">
      <alignment horizontal="center"/>
    </xf>
    <xf numFmtId="0" fontId="180" fillId="0" borderId="158" xfId="0" applyFont="1" applyBorder="1" applyAlignment="1">
      <alignment horizontal="center" vertical="center" textRotation="255"/>
    </xf>
    <xf numFmtId="0" fontId="180" fillId="0" borderId="183" xfId="0" applyFont="1" applyBorder="1" applyAlignment="1">
      <alignment horizontal="center" vertical="center" textRotation="255"/>
    </xf>
    <xf numFmtId="0" fontId="180" fillId="0" borderId="186" xfId="0" applyFont="1" applyBorder="1" applyAlignment="1">
      <alignment horizontal="center" vertical="center" textRotation="255"/>
    </xf>
    <xf numFmtId="0" fontId="153" fillId="0" borderId="151" xfId="0" applyFont="1" applyBorder="1" applyAlignment="1">
      <alignment horizontal="center" vertical="center" textRotation="255"/>
    </xf>
    <xf numFmtId="0" fontId="153" fillId="0" borderId="93" xfId="0" applyFont="1" applyBorder="1" applyAlignment="1">
      <alignment horizontal="center" vertical="center" textRotation="255"/>
    </xf>
    <xf numFmtId="0" fontId="153" fillId="0" borderId="62" xfId="0" applyFont="1" applyBorder="1" applyAlignment="1">
      <alignment horizontal="center" vertical="center" textRotation="255"/>
    </xf>
    <xf numFmtId="0" fontId="178" fillId="0" borderId="160" xfId="0" applyFont="1" applyBorder="1" applyAlignment="1">
      <alignment horizontal="center" vertical="center" textRotation="255"/>
    </xf>
    <xf numFmtId="0" fontId="178" fillId="0" borderId="18" xfId="0" applyFont="1" applyBorder="1" applyAlignment="1">
      <alignment horizontal="center" vertical="center" textRotation="255"/>
    </xf>
    <xf numFmtId="0" fontId="178" fillId="0" borderId="69" xfId="0" applyFont="1" applyBorder="1" applyAlignment="1">
      <alignment horizontal="center" vertical="center" textRotation="255"/>
    </xf>
    <xf numFmtId="14" fontId="193" fillId="0" borderId="0" xfId="0" applyNumberFormat="1" applyFont="1" applyBorder="1" applyAlignment="1">
      <alignment horizontal="center"/>
    </xf>
    <xf numFmtId="0" fontId="149" fillId="0" borderId="158" xfId="0" applyFont="1" applyBorder="1" applyAlignment="1">
      <alignment horizontal="center" vertical="center" textRotation="255" wrapText="1"/>
    </xf>
    <xf numFmtId="0" fontId="149" fillId="0" borderId="183" xfId="0" applyFont="1" applyBorder="1" applyAlignment="1">
      <alignment horizontal="center" vertical="center" textRotation="255" wrapText="1"/>
    </xf>
    <xf numFmtId="0" fontId="149" fillId="0" borderId="186" xfId="0" applyFont="1" applyBorder="1" applyAlignment="1">
      <alignment horizontal="center" vertical="center" textRotation="255" wrapText="1"/>
    </xf>
    <xf numFmtId="0" fontId="186" fillId="0" borderId="150" xfId="0" applyFont="1" applyBorder="1" applyAlignment="1">
      <alignment horizontal="center" vertical="center" textRotation="255"/>
    </xf>
    <xf numFmtId="0" fontId="186" fillId="0" borderId="140" xfId="0" applyFont="1" applyBorder="1" applyAlignment="1">
      <alignment horizontal="center" vertical="center" textRotation="255"/>
    </xf>
    <xf numFmtId="0" fontId="186" fillId="0" borderId="154" xfId="0" applyFont="1" applyBorder="1" applyAlignment="1">
      <alignment horizontal="center" vertical="center" textRotation="255"/>
    </xf>
    <xf numFmtId="0" fontId="153" fillId="0" borderId="140" xfId="0" applyFont="1" applyBorder="1" applyAlignment="1">
      <alignment horizontal="center" vertical="center" textRotation="255"/>
    </xf>
    <xf numFmtId="0" fontId="153" fillId="0" borderId="154" xfId="0" applyFont="1" applyBorder="1" applyAlignment="1">
      <alignment horizontal="center" vertical="center" textRotation="255"/>
    </xf>
    <xf numFmtId="0" fontId="153" fillId="0" borderId="185" xfId="0" applyFont="1" applyBorder="1" applyAlignment="1">
      <alignment horizontal="center" vertical="center" textRotation="255"/>
    </xf>
    <xf numFmtId="0" fontId="149" fillId="0" borderId="18" xfId="0" applyFont="1" applyBorder="1" applyAlignment="1">
      <alignment horizontal="center" vertical="center" textRotation="255" wrapText="1"/>
    </xf>
    <xf numFmtId="0" fontId="149" fillId="0" borderId="69" xfId="0" applyFont="1" applyBorder="1" applyAlignment="1">
      <alignment horizontal="center" vertical="center" textRotation="255" wrapText="1"/>
    </xf>
    <xf numFmtId="0" fontId="161" fillId="26" borderId="16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9" fillId="0" borderId="151" xfId="0" applyFont="1" applyBorder="1" applyAlignment="1">
      <alignment horizontal="center" vertical="center" textRotation="255" wrapText="1"/>
    </xf>
    <xf numFmtId="0" fontId="149" fillId="0" borderId="93" xfId="0" applyFont="1" applyBorder="1" applyAlignment="1">
      <alignment horizontal="center" vertical="center" textRotation="255" wrapText="1"/>
    </xf>
    <xf numFmtId="0" fontId="149" fillId="0" borderId="62" xfId="0" applyFont="1" applyBorder="1" applyAlignment="1">
      <alignment horizontal="center" vertical="center" textRotation="255" wrapText="1"/>
    </xf>
    <xf numFmtId="0" fontId="0" fillId="0" borderId="93" xfId="0" applyBorder="1"/>
    <xf numFmtId="0" fontId="0" fillId="0" borderId="62" xfId="0" applyBorder="1"/>
    <xf numFmtId="0" fontId="149" fillId="0" borderId="151" xfId="0" applyFont="1" applyBorder="1" applyAlignment="1">
      <alignment horizontal="center" vertical="center" textRotation="255"/>
    </xf>
    <xf numFmtId="0" fontId="149" fillId="0" borderId="108" xfId="0" applyFont="1" applyBorder="1" applyAlignment="1">
      <alignment horizontal="center" vertical="center" textRotation="255" wrapText="1"/>
    </xf>
    <xf numFmtId="0" fontId="149" fillId="0" borderId="132" xfId="0" applyFont="1" applyBorder="1" applyAlignment="1">
      <alignment horizontal="center" vertical="center" textRotation="255" wrapText="1"/>
    </xf>
    <xf numFmtId="0" fontId="149" fillId="0" borderId="103" xfId="0" applyFont="1" applyBorder="1" applyAlignment="1">
      <alignment horizontal="center" vertical="center" textRotation="255" wrapText="1"/>
    </xf>
    <xf numFmtId="196" fontId="12" fillId="0" borderId="0" xfId="0" applyNumberFormat="1" applyFont="1" applyBorder="1" applyAlignment="1">
      <alignment horizontal="center" vertical="center"/>
    </xf>
    <xf numFmtId="0" fontId="149" fillId="24" borderId="47" xfId="0" applyFont="1" applyFill="1" applyBorder="1" applyAlignment="1">
      <alignment horizontal="center" vertical="center" textRotation="255" wrapText="1"/>
    </xf>
    <xf numFmtId="0" fontId="149" fillId="22" borderId="47" xfId="0" applyFont="1" applyFill="1" applyBorder="1" applyAlignment="1">
      <alignment horizontal="center" vertical="center" textRotation="255" wrapText="1"/>
    </xf>
    <xf numFmtId="0" fontId="153" fillId="0" borderId="184" xfId="0" applyFont="1" applyBorder="1" applyAlignment="1">
      <alignment horizontal="center" vertical="center" textRotation="255"/>
    </xf>
    <xf numFmtId="189" fontId="150" fillId="0" borderId="98" xfId="0" applyNumberFormat="1" applyFont="1" applyBorder="1" applyAlignment="1">
      <alignment horizontal="center" vertical="center"/>
    </xf>
    <xf numFmtId="189" fontId="150" fillId="0" borderId="19" xfId="0" applyNumberFormat="1" applyFont="1" applyBorder="1" applyAlignment="1">
      <alignment horizontal="center" vertical="center"/>
    </xf>
    <xf numFmtId="0" fontId="18" fillId="0" borderId="150" xfId="0" applyFont="1" applyBorder="1" applyAlignment="1">
      <alignment horizontal="center" vertical="center"/>
    </xf>
    <xf numFmtId="0" fontId="18" fillId="0" borderId="152" xfId="0" applyFont="1" applyBorder="1" applyAlignment="1">
      <alignment horizontal="center" vertical="center"/>
    </xf>
    <xf numFmtId="0" fontId="18" fillId="0" borderId="154" xfId="0" applyFont="1" applyBorder="1" applyAlignment="1">
      <alignment horizontal="center" vertical="center"/>
    </xf>
    <xf numFmtId="0" fontId="18" fillId="0" borderId="156" xfId="0" applyFont="1" applyBorder="1" applyAlignment="1">
      <alignment horizontal="center" vertical="center"/>
    </xf>
    <xf numFmtId="0" fontId="18" fillId="0" borderId="108" xfId="0" applyFont="1" applyBorder="1" applyAlignment="1">
      <alignment horizontal="center"/>
    </xf>
    <xf numFmtId="0" fontId="18" fillId="0" borderId="103" xfId="0" applyFont="1" applyBorder="1" applyAlignment="1">
      <alignment horizontal="center"/>
    </xf>
    <xf numFmtId="0" fontId="0" fillId="0" borderId="150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124" xfId="0" applyFont="1" applyBorder="1" applyAlignment="1">
      <alignment horizontal="center" vertical="center"/>
    </xf>
  </cellXfs>
  <cellStyles count="44"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Porcentual" xfId="36" builtinId="5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1" xfId="41" builtinId="16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6">
    <dxf>
      <font>
        <condense val="0"/>
        <extend val="0"/>
        <color indexed="17"/>
      </font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39"/>
      </font>
      <border>
        <left/>
        <right/>
        <top/>
        <bottom/>
      </border>
    </dxf>
    <dxf>
      <font>
        <condense val="0"/>
        <extend val="0"/>
        <color indexed="39"/>
      </font>
      <border>
        <left/>
        <right/>
        <top/>
        <bottom/>
      </border>
    </dxf>
    <dxf>
      <font>
        <condense val="0"/>
        <extend val="0"/>
        <color indexed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00"/>
      <color rgb="FFFFFFCC"/>
      <color rgb="FF9148C8"/>
      <color rgb="FF006600"/>
      <color rgb="FFFF66CC"/>
      <color rgb="FFFF3399"/>
      <color rgb="FF660033"/>
      <color rgb="FFCCFFCC"/>
      <color rgb="FFCCFFFF"/>
      <color rgb="FFD0EBB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14720</xdr:colOff>
      <xdr:row>4</xdr:row>
      <xdr:rowOff>23380</xdr:rowOff>
    </xdr:from>
    <xdr:to>
      <xdr:col>11</xdr:col>
      <xdr:colOff>376671</xdr:colOff>
      <xdr:row>4</xdr:row>
      <xdr:rowOff>299605</xdr:rowOff>
    </xdr:to>
    <xdr:sp macro="" textlink="">
      <xdr:nvSpPr>
        <xdr:cNvPr id="3" name="2 Rectángulo redondeado"/>
        <xdr:cNvSpPr/>
      </xdr:nvSpPr>
      <xdr:spPr bwMode="auto">
        <a:xfrm>
          <a:off x="3824720" y="971550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10</xdr:col>
      <xdr:colOff>12990</xdr:colOff>
      <xdr:row>6</xdr:row>
      <xdr:rowOff>15585</xdr:rowOff>
    </xdr:from>
    <xdr:to>
      <xdr:col>11</xdr:col>
      <xdr:colOff>374941</xdr:colOff>
      <xdr:row>6</xdr:row>
      <xdr:rowOff>291810</xdr:rowOff>
    </xdr:to>
    <xdr:sp macro="" textlink="">
      <xdr:nvSpPr>
        <xdr:cNvPr id="4" name="3 Rectángulo redondeado"/>
        <xdr:cNvSpPr/>
      </xdr:nvSpPr>
      <xdr:spPr bwMode="auto">
        <a:xfrm>
          <a:off x="3822990" y="1318778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10</xdr:col>
      <xdr:colOff>13855</xdr:colOff>
      <xdr:row>11</xdr:row>
      <xdr:rowOff>23380</xdr:rowOff>
    </xdr:from>
    <xdr:to>
      <xdr:col>11</xdr:col>
      <xdr:colOff>375806</xdr:colOff>
      <xdr:row>11</xdr:row>
      <xdr:rowOff>299605</xdr:rowOff>
    </xdr:to>
    <xdr:sp macro="" textlink="">
      <xdr:nvSpPr>
        <xdr:cNvPr id="5" name="4 Rectángulo redondeado"/>
        <xdr:cNvSpPr/>
      </xdr:nvSpPr>
      <xdr:spPr bwMode="auto">
        <a:xfrm>
          <a:off x="3823855" y="2906857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10</xdr:col>
      <xdr:colOff>12990</xdr:colOff>
      <xdr:row>13</xdr:row>
      <xdr:rowOff>19050</xdr:rowOff>
    </xdr:from>
    <xdr:to>
      <xdr:col>11</xdr:col>
      <xdr:colOff>374941</xdr:colOff>
      <xdr:row>13</xdr:row>
      <xdr:rowOff>295275</xdr:rowOff>
    </xdr:to>
    <xdr:sp macro="" textlink="">
      <xdr:nvSpPr>
        <xdr:cNvPr id="6" name="5 Rectángulo redondeado"/>
        <xdr:cNvSpPr/>
      </xdr:nvSpPr>
      <xdr:spPr bwMode="auto">
        <a:xfrm>
          <a:off x="3822990" y="3257550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5</xdr:col>
      <xdr:colOff>14720</xdr:colOff>
      <xdr:row>11</xdr:row>
      <xdr:rowOff>28575</xdr:rowOff>
    </xdr:from>
    <xdr:to>
      <xdr:col>6</xdr:col>
      <xdr:colOff>376671</xdr:colOff>
      <xdr:row>11</xdr:row>
      <xdr:rowOff>304800</xdr:rowOff>
    </xdr:to>
    <xdr:sp macro="" textlink="">
      <xdr:nvSpPr>
        <xdr:cNvPr id="7" name="6 Rectángulo redondeado"/>
        <xdr:cNvSpPr/>
      </xdr:nvSpPr>
      <xdr:spPr bwMode="auto">
        <a:xfrm>
          <a:off x="1919720" y="2912052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5</xdr:col>
      <xdr:colOff>9525</xdr:colOff>
      <xdr:row>6</xdr:row>
      <xdr:rowOff>28575</xdr:rowOff>
    </xdr:from>
    <xdr:to>
      <xdr:col>6</xdr:col>
      <xdr:colOff>371476</xdr:colOff>
      <xdr:row>6</xdr:row>
      <xdr:rowOff>304800</xdr:rowOff>
    </xdr:to>
    <xdr:sp macro="" textlink="">
      <xdr:nvSpPr>
        <xdr:cNvPr id="8" name="7 Rectángulo redondeado"/>
        <xdr:cNvSpPr/>
      </xdr:nvSpPr>
      <xdr:spPr bwMode="auto">
        <a:xfrm>
          <a:off x="1914525" y="1323975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3</xdr:col>
      <xdr:colOff>90323</xdr:colOff>
      <xdr:row>8</xdr:row>
      <xdr:rowOff>249620</xdr:rowOff>
    </xdr:from>
    <xdr:to>
      <xdr:col>4</xdr:col>
      <xdr:colOff>185574</xdr:colOff>
      <xdr:row>10</xdr:row>
      <xdr:rowOff>190499</xdr:rowOff>
    </xdr:to>
    <xdr:sp macro="" textlink="">
      <xdr:nvSpPr>
        <xdr:cNvPr id="9" name="8 Y"/>
        <xdr:cNvSpPr/>
      </xdr:nvSpPr>
      <xdr:spPr bwMode="auto">
        <a:xfrm>
          <a:off x="1233323" y="2115206"/>
          <a:ext cx="476251" cy="440121"/>
        </a:xfrm>
        <a:prstGeom prst="flowChartSummingJunction">
          <a:avLst/>
        </a:prstGeom>
        <a:noFill/>
        <a:ln w="66675" cap="flat" cmpd="tri" algn="ctr">
          <a:solidFill>
            <a:srgbClr val="990099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14</xdr:col>
      <xdr:colOff>12990</xdr:colOff>
      <xdr:row>6</xdr:row>
      <xdr:rowOff>15585</xdr:rowOff>
    </xdr:from>
    <xdr:to>
      <xdr:col>15</xdr:col>
      <xdr:colOff>374941</xdr:colOff>
      <xdr:row>6</xdr:row>
      <xdr:rowOff>291810</xdr:rowOff>
    </xdr:to>
    <xdr:sp macro="" textlink="">
      <xdr:nvSpPr>
        <xdr:cNvPr id="11" name="10 Rectángulo redondeado"/>
        <xdr:cNvSpPr/>
      </xdr:nvSpPr>
      <xdr:spPr bwMode="auto">
        <a:xfrm>
          <a:off x="5346990" y="136029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14</xdr:col>
      <xdr:colOff>13855</xdr:colOff>
      <xdr:row>11</xdr:row>
      <xdr:rowOff>23380</xdr:rowOff>
    </xdr:from>
    <xdr:to>
      <xdr:col>15</xdr:col>
      <xdr:colOff>375806</xdr:colOff>
      <xdr:row>11</xdr:row>
      <xdr:rowOff>299605</xdr:rowOff>
    </xdr:to>
    <xdr:sp macro="" textlink="">
      <xdr:nvSpPr>
        <xdr:cNvPr id="12" name="11 Rectángulo redondeado"/>
        <xdr:cNvSpPr/>
      </xdr:nvSpPr>
      <xdr:spPr bwMode="auto">
        <a:xfrm>
          <a:off x="5347855" y="2667968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14</xdr:col>
      <xdr:colOff>12990</xdr:colOff>
      <xdr:row>13</xdr:row>
      <xdr:rowOff>19050</xdr:rowOff>
    </xdr:from>
    <xdr:to>
      <xdr:col>15</xdr:col>
      <xdr:colOff>374941</xdr:colOff>
      <xdr:row>13</xdr:row>
      <xdr:rowOff>295275</xdr:rowOff>
    </xdr:to>
    <xdr:sp macro="" textlink="">
      <xdr:nvSpPr>
        <xdr:cNvPr id="13" name="12 Rectángulo redondeado"/>
        <xdr:cNvSpPr/>
      </xdr:nvSpPr>
      <xdr:spPr bwMode="auto">
        <a:xfrm>
          <a:off x="3822990" y="325098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14</xdr:col>
      <xdr:colOff>12990</xdr:colOff>
      <xdr:row>4</xdr:row>
      <xdr:rowOff>19050</xdr:rowOff>
    </xdr:from>
    <xdr:to>
      <xdr:col>15</xdr:col>
      <xdr:colOff>374941</xdr:colOff>
      <xdr:row>4</xdr:row>
      <xdr:rowOff>295275</xdr:rowOff>
    </xdr:to>
    <xdr:sp macro="" textlink="">
      <xdr:nvSpPr>
        <xdr:cNvPr id="14" name="13 Rectángulo redondeado"/>
        <xdr:cNvSpPr/>
      </xdr:nvSpPr>
      <xdr:spPr bwMode="auto">
        <a:xfrm>
          <a:off x="3822990" y="325098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26</xdr:col>
      <xdr:colOff>14720</xdr:colOff>
      <xdr:row>4</xdr:row>
      <xdr:rowOff>23380</xdr:rowOff>
    </xdr:from>
    <xdr:to>
      <xdr:col>27</xdr:col>
      <xdr:colOff>376671</xdr:colOff>
      <xdr:row>4</xdr:row>
      <xdr:rowOff>299605</xdr:rowOff>
    </xdr:to>
    <xdr:sp macro="" textlink="">
      <xdr:nvSpPr>
        <xdr:cNvPr id="15" name="14 Rectángulo redondeado"/>
        <xdr:cNvSpPr/>
      </xdr:nvSpPr>
      <xdr:spPr bwMode="auto">
        <a:xfrm>
          <a:off x="3824720" y="964674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26</xdr:col>
      <xdr:colOff>12990</xdr:colOff>
      <xdr:row>6</xdr:row>
      <xdr:rowOff>15585</xdr:rowOff>
    </xdr:from>
    <xdr:to>
      <xdr:col>27</xdr:col>
      <xdr:colOff>374941</xdr:colOff>
      <xdr:row>6</xdr:row>
      <xdr:rowOff>291810</xdr:rowOff>
    </xdr:to>
    <xdr:sp macro="" textlink="">
      <xdr:nvSpPr>
        <xdr:cNvPr id="16" name="15 Rectángulo redondeado"/>
        <xdr:cNvSpPr/>
      </xdr:nvSpPr>
      <xdr:spPr bwMode="auto">
        <a:xfrm>
          <a:off x="3822990" y="130426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26</xdr:col>
      <xdr:colOff>13855</xdr:colOff>
      <xdr:row>11</xdr:row>
      <xdr:rowOff>23380</xdr:rowOff>
    </xdr:from>
    <xdr:to>
      <xdr:col>27</xdr:col>
      <xdr:colOff>375806</xdr:colOff>
      <xdr:row>11</xdr:row>
      <xdr:rowOff>299605</xdr:rowOff>
    </xdr:to>
    <xdr:sp macro="" textlink="">
      <xdr:nvSpPr>
        <xdr:cNvPr id="17" name="16 Rectángulo redondeado"/>
        <xdr:cNvSpPr/>
      </xdr:nvSpPr>
      <xdr:spPr bwMode="auto">
        <a:xfrm>
          <a:off x="3823855" y="2611939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26</xdr:col>
      <xdr:colOff>12990</xdr:colOff>
      <xdr:row>13</xdr:row>
      <xdr:rowOff>19050</xdr:rowOff>
    </xdr:from>
    <xdr:to>
      <xdr:col>27</xdr:col>
      <xdr:colOff>374941</xdr:colOff>
      <xdr:row>13</xdr:row>
      <xdr:rowOff>295275</xdr:rowOff>
    </xdr:to>
    <xdr:sp macro="" textlink="">
      <xdr:nvSpPr>
        <xdr:cNvPr id="18" name="17 Rectángulo redondeado"/>
        <xdr:cNvSpPr/>
      </xdr:nvSpPr>
      <xdr:spPr bwMode="auto">
        <a:xfrm>
          <a:off x="3822990" y="295499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22</xdr:col>
      <xdr:colOff>14720</xdr:colOff>
      <xdr:row>11</xdr:row>
      <xdr:rowOff>25173</xdr:rowOff>
    </xdr:from>
    <xdr:to>
      <xdr:col>23</xdr:col>
      <xdr:colOff>376671</xdr:colOff>
      <xdr:row>11</xdr:row>
      <xdr:rowOff>301398</xdr:rowOff>
    </xdr:to>
    <xdr:sp macro="" textlink="">
      <xdr:nvSpPr>
        <xdr:cNvPr id="19" name="18 Rectángulo redondeado"/>
        <xdr:cNvSpPr/>
      </xdr:nvSpPr>
      <xdr:spPr bwMode="auto">
        <a:xfrm>
          <a:off x="8015720" y="2620736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22</xdr:col>
      <xdr:colOff>9525</xdr:colOff>
      <xdr:row>6</xdr:row>
      <xdr:rowOff>14967</xdr:rowOff>
    </xdr:from>
    <xdr:to>
      <xdr:col>23</xdr:col>
      <xdr:colOff>371476</xdr:colOff>
      <xdr:row>6</xdr:row>
      <xdr:rowOff>291192</xdr:rowOff>
    </xdr:to>
    <xdr:sp macro="" textlink="">
      <xdr:nvSpPr>
        <xdr:cNvPr id="20" name="19 Rectángulo redondeado"/>
        <xdr:cNvSpPr/>
      </xdr:nvSpPr>
      <xdr:spPr bwMode="auto">
        <a:xfrm>
          <a:off x="8010525" y="1304244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30</xdr:col>
      <xdr:colOff>14720</xdr:colOff>
      <xdr:row>4</xdr:row>
      <xdr:rowOff>23380</xdr:rowOff>
    </xdr:from>
    <xdr:to>
      <xdr:col>31</xdr:col>
      <xdr:colOff>376671</xdr:colOff>
      <xdr:row>4</xdr:row>
      <xdr:rowOff>299605</xdr:rowOff>
    </xdr:to>
    <xdr:sp macro="" textlink="">
      <xdr:nvSpPr>
        <xdr:cNvPr id="22" name="21 Rectángulo redondeado"/>
        <xdr:cNvSpPr/>
      </xdr:nvSpPr>
      <xdr:spPr bwMode="auto">
        <a:xfrm>
          <a:off x="5348720" y="964674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30</xdr:col>
      <xdr:colOff>12990</xdr:colOff>
      <xdr:row>6</xdr:row>
      <xdr:rowOff>15585</xdr:rowOff>
    </xdr:from>
    <xdr:to>
      <xdr:col>31</xdr:col>
      <xdr:colOff>374941</xdr:colOff>
      <xdr:row>6</xdr:row>
      <xdr:rowOff>291810</xdr:rowOff>
    </xdr:to>
    <xdr:sp macro="" textlink="">
      <xdr:nvSpPr>
        <xdr:cNvPr id="23" name="22 Rectángulo redondeado"/>
        <xdr:cNvSpPr/>
      </xdr:nvSpPr>
      <xdr:spPr bwMode="auto">
        <a:xfrm>
          <a:off x="11442990" y="136029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30</xdr:col>
      <xdr:colOff>13855</xdr:colOff>
      <xdr:row>11</xdr:row>
      <xdr:rowOff>23380</xdr:rowOff>
    </xdr:from>
    <xdr:to>
      <xdr:col>31</xdr:col>
      <xdr:colOff>375806</xdr:colOff>
      <xdr:row>11</xdr:row>
      <xdr:rowOff>299605</xdr:rowOff>
    </xdr:to>
    <xdr:sp macro="" textlink="">
      <xdr:nvSpPr>
        <xdr:cNvPr id="24" name="23 Rectángulo redondeado"/>
        <xdr:cNvSpPr/>
      </xdr:nvSpPr>
      <xdr:spPr bwMode="auto">
        <a:xfrm>
          <a:off x="5347855" y="2611939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30</xdr:col>
      <xdr:colOff>12990</xdr:colOff>
      <xdr:row>13</xdr:row>
      <xdr:rowOff>19050</xdr:rowOff>
    </xdr:from>
    <xdr:to>
      <xdr:col>31</xdr:col>
      <xdr:colOff>374941</xdr:colOff>
      <xdr:row>13</xdr:row>
      <xdr:rowOff>295275</xdr:rowOff>
    </xdr:to>
    <xdr:sp macro="" textlink="">
      <xdr:nvSpPr>
        <xdr:cNvPr id="25" name="24 Rectángulo redondeado"/>
        <xdr:cNvSpPr/>
      </xdr:nvSpPr>
      <xdr:spPr bwMode="auto">
        <a:xfrm>
          <a:off x="5346990" y="295499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22</xdr:col>
      <xdr:colOff>14720</xdr:colOff>
      <xdr:row>4</xdr:row>
      <xdr:rowOff>23380</xdr:rowOff>
    </xdr:from>
    <xdr:to>
      <xdr:col>23</xdr:col>
      <xdr:colOff>376671</xdr:colOff>
      <xdr:row>4</xdr:row>
      <xdr:rowOff>299605</xdr:rowOff>
    </xdr:to>
    <xdr:sp macro="" textlink="">
      <xdr:nvSpPr>
        <xdr:cNvPr id="31" name="30 Rectángulo redondeado"/>
        <xdr:cNvSpPr/>
      </xdr:nvSpPr>
      <xdr:spPr bwMode="auto">
        <a:xfrm>
          <a:off x="9920720" y="964674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22</xdr:col>
      <xdr:colOff>12990</xdr:colOff>
      <xdr:row>13</xdr:row>
      <xdr:rowOff>19050</xdr:rowOff>
    </xdr:from>
    <xdr:to>
      <xdr:col>23</xdr:col>
      <xdr:colOff>374941</xdr:colOff>
      <xdr:row>13</xdr:row>
      <xdr:rowOff>295275</xdr:rowOff>
    </xdr:to>
    <xdr:sp macro="" textlink="">
      <xdr:nvSpPr>
        <xdr:cNvPr id="34" name="33 Rectángulo redondeado"/>
        <xdr:cNvSpPr/>
      </xdr:nvSpPr>
      <xdr:spPr bwMode="auto">
        <a:xfrm>
          <a:off x="9918990" y="295499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22</xdr:col>
      <xdr:colOff>12990</xdr:colOff>
      <xdr:row>6</xdr:row>
      <xdr:rowOff>15585</xdr:rowOff>
    </xdr:from>
    <xdr:to>
      <xdr:col>23</xdr:col>
      <xdr:colOff>374941</xdr:colOff>
      <xdr:row>6</xdr:row>
      <xdr:rowOff>291810</xdr:rowOff>
    </xdr:to>
    <xdr:sp macro="" textlink="">
      <xdr:nvSpPr>
        <xdr:cNvPr id="35" name="34 Rectángulo redondeado"/>
        <xdr:cNvSpPr/>
      </xdr:nvSpPr>
      <xdr:spPr bwMode="auto">
        <a:xfrm>
          <a:off x="9918990" y="1315955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19</xdr:col>
      <xdr:colOff>82812</xdr:colOff>
      <xdr:row>8</xdr:row>
      <xdr:rowOff>248466</xdr:rowOff>
    </xdr:from>
    <xdr:to>
      <xdr:col>20</xdr:col>
      <xdr:colOff>178063</xdr:colOff>
      <xdr:row>10</xdr:row>
      <xdr:rowOff>189345</xdr:rowOff>
    </xdr:to>
    <xdr:sp macro="" textlink="">
      <xdr:nvSpPr>
        <xdr:cNvPr id="36" name="35 Y"/>
        <xdr:cNvSpPr/>
      </xdr:nvSpPr>
      <xdr:spPr bwMode="auto">
        <a:xfrm>
          <a:off x="7321812" y="2112053"/>
          <a:ext cx="476251" cy="437835"/>
        </a:xfrm>
        <a:prstGeom prst="flowChartSummingJunction">
          <a:avLst/>
        </a:prstGeom>
        <a:noFill/>
        <a:ln w="66675" cap="flat" cmpd="tri" algn="ctr">
          <a:solidFill>
            <a:srgbClr val="990099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13</xdr:col>
      <xdr:colOff>14720</xdr:colOff>
      <xdr:row>18</xdr:row>
      <xdr:rowOff>23380</xdr:rowOff>
    </xdr:from>
    <xdr:to>
      <xdr:col>14</xdr:col>
      <xdr:colOff>376671</xdr:colOff>
      <xdr:row>18</xdr:row>
      <xdr:rowOff>299605</xdr:rowOff>
    </xdr:to>
    <xdr:sp macro="" textlink="">
      <xdr:nvSpPr>
        <xdr:cNvPr id="109" name="108 Rectángulo redondeado"/>
        <xdr:cNvSpPr/>
      </xdr:nvSpPr>
      <xdr:spPr bwMode="auto">
        <a:xfrm>
          <a:off x="9920720" y="1020704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13</xdr:col>
      <xdr:colOff>12990</xdr:colOff>
      <xdr:row>20</xdr:row>
      <xdr:rowOff>15585</xdr:rowOff>
    </xdr:from>
    <xdr:to>
      <xdr:col>14</xdr:col>
      <xdr:colOff>374941</xdr:colOff>
      <xdr:row>20</xdr:row>
      <xdr:rowOff>291810</xdr:rowOff>
    </xdr:to>
    <xdr:sp macro="" textlink="">
      <xdr:nvSpPr>
        <xdr:cNvPr id="110" name="109 Rectángulo redondeado"/>
        <xdr:cNvSpPr/>
      </xdr:nvSpPr>
      <xdr:spPr bwMode="auto">
        <a:xfrm>
          <a:off x="9918990" y="136029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13</xdr:col>
      <xdr:colOff>13855</xdr:colOff>
      <xdr:row>25</xdr:row>
      <xdr:rowOff>23380</xdr:rowOff>
    </xdr:from>
    <xdr:to>
      <xdr:col>14</xdr:col>
      <xdr:colOff>375806</xdr:colOff>
      <xdr:row>25</xdr:row>
      <xdr:rowOff>299605</xdr:rowOff>
    </xdr:to>
    <xdr:sp macro="" textlink="">
      <xdr:nvSpPr>
        <xdr:cNvPr id="111" name="110 Rectángulo redondeado"/>
        <xdr:cNvSpPr/>
      </xdr:nvSpPr>
      <xdr:spPr bwMode="auto">
        <a:xfrm>
          <a:off x="9919855" y="2667968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13</xdr:col>
      <xdr:colOff>12990</xdr:colOff>
      <xdr:row>27</xdr:row>
      <xdr:rowOff>19050</xdr:rowOff>
    </xdr:from>
    <xdr:to>
      <xdr:col>14</xdr:col>
      <xdr:colOff>374941</xdr:colOff>
      <xdr:row>27</xdr:row>
      <xdr:rowOff>295275</xdr:rowOff>
    </xdr:to>
    <xdr:sp macro="" textlink="">
      <xdr:nvSpPr>
        <xdr:cNvPr id="112" name="111 Rectángulo redondeado"/>
        <xdr:cNvSpPr/>
      </xdr:nvSpPr>
      <xdr:spPr bwMode="auto">
        <a:xfrm>
          <a:off x="9918990" y="301102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9</xdr:col>
      <xdr:colOff>14720</xdr:colOff>
      <xdr:row>25</xdr:row>
      <xdr:rowOff>25173</xdr:rowOff>
    </xdr:from>
    <xdr:to>
      <xdr:col>10</xdr:col>
      <xdr:colOff>376671</xdr:colOff>
      <xdr:row>25</xdr:row>
      <xdr:rowOff>301398</xdr:rowOff>
    </xdr:to>
    <xdr:sp macro="" textlink="">
      <xdr:nvSpPr>
        <xdr:cNvPr id="113" name="112 Rectángulo redondeado"/>
        <xdr:cNvSpPr/>
      </xdr:nvSpPr>
      <xdr:spPr bwMode="auto">
        <a:xfrm>
          <a:off x="8396720" y="266976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9</xdr:col>
      <xdr:colOff>9525</xdr:colOff>
      <xdr:row>20</xdr:row>
      <xdr:rowOff>14967</xdr:rowOff>
    </xdr:from>
    <xdr:to>
      <xdr:col>10</xdr:col>
      <xdr:colOff>371476</xdr:colOff>
      <xdr:row>20</xdr:row>
      <xdr:rowOff>291192</xdr:rowOff>
    </xdr:to>
    <xdr:sp macro="" textlink="">
      <xdr:nvSpPr>
        <xdr:cNvPr id="114" name="113 Rectángulo redondeado"/>
        <xdr:cNvSpPr/>
      </xdr:nvSpPr>
      <xdr:spPr bwMode="auto">
        <a:xfrm>
          <a:off x="8391525" y="1359673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9</xdr:col>
      <xdr:colOff>14720</xdr:colOff>
      <xdr:row>18</xdr:row>
      <xdr:rowOff>23380</xdr:rowOff>
    </xdr:from>
    <xdr:to>
      <xdr:col>10</xdr:col>
      <xdr:colOff>376671</xdr:colOff>
      <xdr:row>18</xdr:row>
      <xdr:rowOff>299605</xdr:rowOff>
    </xdr:to>
    <xdr:sp macro="" textlink="">
      <xdr:nvSpPr>
        <xdr:cNvPr id="115" name="114 Rectángulo redondeado"/>
        <xdr:cNvSpPr/>
      </xdr:nvSpPr>
      <xdr:spPr bwMode="auto">
        <a:xfrm>
          <a:off x="8396720" y="1020704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9</xdr:col>
      <xdr:colOff>12990</xdr:colOff>
      <xdr:row>27</xdr:row>
      <xdr:rowOff>19050</xdr:rowOff>
    </xdr:from>
    <xdr:to>
      <xdr:col>10</xdr:col>
      <xdr:colOff>374941</xdr:colOff>
      <xdr:row>27</xdr:row>
      <xdr:rowOff>295275</xdr:rowOff>
    </xdr:to>
    <xdr:sp macro="" textlink="">
      <xdr:nvSpPr>
        <xdr:cNvPr id="116" name="115 Rectángulo redondeado"/>
        <xdr:cNvSpPr/>
      </xdr:nvSpPr>
      <xdr:spPr bwMode="auto">
        <a:xfrm>
          <a:off x="8394990" y="301102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9</xdr:col>
      <xdr:colOff>12990</xdr:colOff>
      <xdr:row>20</xdr:row>
      <xdr:rowOff>15585</xdr:rowOff>
    </xdr:from>
    <xdr:to>
      <xdr:col>10</xdr:col>
      <xdr:colOff>374941</xdr:colOff>
      <xdr:row>20</xdr:row>
      <xdr:rowOff>291810</xdr:rowOff>
    </xdr:to>
    <xdr:sp macro="" textlink="">
      <xdr:nvSpPr>
        <xdr:cNvPr id="117" name="116 Rectángulo redondeado"/>
        <xdr:cNvSpPr/>
      </xdr:nvSpPr>
      <xdr:spPr bwMode="auto">
        <a:xfrm>
          <a:off x="8394990" y="136029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4</xdr:col>
      <xdr:colOff>82812</xdr:colOff>
      <xdr:row>22</xdr:row>
      <xdr:rowOff>248466</xdr:rowOff>
    </xdr:from>
    <xdr:to>
      <xdr:col>5</xdr:col>
      <xdr:colOff>178063</xdr:colOff>
      <xdr:row>24</xdr:row>
      <xdr:rowOff>189345</xdr:rowOff>
    </xdr:to>
    <xdr:sp macro="" textlink="">
      <xdr:nvSpPr>
        <xdr:cNvPr id="119" name="118 Y"/>
        <xdr:cNvSpPr/>
      </xdr:nvSpPr>
      <xdr:spPr bwMode="auto">
        <a:xfrm>
          <a:off x="7321812" y="2153466"/>
          <a:ext cx="476251" cy="433938"/>
        </a:xfrm>
        <a:prstGeom prst="flowChartSummingJunction">
          <a:avLst/>
        </a:prstGeom>
        <a:noFill/>
        <a:ln w="66675" cap="flat" cmpd="tri" algn="ctr">
          <a:solidFill>
            <a:srgbClr val="990099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22</xdr:col>
      <xdr:colOff>14720</xdr:colOff>
      <xdr:row>11</xdr:row>
      <xdr:rowOff>23380</xdr:rowOff>
    </xdr:from>
    <xdr:to>
      <xdr:col>23</xdr:col>
      <xdr:colOff>376671</xdr:colOff>
      <xdr:row>11</xdr:row>
      <xdr:rowOff>299605</xdr:rowOff>
    </xdr:to>
    <xdr:sp macro="" textlink="">
      <xdr:nvSpPr>
        <xdr:cNvPr id="121" name="120 Rectángulo redondeado"/>
        <xdr:cNvSpPr/>
      </xdr:nvSpPr>
      <xdr:spPr bwMode="auto">
        <a:xfrm>
          <a:off x="8396720" y="1020704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26</xdr:col>
      <xdr:colOff>14720</xdr:colOff>
      <xdr:row>18</xdr:row>
      <xdr:rowOff>23380</xdr:rowOff>
    </xdr:from>
    <xdr:to>
      <xdr:col>27</xdr:col>
      <xdr:colOff>376671</xdr:colOff>
      <xdr:row>18</xdr:row>
      <xdr:rowOff>299605</xdr:rowOff>
    </xdr:to>
    <xdr:sp macro="" textlink="">
      <xdr:nvSpPr>
        <xdr:cNvPr id="186" name="185 Rectángulo redondeado"/>
        <xdr:cNvSpPr/>
      </xdr:nvSpPr>
      <xdr:spPr bwMode="auto">
        <a:xfrm>
          <a:off x="9920720" y="1020704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26</xdr:col>
      <xdr:colOff>12990</xdr:colOff>
      <xdr:row>20</xdr:row>
      <xdr:rowOff>15585</xdr:rowOff>
    </xdr:from>
    <xdr:to>
      <xdr:col>27</xdr:col>
      <xdr:colOff>374941</xdr:colOff>
      <xdr:row>20</xdr:row>
      <xdr:rowOff>291810</xdr:rowOff>
    </xdr:to>
    <xdr:sp macro="" textlink="">
      <xdr:nvSpPr>
        <xdr:cNvPr id="187" name="186 Rectángulo redondeado"/>
        <xdr:cNvSpPr/>
      </xdr:nvSpPr>
      <xdr:spPr bwMode="auto">
        <a:xfrm>
          <a:off x="9918990" y="136029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26</xdr:col>
      <xdr:colOff>13855</xdr:colOff>
      <xdr:row>25</xdr:row>
      <xdr:rowOff>23380</xdr:rowOff>
    </xdr:from>
    <xdr:to>
      <xdr:col>27</xdr:col>
      <xdr:colOff>375806</xdr:colOff>
      <xdr:row>25</xdr:row>
      <xdr:rowOff>299605</xdr:rowOff>
    </xdr:to>
    <xdr:sp macro="" textlink="">
      <xdr:nvSpPr>
        <xdr:cNvPr id="188" name="187 Rectángulo redondeado"/>
        <xdr:cNvSpPr/>
      </xdr:nvSpPr>
      <xdr:spPr bwMode="auto">
        <a:xfrm>
          <a:off x="9919855" y="2667968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26</xdr:col>
      <xdr:colOff>12990</xdr:colOff>
      <xdr:row>27</xdr:row>
      <xdr:rowOff>19050</xdr:rowOff>
    </xdr:from>
    <xdr:to>
      <xdr:col>27</xdr:col>
      <xdr:colOff>374941</xdr:colOff>
      <xdr:row>27</xdr:row>
      <xdr:rowOff>295275</xdr:rowOff>
    </xdr:to>
    <xdr:sp macro="" textlink="">
      <xdr:nvSpPr>
        <xdr:cNvPr id="189" name="188 Rectángulo redondeado"/>
        <xdr:cNvSpPr/>
      </xdr:nvSpPr>
      <xdr:spPr bwMode="auto">
        <a:xfrm>
          <a:off x="9918990" y="301102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22</xdr:col>
      <xdr:colOff>14720</xdr:colOff>
      <xdr:row>25</xdr:row>
      <xdr:rowOff>25173</xdr:rowOff>
    </xdr:from>
    <xdr:to>
      <xdr:col>23</xdr:col>
      <xdr:colOff>376671</xdr:colOff>
      <xdr:row>25</xdr:row>
      <xdr:rowOff>301398</xdr:rowOff>
    </xdr:to>
    <xdr:sp macro="" textlink="">
      <xdr:nvSpPr>
        <xdr:cNvPr id="190" name="189 Rectángulo redondeado"/>
        <xdr:cNvSpPr/>
      </xdr:nvSpPr>
      <xdr:spPr bwMode="auto">
        <a:xfrm>
          <a:off x="8396720" y="266976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22</xdr:col>
      <xdr:colOff>9525</xdr:colOff>
      <xdr:row>20</xdr:row>
      <xdr:rowOff>14967</xdr:rowOff>
    </xdr:from>
    <xdr:to>
      <xdr:col>23</xdr:col>
      <xdr:colOff>371476</xdr:colOff>
      <xdr:row>20</xdr:row>
      <xdr:rowOff>291192</xdr:rowOff>
    </xdr:to>
    <xdr:sp macro="" textlink="">
      <xdr:nvSpPr>
        <xdr:cNvPr id="191" name="190 Rectángulo redondeado"/>
        <xdr:cNvSpPr/>
      </xdr:nvSpPr>
      <xdr:spPr bwMode="auto">
        <a:xfrm>
          <a:off x="8391525" y="1359673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30</xdr:col>
      <xdr:colOff>14720</xdr:colOff>
      <xdr:row>18</xdr:row>
      <xdr:rowOff>23380</xdr:rowOff>
    </xdr:from>
    <xdr:to>
      <xdr:col>31</xdr:col>
      <xdr:colOff>376671</xdr:colOff>
      <xdr:row>18</xdr:row>
      <xdr:rowOff>299605</xdr:rowOff>
    </xdr:to>
    <xdr:sp macro="" textlink="">
      <xdr:nvSpPr>
        <xdr:cNvPr id="192" name="191 Rectángulo redondeado"/>
        <xdr:cNvSpPr/>
      </xdr:nvSpPr>
      <xdr:spPr bwMode="auto">
        <a:xfrm>
          <a:off x="11444720" y="1020704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30</xdr:col>
      <xdr:colOff>12990</xdr:colOff>
      <xdr:row>20</xdr:row>
      <xdr:rowOff>15585</xdr:rowOff>
    </xdr:from>
    <xdr:to>
      <xdr:col>31</xdr:col>
      <xdr:colOff>374941</xdr:colOff>
      <xdr:row>20</xdr:row>
      <xdr:rowOff>291810</xdr:rowOff>
    </xdr:to>
    <xdr:sp macro="" textlink="">
      <xdr:nvSpPr>
        <xdr:cNvPr id="193" name="192 Rectángulo redondeado"/>
        <xdr:cNvSpPr/>
      </xdr:nvSpPr>
      <xdr:spPr bwMode="auto">
        <a:xfrm>
          <a:off x="11442990" y="136029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30</xdr:col>
      <xdr:colOff>13855</xdr:colOff>
      <xdr:row>25</xdr:row>
      <xdr:rowOff>23380</xdr:rowOff>
    </xdr:from>
    <xdr:to>
      <xdr:col>31</xdr:col>
      <xdr:colOff>375806</xdr:colOff>
      <xdr:row>25</xdr:row>
      <xdr:rowOff>299605</xdr:rowOff>
    </xdr:to>
    <xdr:sp macro="" textlink="">
      <xdr:nvSpPr>
        <xdr:cNvPr id="194" name="193 Rectángulo redondeado"/>
        <xdr:cNvSpPr/>
      </xdr:nvSpPr>
      <xdr:spPr bwMode="auto">
        <a:xfrm>
          <a:off x="11443855" y="2667968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30</xdr:col>
      <xdr:colOff>12990</xdr:colOff>
      <xdr:row>27</xdr:row>
      <xdr:rowOff>19050</xdr:rowOff>
    </xdr:from>
    <xdr:to>
      <xdr:col>31</xdr:col>
      <xdr:colOff>374941</xdr:colOff>
      <xdr:row>27</xdr:row>
      <xdr:rowOff>295275</xdr:rowOff>
    </xdr:to>
    <xdr:sp macro="" textlink="">
      <xdr:nvSpPr>
        <xdr:cNvPr id="195" name="194 Rectángulo redondeado"/>
        <xdr:cNvSpPr/>
      </xdr:nvSpPr>
      <xdr:spPr bwMode="auto">
        <a:xfrm>
          <a:off x="11442990" y="301102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22</xdr:col>
      <xdr:colOff>14720</xdr:colOff>
      <xdr:row>18</xdr:row>
      <xdr:rowOff>23380</xdr:rowOff>
    </xdr:from>
    <xdr:to>
      <xdr:col>23</xdr:col>
      <xdr:colOff>376671</xdr:colOff>
      <xdr:row>18</xdr:row>
      <xdr:rowOff>299605</xdr:rowOff>
    </xdr:to>
    <xdr:sp macro="" textlink="">
      <xdr:nvSpPr>
        <xdr:cNvPr id="197" name="196 Rectángulo redondeado"/>
        <xdr:cNvSpPr/>
      </xdr:nvSpPr>
      <xdr:spPr bwMode="auto">
        <a:xfrm>
          <a:off x="8396720" y="1020704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22</xdr:col>
      <xdr:colOff>12990</xdr:colOff>
      <xdr:row>27</xdr:row>
      <xdr:rowOff>19050</xdr:rowOff>
    </xdr:from>
    <xdr:to>
      <xdr:col>23</xdr:col>
      <xdr:colOff>374941</xdr:colOff>
      <xdr:row>27</xdr:row>
      <xdr:rowOff>295275</xdr:rowOff>
    </xdr:to>
    <xdr:sp macro="" textlink="">
      <xdr:nvSpPr>
        <xdr:cNvPr id="198" name="197 Rectángulo redondeado"/>
        <xdr:cNvSpPr/>
      </xdr:nvSpPr>
      <xdr:spPr bwMode="auto">
        <a:xfrm>
          <a:off x="8394990" y="301102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22</xdr:col>
      <xdr:colOff>12990</xdr:colOff>
      <xdr:row>20</xdr:row>
      <xdr:rowOff>15585</xdr:rowOff>
    </xdr:from>
    <xdr:to>
      <xdr:col>23</xdr:col>
      <xdr:colOff>374941</xdr:colOff>
      <xdr:row>20</xdr:row>
      <xdr:rowOff>291810</xdr:rowOff>
    </xdr:to>
    <xdr:sp macro="" textlink="">
      <xdr:nvSpPr>
        <xdr:cNvPr id="199" name="198 Rectángulo redondeado"/>
        <xdr:cNvSpPr/>
      </xdr:nvSpPr>
      <xdr:spPr bwMode="auto">
        <a:xfrm>
          <a:off x="8394990" y="136029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19</xdr:col>
      <xdr:colOff>82812</xdr:colOff>
      <xdr:row>22</xdr:row>
      <xdr:rowOff>248466</xdr:rowOff>
    </xdr:from>
    <xdr:to>
      <xdr:col>20</xdr:col>
      <xdr:colOff>178063</xdr:colOff>
      <xdr:row>24</xdr:row>
      <xdr:rowOff>189345</xdr:rowOff>
    </xdr:to>
    <xdr:sp macro="" textlink="">
      <xdr:nvSpPr>
        <xdr:cNvPr id="200" name="199 Y"/>
        <xdr:cNvSpPr/>
      </xdr:nvSpPr>
      <xdr:spPr bwMode="auto">
        <a:xfrm>
          <a:off x="7321812" y="2153466"/>
          <a:ext cx="476251" cy="433938"/>
        </a:xfrm>
        <a:prstGeom prst="flowChartSummingJunction">
          <a:avLst/>
        </a:prstGeom>
        <a:noFill/>
        <a:ln w="66675" cap="flat" cmpd="tri" algn="ctr">
          <a:solidFill>
            <a:srgbClr val="990099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22</xdr:col>
      <xdr:colOff>14720</xdr:colOff>
      <xdr:row>25</xdr:row>
      <xdr:rowOff>23380</xdr:rowOff>
    </xdr:from>
    <xdr:to>
      <xdr:col>23</xdr:col>
      <xdr:colOff>376671</xdr:colOff>
      <xdr:row>25</xdr:row>
      <xdr:rowOff>299605</xdr:rowOff>
    </xdr:to>
    <xdr:sp macro="" textlink="">
      <xdr:nvSpPr>
        <xdr:cNvPr id="201" name="200 Rectángulo redondeado"/>
        <xdr:cNvSpPr/>
      </xdr:nvSpPr>
      <xdr:spPr bwMode="auto">
        <a:xfrm>
          <a:off x="8396720" y="2667968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47625</xdr:colOff>
      <xdr:row>85</xdr:row>
      <xdr:rowOff>85725</xdr:rowOff>
    </xdr:from>
    <xdr:to>
      <xdr:col>22</xdr:col>
      <xdr:colOff>85725</xdr:colOff>
      <xdr:row>86</xdr:row>
      <xdr:rowOff>19050</xdr:rowOff>
    </xdr:to>
    <xdr:sp macro="" textlink="">
      <xdr:nvSpPr>
        <xdr:cNvPr id="2553" name="AutoShape 33"/>
        <xdr:cNvSpPr>
          <a:spLocks noChangeArrowheads="1"/>
        </xdr:cNvSpPr>
      </xdr:nvSpPr>
      <xdr:spPr bwMode="auto">
        <a:xfrm>
          <a:off x="12611100" y="17849850"/>
          <a:ext cx="209550" cy="180975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200025</xdr:colOff>
      <xdr:row>85</xdr:row>
      <xdr:rowOff>85725</xdr:rowOff>
    </xdr:from>
    <xdr:to>
      <xdr:col>24</xdr:col>
      <xdr:colOff>123825</xdr:colOff>
      <xdr:row>86</xdr:row>
      <xdr:rowOff>19050</xdr:rowOff>
    </xdr:to>
    <xdr:sp macro="" textlink="">
      <xdr:nvSpPr>
        <xdr:cNvPr id="2554" name="AutoShape 34"/>
        <xdr:cNvSpPr>
          <a:spLocks noChangeArrowheads="1"/>
        </xdr:cNvSpPr>
      </xdr:nvSpPr>
      <xdr:spPr bwMode="auto">
        <a:xfrm>
          <a:off x="13220700" y="17849850"/>
          <a:ext cx="209550" cy="180975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88</xdr:row>
      <xdr:rowOff>171450</xdr:rowOff>
    </xdr:from>
    <xdr:to>
      <xdr:col>22</xdr:col>
      <xdr:colOff>266700</xdr:colOff>
      <xdr:row>90</xdr:row>
      <xdr:rowOff>66675</xdr:rowOff>
    </xdr:to>
    <xdr:sp macro="" textlink="">
      <xdr:nvSpPr>
        <xdr:cNvPr id="2555" name="AutoShape 35"/>
        <xdr:cNvSpPr>
          <a:spLocks noChangeArrowheads="1"/>
        </xdr:cNvSpPr>
      </xdr:nvSpPr>
      <xdr:spPr bwMode="auto">
        <a:xfrm>
          <a:off x="12592050" y="18678525"/>
          <a:ext cx="409575" cy="3714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w 21600"/>
            <a:gd name="T5" fmla="*/ 0 h 21600"/>
            <a:gd name="T6" fmla="*/ 2147483647 w 21600"/>
            <a:gd name="T7" fmla="*/ 0 h 21600"/>
            <a:gd name="T8" fmla="*/ 2147483647 w 21600"/>
            <a:gd name="T9" fmla="*/ 0 h 21600"/>
            <a:gd name="T10" fmla="*/ 2147483647 w 21600"/>
            <a:gd name="T11" fmla="*/ 0 h 21600"/>
            <a:gd name="T12" fmla="*/ 2147483647 w 21600"/>
            <a:gd name="T13" fmla="*/ 0 h 21600"/>
            <a:gd name="T14" fmla="*/ 2147483647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0 h 21600"/>
            <a:gd name="T26" fmla="*/ 18437 w 21600"/>
            <a:gd name="T27" fmla="*/ 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4226" y="10800"/>
              </a:moveTo>
              <a:cubicBezTo>
                <a:pt x="4226" y="14431"/>
                <a:pt x="7169" y="17374"/>
                <a:pt x="10800" y="17374"/>
              </a:cubicBezTo>
              <a:cubicBezTo>
                <a:pt x="14431" y="17374"/>
                <a:pt x="17374" y="14431"/>
                <a:pt x="17374" y="10800"/>
              </a:cubicBezTo>
              <a:cubicBezTo>
                <a:pt x="17374" y="7169"/>
                <a:pt x="14431" y="4226"/>
                <a:pt x="10800" y="4226"/>
              </a:cubicBezTo>
              <a:cubicBezTo>
                <a:pt x="7169" y="4226"/>
                <a:pt x="4226" y="7169"/>
                <a:pt x="4226" y="10800"/>
              </a:cubicBezTo>
              <a:close/>
            </a:path>
          </a:pathLst>
        </a:custGeom>
        <a:solidFill>
          <a:srgbClr val="666699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106</xdr:row>
      <xdr:rowOff>85725</xdr:rowOff>
    </xdr:from>
    <xdr:to>
      <xdr:col>22</xdr:col>
      <xdr:colOff>85725</xdr:colOff>
      <xdr:row>107</xdr:row>
      <xdr:rowOff>19050</xdr:rowOff>
    </xdr:to>
    <xdr:sp macro="" textlink="">
      <xdr:nvSpPr>
        <xdr:cNvPr id="2556" name="AutoShape 36"/>
        <xdr:cNvSpPr>
          <a:spLocks noChangeArrowheads="1"/>
        </xdr:cNvSpPr>
      </xdr:nvSpPr>
      <xdr:spPr bwMode="auto">
        <a:xfrm>
          <a:off x="12611100" y="22659975"/>
          <a:ext cx="209550" cy="180975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200025</xdr:colOff>
      <xdr:row>106</xdr:row>
      <xdr:rowOff>85725</xdr:rowOff>
    </xdr:from>
    <xdr:to>
      <xdr:col>24</xdr:col>
      <xdr:colOff>123825</xdr:colOff>
      <xdr:row>107</xdr:row>
      <xdr:rowOff>19050</xdr:rowOff>
    </xdr:to>
    <xdr:sp macro="" textlink="">
      <xdr:nvSpPr>
        <xdr:cNvPr id="2557" name="AutoShape 37"/>
        <xdr:cNvSpPr>
          <a:spLocks noChangeArrowheads="1"/>
        </xdr:cNvSpPr>
      </xdr:nvSpPr>
      <xdr:spPr bwMode="auto">
        <a:xfrm>
          <a:off x="13220700" y="22659975"/>
          <a:ext cx="209550" cy="180975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109</xdr:row>
      <xdr:rowOff>180975</xdr:rowOff>
    </xdr:from>
    <xdr:to>
      <xdr:col>22</xdr:col>
      <xdr:colOff>266700</xdr:colOff>
      <xdr:row>111</xdr:row>
      <xdr:rowOff>66675</xdr:rowOff>
    </xdr:to>
    <xdr:sp macro="" textlink="">
      <xdr:nvSpPr>
        <xdr:cNvPr id="2558" name="AutoShape 38"/>
        <xdr:cNvSpPr>
          <a:spLocks noChangeArrowheads="1"/>
        </xdr:cNvSpPr>
      </xdr:nvSpPr>
      <xdr:spPr bwMode="auto">
        <a:xfrm>
          <a:off x="12592050" y="23488650"/>
          <a:ext cx="409575" cy="35242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w 21600"/>
            <a:gd name="T5" fmla="*/ 0 h 21600"/>
            <a:gd name="T6" fmla="*/ 2147483647 w 21600"/>
            <a:gd name="T7" fmla="*/ 0 h 21600"/>
            <a:gd name="T8" fmla="*/ 2147483647 w 21600"/>
            <a:gd name="T9" fmla="*/ 0 h 21600"/>
            <a:gd name="T10" fmla="*/ 2147483647 w 21600"/>
            <a:gd name="T11" fmla="*/ 0 h 21600"/>
            <a:gd name="T12" fmla="*/ 2147483647 w 21600"/>
            <a:gd name="T13" fmla="*/ 0 h 21600"/>
            <a:gd name="T14" fmla="*/ 2147483647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0 h 21600"/>
            <a:gd name="T26" fmla="*/ 18437 w 21600"/>
            <a:gd name="T27" fmla="*/ 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4226" y="10800"/>
              </a:moveTo>
              <a:cubicBezTo>
                <a:pt x="4226" y="14431"/>
                <a:pt x="7169" y="17374"/>
                <a:pt x="10800" y="17374"/>
              </a:cubicBezTo>
              <a:cubicBezTo>
                <a:pt x="14431" y="17374"/>
                <a:pt x="17374" y="14431"/>
                <a:pt x="17374" y="10800"/>
              </a:cubicBezTo>
              <a:cubicBezTo>
                <a:pt x="17374" y="7169"/>
                <a:pt x="14431" y="4226"/>
                <a:pt x="10800" y="4226"/>
              </a:cubicBezTo>
              <a:cubicBezTo>
                <a:pt x="7169" y="4226"/>
                <a:pt x="4226" y="7169"/>
                <a:pt x="4226" y="10800"/>
              </a:cubicBezTo>
              <a:close/>
            </a:path>
          </a:pathLst>
        </a:custGeom>
        <a:solidFill>
          <a:srgbClr val="666699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126</xdr:row>
      <xdr:rowOff>85725</xdr:rowOff>
    </xdr:from>
    <xdr:to>
      <xdr:col>22</xdr:col>
      <xdr:colOff>85725</xdr:colOff>
      <xdr:row>127</xdr:row>
      <xdr:rowOff>19050</xdr:rowOff>
    </xdr:to>
    <xdr:sp macro="" textlink="">
      <xdr:nvSpPr>
        <xdr:cNvPr id="2559" name="AutoShape 39"/>
        <xdr:cNvSpPr>
          <a:spLocks noChangeArrowheads="1"/>
        </xdr:cNvSpPr>
      </xdr:nvSpPr>
      <xdr:spPr bwMode="auto">
        <a:xfrm>
          <a:off x="12611100" y="27222450"/>
          <a:ext cx="209550" cy="17145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200025</xdr:colOff>
      <xdr:row>126</xdr:row>
      <xdr:rowOff>85725</xdr:rowOff>
    </xdr:from>
    <xdr:to>
      <xdr:col>24</xdr:col>
      <xdr:colOff>123825</xdr:colOff>
      <xdr:row>127</xdr:row>
      <xdr:rowOff>19050</xdr:rowOff>
    </xdr:to>
    <xdr:sp macro="" textlink="">
      <xdr:nvSpPr>
        <xdr:cNvPr id="2560" name="AutoShape 40"/>
        <xdr:cNvSpPr>
          <a:spLocks noChangeArrowheads="1"/>
        </xdr:cNvSpPr>
      </xdr:nvSpPr>
      <xdr:spPr bwMode="auto">
        <a:xfrm>
          <a:off x="13220700" y="27222450"/>
          <a:ext cx="209550" cy="17145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129</xdr:row>
      <xdr:rowOff>171450</xdr:rowOff>
    </xdr:from>
    <xdr:to>
      <xdr:col>22</xdr:col>
      <xdr:colOff>266700</xdr:colOff>
      <xdr:row>131</xdr:row>
      <xdr:rowOff>66675</xdr:rowOff>
    </xdr:to>
    <xdr:sp macro="" textlink="">
      <xdr:nvSpPr>
        <xdr:cNvPr id="2561" name="AutoShape 41"/>
        <xdr:cNvSpPr>
          <a:spLocks noChangeArrowheads="1"/>
        </xdr:cNvSpPr>
      </xdr:nvSpPr>
      <xdr:spPr bwMode="auto">
        <a:xfrm>
          <a:off x="12592050" y="28022550"/>
          <a:ext cx="409575" cy="3714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w 21600"/>
            <a:gd name="T5" fmla="*/ 0 h 21600"/>
            <a:gd name="T6" fmla="*/ 2147483647 w 21600"/>
            <a:gd name="T7" fmla="*/ 0 h 21600"/>
            <a:gd name="T8" fmla="*/ 2147483647 w 21600"/>
            <a:gd name="T9" fmla="*/ 0 h 21600"/>
            <a:gd name="T10" fmla="*/ 2147483647 w 21600"/>
            <a:gd name="T11" fmla="*/ 0 h 21600"/>
            <a:gd name="T12" fmla="*/ 2147483647 w 21600"/>
            <a:gd name="T13" fmla="*/ 0 h 21600"/>
            <a:gd name="T14" fmla="*/ 2147483647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0 h 21600"/>
            <a:gd name="T26" fmla="*/ 18437 w 21600"/>
            <a:gd name="T27" fmla="*/ 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4226" y="10800"/>
              </a:moveTo>
              <a:cubicBezTo>
                <a:pt x="4226" y="14431"/>
                <a:pt x="7169" y="17374"/>
                <a:pt x="10800" y="17374"/>
              </a:cubicBezTo>
              <a:cubicBezTo>
                <a:pt x="14431" y="17374"/>
                <a:pt x="17374" y="14431"/>
                <a:pt x="17374" y="10800"/>
              </a:cubicBezTo>
              <a:cubicBezTo>
                <a:pt x="17374" y="7169"/>
                <a:pt x="14431" y="4226"/>
                <a:pt x="10800" y="4226"/>
              </a:cubicBezTo>
              <a:cubicBezTo>
                <a:pt x="7169" y="4226"/>
                <a:pt x="4226" y="7169"/>
                <a:pt x="4226" y="10800"/>
              </a:cubicBezTo>
              <a:close/>
            </a:path>
          </a:pathLst>
        </a:custGeom>
        <a:solidFill>
          <a:srgbClr val="666699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125</xdr:row>
      <xdr:rowOff>0</xdr:rowOff>
    </xdr:from>
    <xdr:to>
      <xdr:col>22</xdr:col>
      <xdr:colOff>85725</xdr:colOff>
      <xdr:row>125</xdr:row>
      <xdr:rowOff>0</xdr:rowOff>
    </xdr:to>
    <xdr:sp macro="" textlink="">
      <xdr:nvSpPr>
        <xdr:cNvPr id="2562" name="AutoShape 42"/>
        <xdr:cNvSpPr>
          <a:spLocks noChangeArrowheads="1"/>
        </xdr:cNvSpPr>
      </xdr:nvSpPr>
      <xdr:spPr bwMode="auto">
        <a:xfrm>
          <a:off x="12611100" y="26908125"/>
          <a:ext cx="209550" cy="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200025</xdr:colOff>
      <xdr:row>125</xdr:row>
      <xdr:rowOff>0</xdr:rowOff>
    </xdr:from>
    <xdr:to>
      <xdr:col>24</xdr:col>
      <xdr:colOff>123825</xdr:colOff>
      <xdr:row>125</xdr:row>
      <xdr:rowOff>0</xdr:rowOff>
    </xdr:to>
    <xdr:sp macro="" textlink="">
      <xdr:nvSpPr>
        <xdr:cNvPr id="2563" name="AutoShape 43"/>
        <xdr:cNvSpPr>
          <a:spLocks noChangeArrowheads="1"/>
        </xdr:cNvSpPr>
      </xdr:nvSpPr>
      <xdr:spPr bwMode="auto">
        <a:xfrm>
          <a:off x="13220700" y="26908125"/>
          <a:ext cx="209550" cy="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125</xdr:row>
      <xdr:rowOff>0</xdr:rowOff>
    </xdr:from>
    <xdr:to>
      <xdr:col>22</xdr:col>
      <xdr:colOff>266700</xdr:colOff>
      <xdr:row>125</xdr:row>
      <xdr:rowOff>0</xdr:rowOff>
    </xdr:to>
    <xdr:sp macro="" textlink="">
      <xdr:nvSpPr>
        <xdr:cNvPr id="2564" name="AutoShape 44"/>
        <xdr:cNvSpPr>
          <a:spLocks noChangeArrowheads="1"/>
        </xdr:cNvSpPr>
      </xdr:nvSpPr>
      <xdr:spPr bwMode="auto">
        <a:xfrm>
          <a:off x="12592050" y="26908125"/>
          <a:ext cx="4095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w 21600"/>
            <a:gd name="T5" fmla="*/ 0 h 21600"/>
            <a:gd name="T6" fmla="*/ 2147483647 w 21600"/>
            <a:gd name="T7" fmla="*/ 0 h 21600"/>
            <a:gd name="T8" fmla="*/ 2147483647 w 21600"/>
            <a:gd name="T9" fmla="*/ 0 h 21600"/>
            <a:gd name="T10" fmla="*/ 2147483647 w 21600"/>
            <a:gd name="T11" fmla="*/ 0 h 21600"/>
            <a:gd name="T12" fmla="*/ 2147483647 w 21600"/>
            <a:gd name="T13" fmla="*/ 0 h 21600"/>
            <a:gd name="T14" fmla="*/ 2147483647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0 h 21600"/>
            <a:gd name="T26" fmla="*/ 18437 w 21600"/>
            <a:gd name="T27" fmla="*/ 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4226" y="10800"/>
              </a:moveTo>
              <a:cubicBezTo>
                <a:pt x="4226" y="14431"/>
                <a:pt x="7169" y="17374"/>
                <a:pt x="10800" y="17374"/>
              </a:cubicBezTo>
              <a:cubicBezTo>
                <a:pt x="14431" y="17374"/>
                <a:pt x="17374" y="14431"/>
                <a:pt x="17374" y="10800"/>
              </a:cubicBezTo>
              <a:cubicBezTo>
                <a:pt x="17374" y="7169"/>
                <a:pt x="14431" y="4226"/>
                <a:pt x="10800" y="4226"/>
              </a:cubicBezTo>
              <a:cubicBezTo>
                <a:pt x="7169" y="4226"/>
                <a:pt x="4226" y="7169"/>
                <a:pt x="4226" y="10800"/>
              </a:cubicBezTo>
              <a:close/>
            </a:path>
          </a:pathLst>
        </a:custGeom>
        <a:solidFill>
          <a:srgbClr val="666699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145</xdr:row>
      <xdr:rowOff>76200</xdr:rowOff>
    </xdr:from>
    <xdr:to>
      <xdr:col>22</xdr:col>
      <xdr:colOff>85725</xdr:colOff>
      <xdr:row>146</xdr:row>
      <xdr:rowOff>19050</xdr:rowOff>
    </xdr:to>
    <xdr:sp macro="" textlink="">
      <xdr:nvSpPr>
        <xdr:cNvPr id="2565" name="AutoShape 45"/>
        <xdr:cNvSpPr>
          <a:spLocks noChangeArrowheads="1"/>
        </xdr:cNvSpPr>
      </xdr:nvSpPr>
      <xdr:spPr bwMode="auto">
        <a:xfrm>
          <a:off x="12611100" y="31613475"/>
          <a:ext cx="209550" cy="15240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200025</xdr:colOff>
      <xdr:row>145</xdr:row>
      <xdr:rowOff>76200</xdr:rowOff>
    </xdr:from>
    <xdr:to>
      <xdr:col>24</xdr:col>
      <xdr:colOff>123825</xdr:colOff>
      <xdr:row>146</xdr:row>
      <xdr:rowOff>19050</xdr:rowOff>
    </xdr:to>
    <xdr:sp macro="" textlink="">
      <xdr:nvSpPr>
        <xdr:cNvPr id="2566" name="AutoShape 46"/>
        <xdr:cNvSpPr>
          <a:spLocks noChangeArrowheads="1"/>
        </xdr:cNvSpPr>
      </xdr:nvSpPr>
      <xdr:spPr bwMode="auto">
        <a:xfrm>
          <a:off x="13220700" y="31613475"/>
          <a:ext cx="209550" cy="15240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148</xdr:row>
      <xdr:rowOff>152400</xdr:rowOff>
    </xdr:from>
    <xdr:to>
      <xdr:col>22</xdr:col>
      <xdr:colOff>266700</xdr:colOff>
      <xdr:row>150</xdr:row>
      <xdr:rowOff>66675</xdr:rowOff>
    </xdr:to>
    <xdr:sp macro="" textlink="">
      <xdr:nvSpPr>
        <xdr:cNvPr id="2567" name="AutoShape 47"/>
        <xdr:cNvSpPr>
          <a:spLocks noChangeArrowheads="1"/>
        </xdr:cNvSpPr>
      </xdr:nvSpPr>
      <xdr:spPr bwMode="auto">
        <a:xfrm>
          <a:off x="12592050" y="32308800"/>
          <a:ext cx="409575" cy="23812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4226" y="10800"/>
              </a:moveTo>
              <a:cubicBezTo>
                <a:pt x="4226" y="14431"/>
                <a:pt x="7169" y="17374"/>
                <a:pt x="10800" y="17374"/>
              </a:cubicBezTo>
              <a:cubicBezTo>
                <a:pt x="14431" y="17374"/>
                <a:pt x="17374" y="14431"/>
                <a:pt x="17374" y="10800"/>
              </a:cubicBezTo>
              <a:cubicBezTo>
                <a:pt x="17374" y="7169"/>
                <a:pt x="14431" y="4226"/>
                <a:pt x="10800" y="4226"/>
              </a:cubicBezTo>
              <a:cubicBezTo>
                <a:pt x="7169" y="4226"/>
                <a:pt x="4226" y="7169"/>
                <a:pt x="4226" y="10800"/>
              </a:cubicBezTo>
              <a:close/>
            </a:path>
          </a:pathLst>
        </a:custGeom>
        <a:solidFill>
          <a:srgbClr val="666699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163</xdr:row>
      <xdr:rowOff>85725</xdr:rowOff>
    </xdr:from>
    <xdr:to>
      <xdr:col>22</xdr:col>
      <xdr:colOff>85725</xdr:colOff>
      <xdr:row>164</xdr:row>
      <xdr:rowOff>19050</xdr:rowOff>
    </xdr:to>
    <xdr:sp macro="" textlink="">
      <xdr:nvSpPr>
        <xdr:cNvPr id="2568" name="AutoShape 51"/>
        <xdr:cNvSpPr>
          <a:spLocks noChangeArrowheads="1"/>
        </xdr:cNvSpPr>
      </xdr:nvSpPr>
      <xdr:spPr bwMode="auto">
        <a:xfrm>
          <a:off x="12611100" y="35661600"/>
          <a:ext cx="209550" cy="17145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200025</xdr:colOff>
      <xdr:row>163</xdr:row>
      <xdr:rowOff>85725</xdr:rowOff>
    </xdr:from>
    <xdr:to>
      <xdr:col>24</xdr:col>
      <xdr:colOff>123825</xdr:colOff>
      <xdr:row>164</xdr:row>
      <xdr:rowOff>19050</xdr:rowOff>
    </xdr:to>
    <xdr:sp macro="" textlink="">
      <xdr:nvSpPr>
        <xdr:cNvPr id="2569" name="AutoShape 52"/>
        <xdr:cNvSpPr>
          <a:spLocks noChangeArrowheads="1"/>
        </xdr:cNvSpPr>
      </xdr:nvSpPr>
      <xdr:spPr bwMode="auto">
        <a:xfrm>
          <a:off x="13220700" y="35661600"/>
          <a:ext cx="209550" cy="17145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166</xdr:row>
      <xdr:rowOff>171450</xdr:rowOff>
    </xdr:from>
    <xdr:to>
      <xdr:col>22</xdr:col>
      <xdr:colOff>266700</xdr:colOff>
      <xdr:row>168</xdr:row>
      <xdr:rowOff>66675</xdr:rowOff>
    </xdr:to>
    <xdr:sp macro="" textlink="">
      <xdr:nvSpPr>
        <xdr:cNvPr id="2570" name="AutoShape 53"/>
        <xdr:cNvSpPr>
          <a:spLocks noChangeArrowheads="1"/>
        </xdr:cNvSpPr>
      </xdr:nvSpPr>
      <xdr:spPr bwMode="auto">
        <a:xfrm>
          <a:off x="12592050" y="36461700"/>
          <a:ext cx="409575" cy="3714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4226" y="10800"/>
              </a:moveTo>
              <a:cubicBezTo>
                <a:pt x="4226" y="14431"/>
                <a:pt x="7169" y="17374"/>
                <a:pt x="10800" y="17374"/>
              </a:cubicBezTo>
              <a:cubicBezTo>
                <a:pt x="14431" y="17374"/>
                <a:pt x="17374" y="14431"/>
                <a:pt x="17374" y="10800"/>
              </a:cubicBezTo>
              <a:cubicBezTo>
                <a:pt x="17374" y="7169"/>
                <a:pt x="14431" y="4226"/>
                <a:pt x="10800" y="4226"/>
              </a:cubicBezTo>
              <a:cubicBezTo>
                <a:pt x="7169" y="4226"/>
                <a:pt x="4226" y="7169"/>
                <a:pt x="4226" y="10800"/>
              </a:cubicBezTo>
              <a:close/>
            </a:path>
          </a:pathLst>
        </a:custGeom>
        <a:solidFill>
          <a:srgbClr val="666699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181</xdr:row>
      <xdr:rowOff>85725</xdr:rowOff>
    </xdr:from>
    <xdr:to>
      <xdr:col>22</xdr:col>
      <xdr:colOff>85725</xdr:colOff>
      <xdr:row>182</xdr:row>
      <xdr:rowOff>19050</xdr:rowOff>
    </xdr:to>
    <xdr:sp macro="" textlink="">
      <xdr:nvSpPr>
        <xdr:cNvPr id="2571" name="AutoShape 54"/>
        <xdr:cNvSpPr>
          <a:spLocks noChangeArrowheads="1"/>
        </xdr:cNvSpPr>
      </xdr:nvSpPr>
      <xdr:spPr bwMode="auto">
        <a:xfrm>
          <a:off x="12611100" y="39947850"/>
          <a:ext cx="209550" cy="17145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200025</xdr:colOff>
      <xdr:row>181</xdr:row>
      <xdr:rowOff>85725</xdr:rowOff>
    </xdr:from>
    <xdr:to>
      <xdr:col>24</xdr:col>
      <xdr:colOff>123825</xdr:colOff>
      <xdr:row>182</xdr:row>
      <xdr:rowOff>19050</xdr:rowOff>
    </xdr:to>
    <xdr:sp macro="" textlink="">
      <xdr:nvSpPr>
        <xdr:cNvPr id="2572" name="AutoShape 55"/>
        <xdr:cNvSpPr>
          <a:spLocks noChangeArrowheads="1"/>
        </xdr:cNvSpPr>
      </xdr:nvSpPr>
      <xdr:spPr bwMode="auto">
        <a:xfrm>
          <a:off x="13220700" y="39947850"/>
          <a:ext cx="209550" cy="17145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184</xdr:row>
      <xdr:rowOff>171450</xdr:rowOff>
    </xdr:from>
    <xdr:to>
      <xdr:col>22</xdr:col>
      <xdr:colOff>266700</xdr:colOff>
      <xdr:row>186</xdr:row>
      <xdr:rowOff>66675</xdr:rowOff>
    </xdr:to>
    <xdr:sp macro="" textlink="">
      <xdr:nvSpPr>
        <xdr:cNvPr id="2573" name="AutoShape 56"/>
        <xdr:cNvSpPr>
          <a:spLocks noChangeArrowheads="1"/>
        </xdr:cNvSpPr>
      </xdr:nvSpPr>
      <xdr:spPr bwMode="auto">
        <a:xfrm>
          <a:off x="12592050" y="40747950"/>
          <a:ext cx="409575" cy="3714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4226" y="10800"/>
              </a:moveTo>
              <a:cubicBezTo>
                <a:pt x="4226" y="14431"/>
                <a:pt x="7169" y="17374"/>
                <a:pt x="10800" y="17374"/>
              </a:cubicBezTo>
              <a:cubicBezTo>
                <a:pt x="14431" y="17374"/>
                <a:pt x="17374" y="14431"/>
                <a:pt x="17374" y="10800"/>
              </a:cubicBezTo>
              <a:cubicBezTo>
                <a:pt x="17374" y="7169"/>
                <a:pt x="14431" y="4226"/>
                <a:pt x="10800" y="4226"/>
              </a:cubicBezTo>
              <a:cubicBezTo>
                <a:pt x="7169" y="4226"/>
                <a:pt x="4226" y="7169"/>
                <a:pt x="4226" y="10800"/>
              </a:cubicBezTo>
              <a:close/>
            </a:path>
          </a:pathLst>
        </a:custGeom>
        <a:solidFill>
          <a:srgbClr val="666699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199</xdr:row>
      <xdr:rowOff>85725</xdr:rowOff>
    </xdr:from>
    <xdr:to>
      <xdr:col>22</xdr:col>
      <xdr:colOff>85725</xdr:colOff>
      <xdr:row>200</xdr:row>
      <xdr:rowOff>19050</xdr:rowOff>
    </xdr:to>
    <xdr:sp macro="" textlink="">
      <xdr:nvSpPr>
        <xdr:cNvPr id="2574" name="AutoShape 57"/>
        <xdr:cNvSpPr>
          <a:spLocks noChangeArrowheads="1"/>
        </xdr:cNvSpPr>
      </xdr:nvSpPr>
      <xdr:spPr bwMode="auto">
        <a:xfrm>
          <a:off x="12611100" y="44234100"/>
          <a:ext cx="209550" cy="17145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200025</xdr:colOff>
      <xdr:row>199</xdr:row>
      <xdr:rowOff>85725</xdr:rowOff>
    </xdr:from>
    <xdr:to>
      <xdr:col>24</xdr:col>
      <xdr:colOff>123825</xdr:colOff>
      <xdr:row>200</xdr:row>
      <xdr:rowOff>19050</xdr:rowOff>
    </xdr:to>
    <xdr:sp macro="" textlink="">
      <xdr:nvSpPr>
        <xdr:cNvPr id="2575" name="AutoShape 58"/>
        <xdr:cNvSpPr>
          <a:spLocks noChangeArrowheads="1"/>
        </xdr:cNvSpPr>
      </xdr:nvSpPr>
      <xdr:spPr bwMode="auto">
        <a:xfrm>
          <a:off x="13220700" y="44234100"/>
          <a:ext cx="209550" cy="17145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202</xdr:row>
      <xdr:rowOff>171450</xdr:rowOff>
    </xdr:from>
    <xdr:to>
      <xdr:col>22</xdr:col>
      <xdr:colOff>266700</xdr:colOff>
      <xdr:row>204</xdr:row>
      <xdr:rowOff>66675</xdr:rowOff>
    </xdr:to>
    <xdr:sp macro="" textlink="">
      <xdr:nvSpPr>
        <xdr:cNvPr id="2576" name="AutoShape 59"/>
        <xdr:cNvSpPr>
          <a:spLocks noChangeArrowheads="1"/>
        </xdr:cNvSpPr>
      </xdr:nvSpPr>
      <xdr:spPr bwMode="auto">
        <a:xfrm>
          <a:off x="12592050" y="45034200"/>
          <a:ext cx="409575" cy="3714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4226" y="10800"/>
              </a:moveTo>
              <a:cubicBezTo>
                <a:pt x="4226" y="14431"/>
                <a:pt x="7169" y="17374"/>
                <a:pt x="10800" y="17374"/>
              </a:cubicBezTo>
              <a:cubicBezTo>
                <a:pt x="14431" y="17374"/>
                <a:pt x="17374" y="14431"/>
                <a:pt x="17374" y="10800"/>
              </a:cubicBezTo>
              <a:cubicBezTo>
                <a:pt x="17374" y="7169"/>
                <a:pt x="14431" y="4226"/>
                <a:pt x="10800" y="4226"/>
              </a:cubicBezTo>
              <a:cubicBezTo>
                <a:pt x="7169" y="4226"/>
                <a:pt x="4226" y="7169"/>
                <a:pt x="4226" y="10800"/>
              </a:cubicBezTo>
              <a:close/>
            </a:path>
          </a:pathLst>
        </a:custGeom>
        <a:solidFill>
          <a:srgbClr val="666699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217</xdr:row>
      <xdr:rowOff>85725</xdr:rowOff>
    </xdr:from>
    <xdr:to>
      <xdr:col>22</xdr:col>
      <xdr:colOff>85725</xdr:colOff>
      <xdr:row>218</xdr:row>
      <xdr:rowOff>19050</xdr:rowOff>
    </xdr:to>
    <xdr:sp macro="" textlink="">
      <xdr:nvSpPr>
        <xdr:cNvPr id="2577" name="AutoShape 60"/>
        <xdr:cNvSpPr>
          <a:spLocks noChangeArrowheads="1"/>
        </xdr:cNvSpPr>
      </xdr:nvSpPr>
      <xdr:spPr bwMode="auto">
        <a:xfrm>
          <a:off x="12611100" y="48520350"/>
          <a:ext cx="209550" cy="17145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200025</xdr:colOff>
      <xdr:row>217</xdr:row>
      <xdr:rowOff>85725</xdr:rowOff>
    </xdr:from>
    <xdr:to>
      <xdr:col>24</xdr:col>
      <xdr:colOff>123825</xdr:colOff>
      <xdr:row>218</xdr:row>
      <xdr:rowOff>19050</xdr:rowOff>
    </xdr:to>
    <xdr:sp macro="" textlink="">
      <xdr:nvSpPr>
        <xdr:cNvPr id="2578" name="AutoShape 61"/>
        <xdr:cNvSpPr>
          <a:spLocks noChangeArrowheads="1"/>
        </xdr:cNvSpPr>
      </xdr:nvSpPr>
      <xdr:spPr bwMode="auto">
        <a:xfrm>
          <a:off x="13220700" y="48520350"/>
          <a:ext cx="209550" cy="17145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220</xdr:row>
      <xdr:rowOff>171450</xdr:rowOff>
    </xdr:from>
    <xdr:to>
      <xdr:col>22</xdr:col>
      <xdr:colOff>266700</xdr:colOff>
      <xdr:row>222</xdr:row>
      <xdr:rowOff>66675</xdr:rowOff>
    </xdr:to>
    <xdr:sp macro="" textlink="">
      <xdr:nvSpPr>
        <xdr:cNvPr id="2579" name="AutoShape 62"/>
        <xdr:cNvSpPr>
          <a:spLocks noChangeArrowheads="1"/>
        </xdr:cNvSpPr>
      </xdr:nvSpPr>
      <xdr:spPr bwMode="auto">
        <a:xfrm>
          <a:off x="12592050" y="49320450"/>
          <a:ext cx="409575" cy="3714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4226" y="10800"/>
              </a:moveTo>
              <a:cubicBezTo>
                <a:pt x="4226" y="14431"/>
                <a:pt x="7169" y="17374"/>
                <a:pt x="10800" y="17374"/>
              </a:cubicBezTo>
              <a:cubicBezTo>
                <a:pt x="14431" y="17374"/>
                <a:pt x="17374" y="14431"/>
                <a:pt x="17374" y="10800"/>
              </a:cubicBezTo>
              <a:cubicBezTo>
                <a:pt x="17374" y="7169"/>
                <a:pt x="14431" y="4226"/>
                <a:pt x="10800" y="4226"/>
              </a:cubicBezTo>
              <a:cubicBezTo>
                <a:pt x="7169" y="4226"/>
                <a:pt x="4226" y="7169"/>
                <a:pt x="4226" y="10800"/>
              </a:cubicBezTo>
              <a:close/>
            </a:path>
          </a:pathLst>
        </a:custGeom>
        <a:solidFill>
          <a:srgbClr val="666699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125</xdr:row>
      <xdr:rowOff>0</xdr:rowOff>
    </xdr:from>
    <xdr:to>
      <xdr:col>22</xdr:col>
      <xdr:colOff>266700</xdr:colOff>
      <xdr:row>125</xdr:row>
      <xdr:rowOff>0</xdr:rowOff>
    </xdr:to>
    <xdr:sp macro="" textlink="">
      <xdr:nvSpPr>
        <xdr:cNvPr id="2580" name="AutoShape 63"/>
        <xdr:cNvSpPr>
          <a:spLocks noChangeArrowheads="1"/>
        </xdr:cNvSpPr>
      </xdr:nvSpPr>
      <xdr:spPr bwMode="auto">
        <a:xfrm>
          <a:off x="12592050" y="26908125"/>
          <a:ext cx="4095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w 21600"/>
            <a:gd name="T5" fmla="*/ 0 h 21600"/>
            <a:gd name="T6" fmla="*/ 2147483647 w 21600"/>
            <a:gd name="T7" fmla="*/ 0 h 21600"/>
            <a:gd name="T8" fmla="*/ 2147483647 w 21600"/>
            <a:gd name="T9" fmla="*/ 0 h 21600"/>
            <a:gd name="T10" fmla="*/ 2147483647 w 21600"/>
            <a:gd name="T11" fmla="*/ 0 h 21600"/>
            <a:gd name="T12" fmla="*/ 2147483647 w 21600"/>
            <a:gd name="T13" fmla="*/ 0 h 21600"/>
            <a:gd name="T14" fmla="*/ 2147483647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0 h 21600"/>
            <a:gd name="T26" fmla="*/ 18437 w 21600"/>
            <a:gd name="T27" fmla="*/ 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4226" y="10800"/>
              </a:moveTo>
              <a:cubicBezTo>
                <a:pt x="4226" y="14431"/>
                <a:pt x="7169" y="17374"/>
                <a:pt x="10800" y="17374"/>
              </a:cubicBezTo>
              <a:cubicBezTo>
                <a:pt x="14431" y="17374"/>
                <a:pt x="17374" y="14431"/>
                <a:pt x="17374" y="10800"/>
              </a:cubicBezTo>
              <a:cubicBezTo>
                <a:pt x="17374" y="7169"/>
                <a:pt x="14431" y="4226"/>
                <a:pt x="10800" y="4226"/>
              </a:cubicBezTo>
              <a:cubicBezTo>
                <a:pt x="7169" y="4226"/>
                <a:pt x="4226" y="7169"/>
                <a:pt x="4226" y="10800"/>
              </a:cubicBezTo>
              <a:close/>
            </a:path>
          </a:pathLst>
        </a:custGeom>
        <a:solidFill>
          <a:srgbClr val="666699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AE3319"/>
  <sheetViews>
    <sheetView tabSelected="1" zoomScale="85" zoomScaleNormal="85" workbookViewId="0">
      <pane ySplit="7" topLeftCell="A21" activePane="bottomLeft" state="frozen"/>
      <selection pane="bottomLeft" activeCell="A44" sqref="A44"/>
    </sheetView>
  </sheetViews>
  <sheetFormatPr baseColWidth="10" defaultRowHeight="15" outlineLevelRow="1" outlineLevelCol="1"/>
  <cols>
    <col min="1" max="1" width="0.85546875" customWidth="1"/>
    <col min="2" max="2" width="5.7109375" style="1" hidden="1" customWidth="1" outlineLevel="1"/>
    <col min="3" max="3" width="4.7109375" style="2" hidden="1" customWidth="1" outlineLevel="1"/>
    <col min="4" max="4" width="7.7109375" style="3" hidden="1" customWidth="1" outlineLevel="1"/>
    <col min="5" max="5" width="4.7109375" style="4" customWidth="1" collapsed="1"/>
    <col min="6" max="6" width="3.5703125" style="562" bestFit="1" customWidth="1"/>
    <col min="7" max="7" width="12.7109375" style="7" customWidth="1"/>
    <col min="8" max="8" width="13.7109375" style="6" customWidth="1"/>
    <col min="9" max="9" width="11.7109375" style="7" customWidth="1" outlineLevel="1"/>
    <col min="10" max="10" width="20.7109375" style="8" customWidth="1"/>
    <col min="11" max="11" width="10.7109375" style="18" customWidth="1" outlineLevel="1"/>
    <col min="12" max="12" width="12.42578125" style="10" customWidth="1"/>
    <col min="13" max="13" width="3.140625" style="11" customWidth="1" outlineLevel="1"/>
    <col min="14" max="14" width="13.7109375" style="12" customWidth="1" outlineLevel="1"/>
    <col min="15" max="15" width="5.140625" style="12" customWidth="1" outlineLevel="1"/>
    <col min="16" max="16" width="13.5703125" style="13" customWidth="1" outlineLevel="1"/>
    <col min="17" max="17" width="10.7109375" style="2950" customWidth="1" outlineLevel="1"/>
    <col min="18" max="18" width="10.7109375" style="14" customWidth="1" outlineLevel="1"/>
    <col min="19" max="19" width="8.28515625" style="1941" customWidth="1"/>
    <col min="20" max="20" width="30.7109375" customWidth="1"/>
    <col min="21" max="21" width="4.7109375" style="1888" customWidth="1"/>
    <col min="22" max="22" width="9.7109375" style="2080" customWidth="1"/>
    <col min="23" max="23" width="8.7109375" style="15" customWidth="1"/>
    <col min="24" max="24" width="91.140625" style="1878" customWidth="1"/>
    <col min="25" max="25" width="2.7109375" style="16" customWidth="1"/>
    <col min="26" max="26" width="43.140625" style="19" bestFit="1" customWidth="1"/>
    <col min="28" max="28" width="13.140625" bestFit="1" customWidth="1"/>
  </cols>
  <sheetData>
    <row r="1" spans="1:26" ht="5.0999999999999996" customHeight="1">
      <c r="G1" s="5" t="s">
        <v>696</v>
      </c>
      <c r="K1" s="9" t="s">
        <v>697</v>
      </c>
      <c r="Z1" s="17" t="s">
        <v>698</v>
      </c>
    </row>
    <row r="2" spans="1:26" ht="5.0999999999999996" customHeight="1">
      <c r="B2" s="3321" t="s">
        <v>699</v>
      </c>
      <c r="C2" s="3320" t="s">
        <v>700</v>
      </c>
      <c r="D2" s="3319" t="s">
        <v>701</v>
      </c>
      <c r="G2" s="7" t="s">
        <v>702</v>
      </c>
    </row>
    <row r="3" spans="1:26" ht="5.0999999999999996" customHeight="1">
      <c r="B3" s="3321"/>
      <c r="C3" s="3320"/>
      <c r="D3" s="3319"/>
      <c r="N3" s="20"/>
    </row>
    <row r="4" spans="1:26" ht="20.25">
      <c r="B4" s="3321"/>
      <c r="C4" s="3320"/>
      <c r="D4" s="3319"/>
      <c r="G4" s="21" t="s">
        <v>703</v>
      </c>
      <c r="L4" s="3316">
        <f ca="1">TODAY()</f>
        <v>43895</v>
      </c>
      <c r="M4" s="3317"/>
      <c r="N4" s="3317"/>
      <c r="O4" s="3317"/>
      <c r="P4" s="3317"/>
      <c r="Q4" s="3317"/>
      <c r="R4" s="3318"/>
    </row>
    <row r="5" spans="1:26" ht="10.15" customHeight="1">
      <c r="B5" s="3321"/>
      <c r="C5" s="3320"/>
      <c r="D5" s="3319"/>
    </row>
    <row r="6" spans="1:26" ht="10.15" customHeight="1">
      <c r="B6" s="3321"/>
      <c r="C6" s="3320"/>
      <c r="D6" s="3319"/>
    </row>
    <row r="7" spans="1:26">
      <c r="B7" s="3321"/>
      <c r="C7" s="3320"/>
      <c r="D7" s="3319"/>
      <c r="E7" s="22" t="s">
        <v>704</v>
      </c>
      <c r="F7" s="22" t="s">
        <v>705</v>
      </c>
      <c r="G7" s="23" t="s">
        <v>706</v>
      </c>
      <c r="H7" s="24" t="s">
        <v>707</v>
      </c>
      <c r="I7" s="25" t="s">
        <v>708</v>
      </c>
      <c r="J7" s="26" t="s">
        <v>709</v>
      </c>
      <c r="K7" s="27" t="s">
        <v>710</v>
      </c>
      <c r="L7" s="28" t="s">
        <v>711</v>
      </c>
      <c r="M7" s="29" t="s">
        <v>712</v>
      </c>
      <c r="N7" s="30" t="s">
        <v>713</v>
      </c>
      <c r="O7" s="30" t="s">
        <v>714</v>
      </c>
      <c r="P7" s="31" t="s">
        <v>715</v>
      </c>
      <c r="Q7" s="2951" t="s">
        <v>716</v>
      </c>
      <c r="R7" s="32" t="s">
        <v>717</v>
      </c>
      <c r="S7" s="1942" t="s">
        <v>718</v>
      </c>
      <c r="T7" s="33" t="s">
        <v>719</v>
      </c>
      <c r="U7" s="1888" t="s">
        <v>692</v>
      </c>
      <c r="V7" s="2081" t="s">
        <v>716</v>
      </c>
      <c r="W7" s="34" t="s">
        <v>717</v>
      </c>
      <c r="X7" s="1879" t="s">
        <v>720</v>
      </c>
      <c r="Y7" s="35"/>
      <c r="Z7" s="36" t="s">
        <v>697</v>
      </c>
    </row>
    <row r="8" spans="1:26" ht="15.75" thickBot="1">
      <c r="B8" s="37"/>
      <c r="E8" s="38"/>
      <c r="F8" s="39"/>
      <c r="G8" s="40"/>
      <c r="H8" s="41"/>
      <c r="I8" s="40"/>
      <c r="J8" s="42"/>
      <c r="K8" s="43"/>
      <c r="L8" s="44"/>
      <c r="M8" s="45"/>
      <c r="N8" s="46"/>
      <c r="O8" s="47"/>
      <c r="P8" s="2763"/>
      <c r="Q8" s="2952"/>
      <c r="R8" s="48"/>
      <c r="S8" s="1943"/>
      <c r="T8" s="33"/>
      <c r="V8" s="2082"/>
      <c r="W8" s="49"/>
      <c r="X8" s="1880"/>
      <c r="Y8" s="50"/>
      <c r="Z8" s="19" t="str">
        <f>CONCATENATE(I8,J8)</f>
        <v/>
      </c>
    </row>
    <row r="9" spans="1:26" s="65" customFormat="1" collapsed="1">
      <c r="A9" s="3307" t="s">
        <v>2464</v>
      </c>
      <c r="B9" s="3308"/>
      <c r="C9" s="3307"/>
      <c r="D9" s="3309"/>
      <c r="E9" s="51">
        <f>+D2077+D2044+D2006+D1973</f>
        <v>89</v>
      </c>
      <c r="F9" s="2048"/>
      <c r="G9" s="52"/>
      <c r="H9" s="53"/>
      <c r="I9" s="52"/>
      <c r="J9" s="54"/>
      <c r="K9" s="55"/>
      <c r="L9" s="56"/>
      <c r="M9" s="57"/>
      <c r="N9" s="58"/>
      <c r="O9" s="59"/>
      <c r="P9" s="2764"/>
      <c r="Q9" s="2953"/>
      <c r="R9" s="60"/>
      <c r="S9" s="1944"/>
      <c r="T9" s="61"/>
      <c r="U9" s="1889"/>
      <c r="V9" s="2083"/>
      <c r="W9" s="62"/>
      <c r="X9" s="1881"/>
      <c r="Y9" s="63"/>
      <c r="Z9" s="64"/>
    </row>
    <row r="10" spans="1:26" ht="15.2" customHeight="1">
      <c r="B10" s="37"/>
      <c r="E10" s="66"/>
      <c r="F10" s="67"/>
      <c r="G10" s="68"/>
      <c r="H10" s="69"/>
      <c r="I10" s="68"/>
      <c r="J10" s="70"/>
      <c r="K10" s="71"/>
      <c r="L10" s="72"/>
      <c r="M10" s="73"/>
      <c r="N10" s="74"/>
      <c r="O10" s="75">
        <f t="shared" ref="O10:O765" si="0">+N10</f>
        <v>0</v>
      </c>
      <c r="P10" s="2765"/>
      <c r="Q10" s="2954"/>
      <c r="R10" s="76"/>
      <c r="S10" s="1945"/>
      <c r="T10" s="77"/>
      <c r="U10" s="1893"/>
      <c r="V10" s="2079">
        <f t="shared" ref="V10:W11" si="1">+Q10*(1.18)</f>
        <v>0</v>
      </c>
      <c r="W10" s="78">
        <f t="shared" si="1"/>
        <v>0</v>
      </c>
      <c r="X10" s="1878" t="str">
        <f t="shared" ref="X10:X11" si="2">CONCATENATE(E10,".- ",F10," ",G10," ",H10,"-OT_",K10," "," ",I10," ",P10," ",T10)</f>
        <v xml:space="preserve">.-   -OT_    </v>
      </c>
      <c r="Z10" s="19" t="str">
        <f t="shared" ref="Z10:Z11" si="3">CONCATENATE(I10,J10)</f>
        <v/>
      </c>
    </row>
    <row r="11" spans="1:26" ht="15.2" customHeight="1">
      <c r="B11" s="37"/>
      <c r="E11" s="2663"/>
      <c r="F11" s="2297"/>
      <c r="G11" s="68"/>
      <c r="H11" s="69"/>
      <c r="I11" s="2014"/>
      <c r="J11" s="70"/>
      <c r="K11" s="2305"/>
      <c r="L11" s="72"/>
      <c r="M11" s="73"/>
      <c r="N11" s="74"/>
      <c r="O11" s="75">
        <f t="shared" si="0"/>
        <v>0</v>
      </c>
      <c r="P11" s="2765"/>
      <c r="Q11" s="2954"/>
      <c r="R11" s="76"/>
      <c r="S11" s="1945" t="s">
        <v>722</v>
      </c>
      <c r="T11" s="77"/>
      <c r="U11" s="1893"/>
      <c r="V11" s="2079">
        <f t="shared" si="1"/>
        <v>0</v>
      </c>
      <c r="W11" s="78">
        <f t="shared" si="1"/>
        <v>0</v>
      </c>
      <c r="X11" s="1878" t="str">
        <f t="shared" si="2"/>
        <v xml:space="preserve">.-   -OT_    </v>
      </c>
      <c r="Z11" s="19" t="str">
        <f t="shared" si="3"/>
        <v/>
      </c>
    </row>
    <row r="12" spans="1:26" ht="15.2" customHeight="1">
      <c r="B12" s="37"/>
      <c r="E12" s="3089"/>
      <c r="F12" s="2297"/>
      <c r="G12" s="68"/>
      <c r="H12" s="69"/>
      <c r="I12" s="2014"/>
      <c r="J12" s="70"/>
      <c r="K12" s="2305"/>
      <c r="L12" s="72"/>
      <c r="M12" s="73"/>
      <c r="N12" s="74"/>
      <c r="O12" s="75">
        <f t="shared" ref="O12:O295" si="4">+N12</f>
        <v>0</v>
      </c>
      <c r="P12" s="2765"/>
      <c r="Q12" s="2954"/>
      <c r="R12" s="76"/>
      <c r="S12" s="1945" t="s">
        <v>722</v>
      </c>
      <c r="T12" s="77"/>
      <c r="U12" s="1893"/>
      <c r="V12" s="2079">
        <f t="shared" ref="V12:V19" si="5">+Q12*(1.18)</f>
        <v>0</v>
      </c>
      <c r="W12" s="78">
        <f t="shared" ref="W12:W19" si="6">+R12*(1.18)</f>
        <v>0</v>
      </c>
      <c r="X12" s="1878" t="str">
        <f t="shared" ref="X12:X19" si="7">CONCATENATE(E12,".- ",F12," ",G12," ",H12,"-OT_",K12," "," ",I12," ",P12," ",T12)</f>
        <v xml:space="preserve">.-   -OT_    </v>
      </c>
      <c r="Z12" s="19" t="str">
        <f t="shared" ref="Z12:Z19" si="8">CONCATENATE(I12,J12)</f>
        <v/>
      </c>
    </row>
    <row r="13" spans="1:26" ht="15.2" customHeight="1">
      <c r="B13" s="37"/>
      <c r="E13" s="3089"/>
      <c r="F13" s="2297"/>
      <c r="G13" s="68"/>
      <c r="H13" s="69"/>
      <c r="I13" s="2014"/>
      <c r="J13" s="70"/>
      <c r="K13" s="2305"/>
      <c r="L13" s="72"/>
      <c r="M13" s="73"/>
      <c r="N13" s="74"/>
      <c r="O13" s="75">
        <f t="shared" si="4"/>
        <v>0</v>
      </c>
      <c r="P13" s="2765"/>
      <c r="Q13" s="2954"/>
      <c r="R13" s="76"/>
      <c r="S13" s="1945" t="s">
        <v>722</v>
      </c>
      <c r="T13" s="77"/>
      <c r="U13" s="1893"/>
      <c r="V13" s="2079">
        <f t="shared" si="5"/>
        <v>0</v>
      </c>
      <c r="W13" s="78">
        <f t="shared" si="6"/>
        <v>0</v>
      </c>
      <c r="X13" s="1878" t="str">
        <f t="shared" si="7"/>
        <v xml:space="preserve">.-   -OT_    </v>
      </c>
      <c r="Z13" s="19" t="str">
        <f t="shared" si="8"/>
        <v/>
      </c>
    </row>
    <row r="14" spans="1:26" ht="15.2" customHeight="1">
      <c r="B14" s="37"/>
      <c r="E14" s="3089"/>
      <c r="F14" s="2297"/>
      <c r="G14" s="68"/>
      <c r="H14" s="69"/>
      <c r="I14" s="2014"/>
      <c r="J14" s="70"/>
      <c r="K14" s="2305"/>
      <c r="L14" s="72"/>
      <c r="M14" s="73"/>
      <c r="N14" s="74"/>
      <c r="O14" s="75">
        <f t="shared" si="4"/>
        <v>0</v>
      </c>
      <c r="P14" s="2765"/>
      <c r="Q14" s="2954"/>
      <c r="R14" s="76"/>
      <c r="S14" s="1945" t="s">
        <v>722</v>
      </c>
      <c r="T14" s="77"/>
      <c r="U14" s="1893"/>
      <c r="V14" s="2079">
        <f t="shared" si="5"/>
        <v>0</v>
      </c>
      <c r="W14" s="78">
        <f t="shared" si="6"/>
        <v>0</v>
      </c>
      <c r="X14" s="1878" t="str">
        <f t="shared" si="7"/>
        <v xml:space="preserve">.-   -OT_    </v>
      </c>
      <c r="Z14" s="19" t="str">
        <f t="shared" si="8"/>
        <v/>
      </c>
    </row>
    <row r="15" spans="1:26" ht="15.2" customHeight="1">
      <c r="B15" s="37"/>
      <c r="E15" s="3089"/>
      <c r="F15" s="2297"/>
      <c r="G15" s="68"/>
      <c r="H15" s="69"/>
      <c r="I15" s="2014"/>
      <c r="J15" s="70"/>
      <c r="K15" s="2305"/>
      <c r="L15" s="72"/>
      <c r="M15" s="73"/>
      <c r="N15" s="74"/>
      <c r="O15" s="75">
        <f t="shared" si="4"/>
        <v>0</v>
      </c>
      <c r="P15" s="2765"/>
      <c r="Q15" s="2954"/>
      <c r="R15" s="76"/>
      <c r="S15" s="1945" t="s">
        <v>722</v>
      </c>
      <c r="T15" s="77"/>
      <c r="U15" s="1893"/>
      <c r="V15" s="2079">
        <f t="shared" si="5"/>
        <v>0</v>
      </c>
      <c r="W15" s="78">
        <f t="shared" si="6"/>
        <v>0</v>
      </c>
      <c r="X15" s="1878" t="str">
        <f t="shared" si="7"/>
        <v xml:space="preserve">.-   -OT_    </v>
      </c>
      <c r="Z15" s="19" t="str">
        <f t="shared" si="8"/>
        <v/>
      </c>
    </row>
    <row r="16" spans="1:26" ht="15.2" customHeight="1">
      <c r="B16" s="37"/>
      <c r="E16" s="3089"/>
      <c r="F16" s="2297"/>
      <c r="G16" s="68"/>
      <c r="H16" s="69"/>
      <c r="I16" s="2014"/>
      <c r="J16" s="70"/>
      <c r="K16" s="2305"/>
      <c r="L16" s="72"/>
      <c r="M16" s="73"/>
      <c r="N16" s="74"/>
      <c r="O16" s="75">
        <f t="shared" si="4"/>
        <v>0</v>
      </c>
      <c r="P16" s="2765"/>
      <c r="Q16" s="2954"/>
      <c r="R16" s="76"/>
      <c r="S16" s="1945" t="s">
        <v>722</v>
      </c>
      <c r="T16" s="77"/>
      <c r="U16" s="1893"/>
      <c r="V16" s="2079">
        <f t="shared" si="5"/>
        <v>0</v>
      </c>
      <c r="W16" s="78">
        <f t="shared" si="6"/>
        <v>0</v>
      </c>
      <c r="X16" s="1878" t="str">
        <f t="shared" si="7"/>
        <v xml:space="preserve">.-   -OT_    </v>
      </c>
      <c r="Z16" s="19" t="str">
        <f t="shared" si="8"/>
        <v/>
      </c>
    </row>
    <row r="17" spans="2:26" ht="15.2" customHeight="1">
      <c r="B17" s="37"/>
      <c r="E17" s="3089"/>
      <c r="F17" s="2297"/>
      <c r="G17" s="68"/>
      <c r="H17" s="69"/>
      <c r="I17" s="2014"/>
      <c r="J17" s="70"/>
      <c r="K17" s="2305"/>
      <c r="L17" s="72"/>
      <c r="M17" s="73"/>
      <c r="N17" s="74"/>
      <c r="O17" s="75">
        <f t="shared" si="4"/>
        <v>0</v>
      </c>
      <c r="P17" s="2765"/>
      <c r="Q17" s="2954"/>
      <c r="R17" s="76"/>
      <c r="S17" s="1945" t="s">
        <v>722</v>
      </c>
      <c r="T17" s="77"/>
      <c r="U17" s="1893"/>
      <c r="V17" s="2079">
        <f t="shared" si="5"/>
        <v>0</v>
      </c>
      <c r="W17" s="78">
        <f t="shared" si="6"/>
        <v>0</v>
      </c>
      <c r="X17" s="1878" t="str">
        <f t="shared" si="7"/>
        <v xml:space="preserve">.-   -OT_    </v>
      </c>
      <c r="Z17" s="19" t="str">
        <f t="shared" si="8"/>
        <v/>
      </c>
    </row>
    <row r="18" spans="2:26" ht="15.2" customHeight="1">
      <c r="B18" s="37"/>
      <c r="E18" s="3089"/>
      <c r="F18" s="2297"/>
      <c r="G18" s="68"/>
      <c r="H18" s="69"/>
      <c r="I18" s="2014"/>
      <c r="J18" s="70"/>
      <c r="K18" s="2305"/>
      <c r="L18" s="72"/>
      <c r="M18" s="73"/>
      <c r="N18" s="74"/>
      <c r="O18" s="75">
        <f t="shared" si="4"/>
        <v>0</v>
      </c>
      <c r="P18" s="2765"/>
      <c r="Q18" s="2954"/>
      <c r="R18" s="76"/>
      <c r="S18" s="1945" t="s">
        <v>722</v>
      </c>
      <c r="T18" s="77"/>
      <c r="U18" s="1893"/>
      <c r="V18" s="2079">
        <f t="shared" si="5"/>
        <v>0</v>
      </c>
      <c r="W18" s="78">
        <f t="shared" si="6"/>
        <v>0</v>
      </c>
      <c r="X18" s="1878" t="str">
        <f t="shared" si="7"/>
        <v xml:space="preserve">.-   -OT_    </v>
      </c>
      <c r="Z18" s="19" t="str">
        <f t="shared" si="8"/>
        <v/>
      </c>
    </row>
    <row r="19" spans="2:26" ht="15.2" customHeight="1">
      <c r="B19" s="37"/>
      <c r="E19" s="3089"/>
      <c r="F19" s="2297"/>
      <c r="G19" s="68"/>
      <c r="H19" s="69"/>
      <c r="I19" s="2014"/>
      <c r="J19" s="70"/>
      <c r="K19" s="2305"/>
      <c r="L19" s="72"/>
      <c r="M19" s="73"/>
      <c r="N19" s="74"/>
      <c r="O19" s="75">
        <f t="shared" si="4"/>
        <v>0</v>
      </c>
      <c r="P19" s="2765"/>
      <c r="Q19" s="2954"/>
      <c r="R19" s="76"/>
      <c r="S19" s="1945" t="s">
        <v>722</v>
      </c>
      <c r="T19" s="77"/>
      <c r="U19" s="1893"/>
      <c r="V19" s="2079">
        <f t="shared" si="5"/>
        <v>0</v>
      </c>
      <c r="W19" s="78">
        <f t="shared" si="6"/>
        <v>0</v>
      </c>
      <c r="X19" s="1878" t="str">
        <f t="shared" si="7"/>
        <v xml:space="preserve">.-   -OT_    </v>
      </c>
      <c r="Z19" s="19" t="str">
        <f t="shared" si="8"/>
        <v/>
      </c>
    </row>
    <row r="20" spans="2:26" ht="15.2" customHeight="1">
      <c r="B20" s="37"/>
      <c r="E20" s="3228"/>
      <c r="F20" s="2297"/>
      <c r="G20" s="68"/>
      <c r="H20" s="69"/>
      <c r="I20" s="2014"/>
      <c r="J20" s="70"/>
      <c r="K20" s="2305"/>
      <c r="L20" s="72"/>
      <c r="M20" s="73"/>
      <c r="N20" s="74"/>
      <c r="O20" s="75">
        <f t="shared" ref="O20:O87" si="9">+N20</f>
        <v>0</v>
      </c>
      <c r="P20" s="2765"/>
      <c r="Q20" s="2954"/>
      <c r="R20" s="76"/>
      <c r="S20" s="1945" t="s">
        <v>722</v>
      </c>
      <c r="T20" s="77"/>
      <c r="U20" s="1893"/>
      <c r="V20" s="2079">
        <f t="shared" ref="V20:V87" si="10">+Q20*(1.18)</f>
        <v>0</v>
      </c>
      <c r="W20" s="78">
        <f t="shared" ref="W20:W87" si="11">+R20*(1.18)</f>
        <v>0</v>
      </c>
      <c r="X20" s="1878" t="str">
        <f t="shared" ref="X20:X87" si="12">CONCATENATE(E20,".- ",F20," ",G20," ",H20,"-OT_",K20," "," ",I20," ",P20," ",T20)</f>
        <v xml:space="preserve">.-   -OT_    </v>
      </c>
      <c r="Z20" s="19" t="str">
        <f t="shared" ref="Z20:Z87" si="13">CONCATENATE(I20,J20)</f>
        <v/>
      </c>
    </row>
    <row r="21" spans="2:26" ht="15.2" customHeight="1">
      <c r="B21" s="37"/>
      <c r="E21" s="3235"/>
      <c r="F21" s="2297"/>
      <c r="G21" s="68"/>
      <c r="H21" s="69"/>
      <c r="I21" s="2014"/>
      <c r="J21" s="70"/>
      <c r="K21" s="2305"/>
      <c r="L21" s="72"/>
      <c r="M21" s="73"/>
      <c r="N21" s="74"/>
      <c r="O21" s="75">
        <f t="shared" ref="O21:O41" si="14">+N21</f>
        <v>0</v>
      </c>
      <c r="P21" s="2765"/>
      <c r="Q21" s="2954"/>
      <c r="R21" s="76"/>
      <c r="S21" s="1945" t="s">
        <v>722</v>
      </c>
      <c r="T21" s="77"/>
      <c r="U21" s="1893"/>
      <c r="V21" s="2079">
        <f t="shared" ref="V21:V51" si="15">+Q21*(1.18)</f>
        <v>0</v>
      </c>
      <c r="W21" s="78">
        <f t="shared" ref="W21:W51" si="16">+R21*(1.18)</f>
        <v>0</v>
      </c>
      <c r="X21" s="1878" t="str">
        <f t="shared" ref="X21:X51" si="17">CONCATENATE(E21,".- ",F21," ",G21," ",H21,"-OT_",K21," "," ",I21," ",P21," ",T21)</f>
        <v xml:space="preserve">.-   -OT_    </v>
      </c>
      <c r="Z21" s="19" t="str">
        <f t="shared" ref="Z21:Z51" si="18">CONCATENATE(I21,J21)</f>
        <v/>
      </c>
    </row>
    <row r="22" spans="2:26" ht="15.2" customHeight="1">
      <c r="B22" s="37"/>
      <c r="E22" s="3235"/>
      <c r="F22" s="2297"/>
      <c r="G22" s="68"/>
      <c r="H22" s="69"/>
      <c r="I22" s="2014"/>
      <c r="J22" s="70"/>
      <c r="K22" s="2305"/>
      <c r="L22" s="72"/>
      <c r="M22" s="73"/>
      <c r="N22" s="74"/>
      <c r="O22" s="75">
        <f t="shared" si="14"/>
        <v>0</v>
      </c>
      <c r="P22" s="2765"/>
      <c r="Q22" s="2954"/>
      <c r="R22" s="76"/>
      <c r="S22" s="1945" t="s">
        <v>722</v>
      </c>
      <c r="T22" s="77"/>
      <c r="U22" s="1893"/>
      <c r="V22" s="2079">
        <f t="shared" si="15"/>
        <v>0</v>
      </c>
      <c r="W22" s="78">
        <f t="shared" si="16"/>
        <v>0</v>
      </c>
      <c r="X22" s="1878" t="str">
        <f t="shared" si="17"/>
        <v xml:space="preserve">.-   -OT_    </v>
      </c>
      <c r="Z22" s="19" t="str">
        <f t="shared" si="18"/>
        <v/>
      </c>
    </row>
    <row r="23" spans="2:26" ht="15.2" customHeight="1">
      <c r="B23" s="37"/>
      <c r="E23" s="3235"/>
      <c r="F23" s="2297"/>
      <c r="G23" s="68"/>
      <c r="H23" s="69"/>
      <c r="I23" s="2014"/>
      <c r="J23" s="70"/>
      <c r="K23" s="2305"/>
      <c r="L23" s="72"/>
      <c r="M23" s="73"/>
      <c r="N23" s="74"/>
      <c r="O23" s="75">
        <f t="shared" si="14"/>
        <v>0</v>
      </c>
      <c r="P23" s="2765"/>
      <c r="Q23" s="2954"/>
      <c r="R23" s="76"/>
      <c r="S23" s="1945" t="s">
        <v>722</v>
      </c>
      <c r="T23" s="77"/>
      <c r="U23" s="1893"/>
      <c r="V23" s="2079">
        <f t="shared" si="15"/>
        <v>0</v>
      </c>
      <c r="W23" s="78">
        <f t="shared" si="16"/>
        <v>0</v>
      </c>
      <c r="X23" s="1878" t="str">
        <f t="shared" si="17"/>
        <v xml:space="preserve">.-   -OT_    </v>
      </c>
      <c r="Z23" s="19" t="str">
        <f t="shared" si="18"/>
        <v/>
      </c>
    </row>
    <row r="24" spans="2:26" ht="15.2" customHeight="1">
      <c r="B24" s="37"/>
      <c r="E24" s="3235"/>
      <c r="F24" s="2297"/>
      <c r="G24" s="68"/>
      <c r="H24" s="69"/>
      <c r="I24" s="2014"/>
      <c r="J24" s="70"/>
      <c r="K24" s="2305"/>
      <c r="L24" s="72"/>
      <c r="M24" s="73"/>
      <c r="N24" s="74"/>
      <c r="O24" s="75">
        <f t="shared" si="14"/>
        <v>0</v>
      </c>
      <c r="P24" s="2765"/>
      <c r="Q24" s="2954"/>
      <c r="R24" s="76"/>
      <c r="S24" s="1945" t="s">
        <v>722</v>
      </c>
      <c r="T24" s="77"/>
      <c r="U24" s="1893"/>
      <c r="V24" s="2079">
        <f t="shared" si="15"/>
        <v>0</v>
      </c>
      <c r="W24" s="78">
        <f t="shared" si="16"/>
        <v>0</v>
      </c>
      <c r="X24" s="1878" t="str">
        <f t="shared" si="17"/>
        <v xml:space="preserve">.-   -OT_    </v>
      </c>
      <c r="Z24" s="19" t="str">
        <f t="shared" si="18"/>
        <v/>
      </c>
    </row>
    <row r="25" spans="2:26" ht="15.2" customHeight="1">
      <c r="B25" s="37"/>
      <c r="E25" s="3235"/>
      <c r="F25" s="2297"/>
      <c r="G25" s="68"/>
      <c r="H25" s="69"/>
      <c r="I25" s="2014"/>
      <c r="J25" s="70"/>
      <c r="K25" s="2305"/>
      <c r="L25" s="72"/>
      <c r="M25" s="73"/>
      <c r="N25" s="74"/>
      <c r="O25" s="75">
        <f t="shared" si="14"/>
        <v>0</v>
      </c>
      <c r="P25" s="2765"/>
      <c r="Q25" s="2954"/>
      <c r="R25" s="76"/>
      <c r="S25" s="1945" t="s">
        <v>722</v>
      </c>
      <c r="T25" s="77"/>
      <c r="U25" s="1893"/>
      <c r="V25" s="2079">
        <f t="shared" si="15"/>
        <v>0</v>
      </c>
      <c r="W25" s="78">
        <f t="shared" si="16"/>
        <v>0</v>
      </c>
      <c r="X25" s="1878" t="str">
        <f t="shared" si="17"/>
        <v xml:space="preserve">.-   -OT_    </v>
      </c>
      <c r="Z25" s="19" t="str">
        <f t="shared" si="18"/>
        <v/>
      </c>
    </row>
    <row r="26" spans="2:26" ht="15.2" customHeight="1">
      <c r="B26" s="37"/>
      <c r="E26" s="3235"/>
      <c r="F26" s="2297"/>
      <c r="G26" s="68"/>
      <c r="H26" s="69"/>
      <c r="I26" s="2014"/>
      <c r="J26" s="70"/>
      <c r="K26" s="2305"/>
      <c r="L26" s="72"/>
      <c r="M26" s="73"/>
      <c r="N26" s="74"/>
      <c r="O26" s="75">
        <f t="shared" si="14"/>
        <v>0</v>
      </c>
      <c r="P26" s="2765"/>
      <c r="Q26" s="2954"/>
      <c r="R26" s="76"/>
      <c r="S26" s="1945" t="s">
        <v>722</v>
      </c>
      <c r="T26" s="77"/>
      <c r="U26" s="1893"/>
      <c r="V26" s="2079">
        <f t="shared" si="15"/>
        <v>0</v>
      </c>
      <c r="W26" s="78">
        <f t="shared" si="16"/>
        <v>0</v>
      </c>
      <c r="X26" s="1878" t="str">
        <f t="shared" si="17"/>
        <v xml:space="preserve">.-   -OT_    </v>
      </c>
      <c r="Z26" s="19" t="str">
        <f t="shared" si="18"/>
        <v/>
      </c>
    </row>
    <row r="27" spans="2:26" ht="15.2" customHeight="1">
      <c r="B27" s="37"/>
      <c r="E27" s="3235"/>
      <c r="F27" s="2297"/>
      <c r="G27" s="68"/>
      <c r="H27" s="69"/>
      <c r="I27" s="2014"/>
      <c r="J27" s="70"/>
      <c r="K27" s="2305"/>
      <c r="L27" s="72"/>
      <c r="M27" s="73"/>
      <c r="N27" s="74"/>
      <c r="O27" s="75">
        <f t="shared" si="14"/>
        <v>0</v>
      </c>
      <c r="P27" s="2765"/>
      <c r="Q27" s="2954"/>
      <c r="R27" s="76"/>
      <c r="S27" s="1945" t="s">
        <v>722</v>
      </c>
      <c r="T27" s="77"/>
      <c r="U27" s="1893"/>
      <c r="V27" s="2079">
        <f t="shared" si="15"/>
        <v>0</v>
      </c>
      <c r="W27" s="78">
        <f t="shared" si="16"/>
        <v>0</v>
      </c>
      <c r="X27" s="1878" t="str">
        <f t="shared" si="17"/>
        <v xml:space="preserve">.-   -OT_    </v>
      </c>
      <c r="Z27" s="19" t="str">
        <f t="shared" si="18"/>
        <v/>
      </c>
    </row>
    <row r="28" spans="2:26" ht="15.2" customHeight="1">
      <c r="B28" s="37"/>
      <c r="E28" s="3235"/>
      <c r="F28" s="2297"/>
      <c r="G28" s="68"/>
      <c r="H28" s="69"/>
      <c r="I28" s="2014"/>
      <c r="J28" s="70"/>
      <c r="K28" s="2305"/>
      <c r="L28" s="72"/>
      <c r="M28" s="73"/>
      <c r="N28" s="74"/>
      <c r="O28" s="75">
        <f t="shared" si="14"/>
        <v>0</v>
      </c>
      <c r="P28" s="2765"/>
      <c r="Q28" s="2954"/>
      <c r="R28" s="76"/>
      <c r="S28" s="1945" t="s">
        <v>722</v>
      </c>
      <c r="T28" s="77"/>
      <c r="U28" s="1893"/>
      <c r="V28" s="2079">
        <f t="shared" si="15"/>
        <v>0</v>
      </c>
      <c r="W28" s="78">
        <f t="shared" si="16"/>
        <v>0</v>
      </c>
      <c r="X28" s="1878" t="str">
        <f t="shared" si="17"/>
        <v xml:space="preserve">.-   -OT_    </v>
      </c>
      <c r="Z28" s="19" t="str">
        <f t="shared" si="18"/>
        <v/>
      </c>
    </row>
    <row r="29" spans="2:26" ht="15.2" customHeight="1">
      <c r="B29" s="37"/>
      <c r="E29" s="3235"/>
      <c r="F29" s="2297"/>
      <c r="G29" s="68"/>
      <c r="H29" s="69"/>
      <c r="I29" s="2014"/>
      <c r="J29" s="70"/>
      <c r="K29" s="2305"/>
      <c r="L29" s="72"/>
      <c r="M29" s="73"/>
      <c r="N29" s="74"/>
      <c r="O29" s="75">
        <f t="shared" si="14"/>
        <v>0</v>
      </c>
      <c r="P29" s="2765"/>
      <c r="Q29" s="2954"/>
      <c r="R29" s="76"/>
      <c r="S29" s="1945" t="s">
        <v>722</v>
      </c>
      <c r="T29" s="77"/>
      <c r="U29" s="1893"/>
      <c r="V29" s="2079">
        <f t="shared" si="15"/>
        <v>0</v>
      </c>
      <c r="W29" s="78">
        <f t="shared" si="16"/>
        <v>0</v>
      </c>
      <c r="X29" s="1878" t="str">
        <f t="shared" si="17"/>
        <v xml:space="preserve">.-   -OT_    </v>
      </c>
      <c r="Z29" s="19" t="str">
        <f t="shared" si="18"/>
        <v/>
      </c>
    </row>
    <row r="30" spans="2:26" ht="15.2" customHeight="1">
      <c r="B30" s="37"/>
      <c r="E30" s="3235"/>
      <c r="F30" s="2297"/>
      <c r="G30" s="68"/>
      <c r="H30" s="69"/>
      <c r="I30" s="2014"/>
      <c r="J30" s="70"/>
      <c r="K30" s="2305"/>
      <c r="L30" s="72"/>
      <c r="M30" s="73"/>
      <c r="N30" s="74"/>
      <c r="O30" s="75">
        <f t="shared" si="14"/>
        <v>0</v>
      </c>
      <c r="P30" s="2765"/>
      <c r="Q30" s="2954"/>
      <c r="R30" s="76"/>
      <c r="S30" s="1945" t="s">
        <v>722</v>
      </c>
      <c r="T30" s="77"/>
      <c r="U30" s="1893"/>
      <c r="V30" s="2079">
        <f t="shared" si="15"/>
        <v>0</v>
      </c>
      <c r="W30" s="78">
        <f t="shared" si="16"/>
        <v>0</v>
      </c>
      <c r="X30" s="1878" t="str">
        <f t="shared" si="17"/>
        <v xml:space="preserve">.-   -OT_    </v>
      </c>
      <c r="Z30" s="19" t="str">
        <f t="shared" si="18"/>
        <v/>
      </c>
    </row>
    <row r="31" spans="2:26" ht="15.2" customHeight="1">
      <c r="B31" s="37"/>
      <c r="E31" s="3235"/>
      <c r="F31" s="2297"/>
      <c r="G31" s="68"/>
      <c r="H31" s="69"/>
      <c r="I31" s="2014"/>
      <c r="J31" s="70"/>
      <c r="K31" s="2305"/>
      <c r="L31" s="72"/>
      <c r="M31" s="73"/>
      <c r="N31" s="74"/>
      <c r="O31" s="75">
        <f t="shared" si="14"/>
        <v>0</v>
      </c>
      <c r="P31" s="2765"/>
      <c r="Q31" s="2954"/>
      <c r="R31" s="76"/>
      <c r="S31" s="1945" t="s">
        <v>722</v>
      </c>
      <c r="T31" s="77"/>
      <c r="U31" s="1893"/>
      <c r="V31" s="2079">
        <f t="shared" si="15"/>
        <v>0</v>
      </c>
      <c r="W31" s="78">
        <f t="shared" si="16"/>
        <v>0</v>
      </c>
      <c r="X31" s="1878" t="str">
        <f t="shared" si="17"/>
        <v xml:space="preserve">.-   -OT_    </v>
      </c>
      <c r="Z31" s="19" t="str">
        <f t="shared" si="18"/>
        <v/>
      </c>
    </row>
    <row r="32" spans="2:26" ht="15.2" customHeight="1">
      <c r="B32" s="37"/>
      <c r="E32" s="3235"/>
      <c r="F32" s="2297"/>
      <c r="G32" s="68"/>
      <c r="H32" s="69"/>
      <c r="I32" s="2014"/>
      <c r="J32" s="70"/>
      <c r="K32" s="2305"/>
      <c r="L32" s="72"/>
      <c r="M32" s="73"/>
      <c r="N32" s="74"/>
      <c r="O32" s="75">
        <f t="shared" si="14"/>
        <v>0</v>
      </c>
      <c r="P32" s="2765"/>
      <c r="Q32" s="2954"/>
      <c r="R32" s="76"/>
      <c r="S32" s="1945" t="s">
        <v>722</v>
      </c>
      <c r="T32" s="77"/>
      <c r="U32" s="1893"/>
      <c r="V32" s="2079">
        <f t="shared" si="15"/>
        <v>0</v>
      </c>
      <c r="W32" s="78">
        <f t="shared" si="16"/>
        <v>0</v>
      </c>
      <c r="X32" s="1878" t="str">
        <f t="shared" si="17"/>
        <v xml:space="preserve">.-   -OT_    </v>
      </c>
      <c r="Z32" s="19" t="str">
        <f t="shared" si="18"/>
        <v/>
      </c>
    </row>
    <row r="33" spans="2:26" ht="15.2" customHeight="1">
      <c r="B33" s="37"/>
      <c r="E33" s="3235"/>
      <c r="F33" s="2297"/>
      <c r="G33" s="68"/>
      <c r="H33" s="69"/>
      <c r="I33" s="2014"/>
      <c r="J33" s="70"/>
      <c r="K33" s="2305"/>
      <c r="L33" s="72"/>
      <c r="M33" s="73"/>
      <c r="N33" s="74"/>
      <c r="O33" s="75">
        <f t="shared" si="14"/>
        <v>0</v>
      </c>
      <c r="P33" s="2765"/>
      <c r="Q33" s="2954"/>
      <c r="R33" s="76"/>
      <c r="S33" s="1945" t="s">
        <v>722</v>
      </c>
      <c r="T33" s="77"/>
      <c r="U33" s="1893"/>
      <c r="V33" s="2079">
        <f t="shared" si="15"/>
        <v>0</v>
      </c>
      <c r="W33" s="78">
        <f t="shared" si="16"/>
        <v>0</v>
      </c>
      <c r="X33" s="1878" t="str">
        <f t="shared" si="17"/>
        <v xml:space="preserve">.-   -OT_    </v>
      </c>
      <c r="Z33" s="19" t="str">
        <f t="shared" si="18"/>
        <v/>
      </c>
    </row>
    <row r="34" spans="2:26" ht="15.2" customHeight="1">
      <c r="B34" s="37"/>
      <c r="E34" s="3235"/>
      <c r="F34" s="2297"/>
      <c r="G34" s="68"/>
      <c r="H34" s="69"/>
      <c r="I34" s="2014"/>
      <c r="J34" s="70"/>
      <c r="K34" s="2305"/>
      <c r="L34" s="72"/>
      <c r="M34" s="73"/>
      <c r="N34" s="74"/>
      <c r="O34" s="75">
        <f t="shared" si="14"/>
        <v>0</v>
      </c>
      <c r="P34" s="2765"/>
      <c r="Q34" s="2954"/>
      <c r="R34" s="76"/>
      <c r="S34" s="1945" t="s">
        <v>722</v>
      </c>
      <c r="T34" s="77"/>
      <c r="U34" s="1893"/>
      <c r="V34" s="2079">
        <f t="shared" si="15"/>
        <v>0</v>
      </c>
      <c r="W34" s="78">
        <f t="shared" si="16"/>
        <v>0</v>
      </c>
      <c r="X34" s="1878" t="str">
        <f t="shared" si="17"/>
        <v xml:space="preserve">.-   -OT_    </v>
      </c>
      <c r="Z34" s="19" t="str">
        <f t="shared" si="18"/>
        <v/>
      </c>
    </row>
    <row r="35" spans="2:26" ht="15.2" customHeight="1">
      <c r="B35" s="37"/>
      <c r="E35" s="3235"/>
      <c r="F35" s="2297"/>
      <c r="G35" s="68"/>
      <c r="H35" s="69"/>
      <c r="I35" s="2014"/>
      <c r="J35" s="70"/>
      <c r="K35" s="2305"/>
      <c r="L35" s="72"/>
      <c r="M35" s="73"/>
      <c r="N35" s="74"/>
      <c r="O35" s="75">
        <f t="shared" si="14"/>
        <v>0</v>
      </c>
      <c r="P35" s="2765"/>
      <c r="Q35" s="2954"/>
      <c r="R35" s="76"/>
      <c r="S35" s="1945" t="s">
        <v>722</v>
      </c>
      <c r="T35" s="77"/>
      <c r="U35" s="1893"/>
      <c r="V35" s="2079">
        <f t="shared" si="15"/>
        <v>0</v>
      </c>
      <c r="W35" s="78">
        <f t="shared" si="16"/>
        <v>0</v>
      </c>
      <c r="X35" s="1878" t="str">
        <f t="shared" si="17"/>
        <v xml:space="preserve">.-   -OT_    </v>
      </c>
      <c r="Z35" s="19" t="str">
        <f t="shared" si="18"/>
        <v/>
      </c>
    </row>
    <row r="36" spans="2:26" ht="15.2" customHeight="1">
      <c r="B36" s="37"/>
      <c r="E36" s="3235"/>
      <c r="F36" s="2297"/>
      <c r="G36" s="68"/>
      <c r="H36" s="69"/>
      <c r="I36" s="2014"/>
      <c r="J36" s="70"/>
      <c r="K36" s="2305"/>
      <c r="L36" s="72"/>
      <c r="M36" s="73"/>
      <c r="N36" s="74"/>
      <c r="O36" s="75">
        <f t="shared" si="14"/>
        <v>0</v>
      </c>
      <c r="P36" s="2765"/>
      <c r="Q36" s="2954"/>
      <c r="R36" s="76"/>
      <c r="S36" s="1945" t="s">
        <v>722</v>
      </c>
      <c r="T36" s="77"/>
      <c r="U36" s="1893"/>
      <c r="V36" s="2079">
        <f t="shared" si="15"/>
        <v>0</v>
      </c>
      <c r="W36" s="78">
        <f t="shared" si="16"/>
        <v>0</v>
      </c>
      <c r="X36" s="1878" t="str">
        <f t="shared" si="17"/>
        <v xml:space="preserve">.-   -OT_    </v>
      </c>
      <c r="Z36" s="19" t="str">
        <f t="shared" si="18"/>
        <v/>
      </c>
    </row>
    <row r="37" spans="2:26" ht="15.2" customHeight="1">
      <c r="B37" s="37"/>
      <c r="E37" s="3235"/>
      <c r="F37" s="2297"/>
      <c r="G37" s="68"/>
      <c r="H37" s="69"/>
      <c r="I37" s="2014"/>
      <c r="J37" s="70"/>
      <c r="K37" s="2305"/>
      <c r="L37" s="72"/>
      <c r="M37" s="73"/>
      <c r="N37" s="74"/>
      <c r="O37" s="75">
        <f t="shared" si="14"/>
        <v>0</v>
      </c>
      <c r="P37" s="2765"/>
      <c r="Q37" s="2954"/>
      <c r="R37" s="76"/>
      <c r="S37" s="1945" t="s">
        <v>722</v>
      </c>
      <c r="T37" s="77"/>
      <c r="U37" s="1893"/>
      <c r="V37" s="2079">
        <f t="shared" si="15"/>
        <v>0</v>
      </c>
      <c r="W37" s="78">
        <f t="shared" si="16"/>
        <v>0</v>
      </c>
      <c r="X37" s="1878" t="str">
        <f t="shared" si="17"/>
        <v xml:space="preserve">.-   -OT_    </v>
      </c>
      <c r="Z37" s="19" t="str">
        <f t="shared" si="18"/>
        <v/>
      </c>
    </row>
    <row r="38" spans="2:26" ht="15.2" customHeight="1">
      <c r="B38" s="37"/>
      <c r="E38" s="79"/>
      <c r="F38" s="2294"/>
      <c r="G38" s="81"/>
      <c r="H38" s="82"/>
      <c r="I38" s="2015"/>
      <c r="J38" s="83"/>
      <c r="K38" s="2295"/>
      <c r="L38" s="85"/>
      <c r="M38" s="86"/>
      <c r="N38" s="87"/>
      <c r="O38" s="88">
        <f t="shared" si="14"/>
        <v>0</v>
      </c>
      <c r="P38" s="2766"/>
      <c r="Q38" s="2955"/>
      <c r="R38" s="89"/>
      <c r="S38" s="1946" t="s">
        <v>722</v>
      </c>
      <c r="T38" s="77"/>
      <c r="U38" s="1893"/>
      <c r="V38" s="2079">
        <f t="shared" si="15"/>
        <v>0</v>
      </c>
      <c r="W38" s="78">
        <f t="shared" si="16"/>
        <v>0</v>
      </c>
      <c r="X38" s="1878" t="str">
        <f t="shared" si="17"/>
        <v xml:space="preserve">.-   -OT_    </v>
      </c>
      <c r="Z38" s="19" t="str">
        <f t="shared" si="18"/>
        <v/>
      </c>
    </row>
    <row r="39" spans="2:26" ht="15.2" customHeight="1">
      <c r="B39" s="37"/>
      <c r="E39" s="3235">
        <v>1</v>
      </c>
      <c r="F39" s="2297" t="s">
        <v>723</v>
      </c>
      <c r="G39" s="68" t="s">
        <v>724</v>
      </c>
      <c r="H39" s="69" t="s">
        <v>3992</v>
      </c>
      <c r="I39" s="3067" t="s">
        <v>811</v>
      </c>
      <c r="J39" s="70" t="s">
        <v>727</v>
      </c>
      <c r="K39" s="2305" t="s">
        <v>4102</v>
      </c>
      <c r="L39" s="72">
        <v>43893</v>
      </c>
      <c r="M39" s="73"/>
      <c r="N39" s="74"/>
      <c r="O39" s="75">
        <f t="shared" si="14"/>
        <v>0</v>
      </c>
      <c r="P39" s="2765"/>
      <c r="Q39" s="2954"/>
      <c r="R39" s="76"/>
      <c r="S39" s="1945" t="s">
        <v>722</v>
      </c>
      <c r="T39" s="77"/>
      <c r="U39" s="1893"/>
      <c r="V39" s="2079">
        <f t="shared" si="15"/>
        <v>0</v>
      </c>
      <c r="W39" s="78">
        <f t="shared" si="16"/>
        <v>0</v>
      </c>
      <c r="X39" s="1878" t="str">
        <f t="shared" si="17"/>
        <v xml:space="preserve">1.- R Aeolus 0530616-OT_014525  Vulcanizado (curación)  </v>
      </c>
      <c r="Z39" s="19" t="str">
        <f t="shared" si="18"/>
        <v>Vulcanizado (curación)Reenc. MASTERCAUCHO</v>
      </c>
    </row>
    <row r="40" spans="2:26" ht="15.2" customHeight="1">
      <c r="B40" s="37"/>
      <c r="E40" s="3235">
        <v>2</v>
      </c>
      <c r="F40" s="2297" t="s">
        <v>723</v>
      </c>
      <c r="G40" s="68" t="s">
        <v>737</v>
      </c>
      <c r="H40" s="69" t="s">
        <v>3526</v>
      </c>
      <c r="I40" s="3067" t="s">
        <v>811</v>
      </c>
      <c r="J40" s="70" t="s">
        <v>727</v>
      </c>
      <c r="K40" s="2305" t="s">
        <v>4102</v>
      </c>
      <c r="L40" s="72">
        <v>43893</v>
      </c>
      <c r="M40" s="73"/>
      <c r="N40" s="74"/>
      <c r="O40" s="75">
        <f t="shared" si="14"/>
        <v>0</v>
      </c>
      <c r="P40" s="2765"/>
      <c r="Q40" s="2954"/>
      <c r="R40" s="76"/>
      <c r="S40" s="1945" t="s">
        <v>722</v>
      </c>
      <c r="T40" s="77"/>
      <c r="U40" s="1893"/>
      <c r="V40" s="2079">
        <f t="shared" si="15"/>
        <v>0</v>
      </c>
      <c r="W40" s="78">
        <f t="shared" si="16"/>
        <v>0</v>
      </c>
      <c r="X40" s="1878" t="str">
        <f t="shared" si="17"/>
        <v xml:space="preserve">2.- R Vikrant 1131217-OT_014525  Vulcanizado (curación)  </v>
      </c>
      <c r="Z40" s="19" t="str">
        <f t="shared" si="18"/>
        <v>Vulcanizado (curación)Reenc. MASTERCAUCHO</v>
      </c>
    </row>
    <row r="41" spans="2:26" ht="15.2" customHeight="1">
      <c r="B41" s="37"/>
      <c r="E41" s="79">
        <v>3</v>
      </c>
      <c r="F41" s="2294" t="s">
        <v>723</v>
      </c>
      <c r="G41" s="81" t="s">
        <v>737</v>
      </c>
      <c r="H41" s="82" t="s">
        <v>3645</v>
      </c>
      <c r="I41" s="3215" t="s">
        <v>811</v>
      </c>
      <c r="J41" s="83" t="s">
        <v>727</v>
      </c>
      <c r="K41" s="2295" t="s">
        <v>4102</v>
      </c>
      <c r="L41" s="85">
        <v>43893</v>
      </c>
      <c r="M41" s="86"/>
      <c r="N41" s="87"/>
      <c r="O41" s="88">
        <f t="shared" si="14"/>
        <v>0</v>
      </c>
      <c r="P41" s="2766"/>
      <c r="Q41" s="2955"/>
      <c r="R41" s="89"/>
      <c r="S41" s="1946" t="s">
        <v>722</v>
      </c>
      <c r="T41" s="77"/>
      <c r="U41" s="1893"/>
      <c r="V41" s="2079">
        <f t="shared" si="15"/>
        <v>0</v>
      </c>
      <c r="W41" s="78">
        <f t="shared" si="16"/>
        <v>0</v>
      </c>
      <c r="X41" s="1878" t="str">
        <f t="shared" si="17"/>
        <v xml:space="preserve">3.- R Vikrant 0420518-OT_014525  Vulcanizado (curación)  </v>
      </c>
      <c r="Z41" s="19" t="str">
        <f t="shared" si="18"/>
        <v>Vulcanizado (curación)Reenc. MASTERCAUCHO</v>
      </c>
    </row>
    <row r="42" spans="2:26" ht="15.2" customHeight="1">
      <c r="B42" s="37"/>
      <c r="E42" s="3236">
        <v>1</v>
      </c>
      <c r="F42" s="2297" t="s">
        <v>723</v>
      </c>
      <c r="G42" s="68" t="s">
        <v>737</v>
      </c>
      <c r="H42" s="69" t="s">
        <v>2890</v>
      </c>
      <c r="I42" s="3067" t="s">
        <v>811</v>
      </c>
      <c r="J42" s="70" t="s">
        <v>727</v>
      </c>
      <c r="K42" s="2305" t="s">
        <v>4111</v>
      </c>
      <c r="L42" s="72">
        <v>43883</v>
      </c>
      <c r="M42" s="2306" t="s">
        <v>19</v>
      </c>
      <c r="N42" s="74">
        <v>43893</v>
      </c>
      <c r="O42" s="75">
        <f t="shared" ref="O42:O49" si="19">+N42</f>
        <v>43893</v>
      </c>
      <c r="P42" s="2765" t="s">
        <v>4112</v>
      </c>
      <c r="Q42" s="2954"/>
      <c r="R42" s="76">
        <v>84.745000000000005</v>
      </c>
      <c r="S42" s="1945" t="s">
        <v>731</v>
      </c>
      <c r="T42" s="77" t="s">
        <v>3829</v>
      </c>
      <c r="U42" s="1893"/>
      <c r="V42" s="2079">
        <f t="shared" ref="V42:V49" si="20">+Q42*(1.18)</f>
        <v>0</v>
      </c>
      <c r="W42" s="78">
        <f t="shared" ref="W42:W49" si="21">+R42*(1.18)</f>
        <v>99.999099999999999</v>
      </c>
      <c r="X42" s="1878" t="str">
        <f t="shared" ref="X42:X49" si="22">CONCATENATE(E42,".- ",F42," ",G42," ",H42,"-OT_",K42," "," ",I42," ",P42," ",T42)</f>
        <v>1.- R Vikrant 0070117-OT_014507  Vulcanizado (curación) F001-00004642 REPARACION EN FLANCO</v>
      </c>
      <c r="Z42" s="19" t="str">
        <f t="shared" ref="Z42:Z49" si="23">CONCATENATE(I42,J42)</f>
        <v>Vulcanizado (curación)Reenc. MASTERCAUCHO</v>
      </c>
    </row>
    <row r="43" spans="2:26" ht="15.2" customHeight="1">
      <c r="B43" s="37"/>
      <c r="E43" s="3236">
        <v>2</v>
      </c>
      <c r="F43" s="2297" t="s">
        <v>732</v>
      </c>
      <c r="G43" s="68" t="s">
        <v>737</v>
      </c>
      <c r="H43" s="69" t="s">
        <v>1120</v>
      </c>
      <c r="I43" s="3067" t="s">
        <v>811</v>
      </c>
      <c r="J43" s="70" t="s">
        <v>727</v>
      </c>
      <c r="K43" s="2305" t="s">
        <v>4111</v>
      </c>
      <c r="L43" s="72">
        <v>43883</v>
      </c>
      <c r="M43" s="2306" t="s">
        <v>19</v>
      </c>
      <c r="N43" s="74">
        <v>43893</v>
      </c>
      <c r="O43" s="75">
        <f t="shared" si="19"/>
        <v>43893</v>
      </c>
      <c r="P43" s="2765" t="s">
        <v>4112</v>
      </c>
      <c r="Q43" s="2954"/>
      <c r="R43" s="76">
        <v>84.745000000000005</v>
      </c>
      <c r="S43" s="1945" t="s">
        <v>731</v>
      </c>
      <c r="T43" s="77" t="s">
        <v>3829</v>
      </c>
      <c r="U43" s="1893"/>
      <c r="V43" s="2079">
        <f t="shared" si="20"/>
        <v>0</v>
      </c>
      <c r="W43" s="78">
        <f t="shared" si="21"/>
        <v>99.999099999999999</v>
      </c>
      <c r="X43" s="1878" t="str">
        <f t="shared" si="22"/>
        <v>2.- C Vikrant 05022010-OT_014507  Vulcanizado (curación) F001-00004642 REPARACION EN FLANCO</v>
      </c>
      <c r="Z43" s="19" t="str">
        <f t="shared" si="23"/>
        <v>Vulcanizado (curación)Reenc. MASTERCAUCHO</v>
      </c>
    </row>
    <row r="44" spans="2:26" ht="15.2" customHeight="1">
      <c r="B44" s="37"/>
      <c r="E44" s="3236">
        <v>3</v>
      </c>
      <c r="F44" s="3131" t="s">
        <v>723</v>
      </c>
      <c r="G44" s="2263" t="s">
        <v>4105</v>
      </c>
      <c r="H44" s="2265" t="s">
        <v>4108</v>
      </c>
      <c r="I44" s="3178" t="s">
        <v>3224</v>
      </c>
      <c r="J44" s="2266" t="s">
        <v>727</v>
      </c>
      <c r="K44" s="3133" t="s">
        <v>857</v>
      </c>
      <c r="L44" s="2268"/>
      <c r="M44" s="3122" t="s">
        <v>19</v>
      </c>
      <c r="N44" s="2270">
        <v>43893</v>
      </c>
      <c r="O44" s="75">
        <f t="shared" si="19"/>
        <v>43893</v>
      </c>
      <c r="P44" s="3243" t="s">
        <v>4112</v>
      </c>
      <c r="Q44" s="2956"/>
      <c r="R44" s="2272">
        <v>211.864</v>
      </c>
      <c r="S44" s="2273" t="s">
        <v>731</v>
      </c>
      <c r="T44" s="77" t="s">
        <v>4113</v>
      </c>
      <c r="U44" s="1893"/>
      <c r="V44" s="2079">
        <f t="shared" si="20"/>
        <v>0</v>
      </c>
      <c r="W44" s="78">
        <f t="shared" si="21"/>
        <v>249.99951999999999</v>
      </c>
      <c r="X44" s="1878" t="str">
        <f t="shared" si="22"/>
        <v>3.- R GrandStone 8050320-OT_S/D  Casc 2a trnspl F001-00004642  GrandStone GT168 1219 China</v>
      </c>
      <c r="Z44" s="19" t="str">
        <f t="shared" si="23"/>
        <v>Casc 2a trnsplReenc. MASTERCAUCHO</v>
      </c>
    </row>
    <row r="45" spans="2:26" ht="15.2" customHeight="1">
      <c r="B45" s="37"/>
      <c r="E45" s="3236">
        <v>4</v>
      </c>
      <c r="F45" s="3131" t="s">
        <v>723</v>
      </c>
      <c r="G45" s="2263" t="s">
        <v>4105</v>
      </c>
      <c r="H45" s="2265" t="s">
        <v>4109</v>
      </c>
      <c r="I45" s="3178" t="s">
        <v>3224</v>
      </c>
      <c r="J45" s="2266" t="s">
        <v>727</v>
      </c>
      <c r="K45" s="3133" t="s">
        <v>857</v>
      </c>
      <c r="L45" s="2268"/>
      <c r="M45" s="3122" t="s">
        <v>19</v>
      </c>
      <c r="N45" s="2270">
        <v>43893</v>
      </c>
      <c r="O45" s="75">
        <f t="shared" si="19"/>
        <v>43893</v>
      </c>
      <c r="P45" s="3243" t="s">
        <v>4112</v>
      </c>
      <c r="Q45" s="2956"/>
      <c r="R45" s="2272">
        <v>211.864</v>
      </c>
      <c r="S45" s="2273" t="s">
        <v>731</v>
      </c>
      <c r="T45" s="77" t="s">
        <v>4113</v>
      </c>
      <c r="U45" s="1893"/>
      <c r="V45" s="2079">
        <f t="shared" si="20"/>
        <v>0</v>
      </c>
      <c r="W45" s="78">
        <f t="shared" si="21"/>
        <v>249.99951999999999</v>
      </c>
      <c r="X45" s="1878" t="str">
        <f t="shared" si="22"/>
        <v>4.- R GrandStone 8060320-OT_S/D  Casc 2a trnspl F001-00004642  GrandStone GT168 1219 China</v>
      </c>
      <c r="Z45" s="19" t="str">
        <f t="shared" si="23"/>
        <v>Casc 2a trnsplReenc. MASTERCAUCHO</v>
      </c>
    </row>
    <row r="46" spans="2:26" ht="15.2" customHeight="1">
      <c r="B46" s="37"/>
      <c r="E46" s="3236">
        <v>5</v>
      </c>
      <c r="F46" s="3131" t="s">
        <v>723</v>
      </c>
      <c r="G46" s="2263" t="s">
        <v>247</v>
      </c>
      <c r="H46" s="2265" t="s">
        <v>4110</v>
      </c>
      <c r="I46" s="3178" t="s">
        <v>3224</v>
      </c>
      <c r="J46" s="2266" t="s">
        <v>727</v>
      </c>
      <c r="K46" s="3133" t="s">
        <v>857</v>
      </c>
      <c r="L46" s="2268"/>
      <c r="M46" s="3122" t="s">
        <v>19</v>
      </c>
      <c r="N46" s="2270">
        <v>43893</v>
      </c>
      <c r="O46" s="75">
        <f t="shared" si="19"/>
        <v>43893</v>
      </c>
      <c r="P46" s="3243" t="s">
        <v>4112</v>
      </c>
      <c r="Q46" s="2956"/>
      <c r="R46" s="2272">
        <v>211.864</v>
      </c>
      <c r="S46" s="2273" t="s">
        <v>731</v>
      </c>
      <c r="T46" s="77" t="s">
        <v>4114</v>
      </c>
      <c r="U46" s="1893"/>
      <c r="V46" s="2079">
        <f t="shared" si="20"/>
        <v>0</v>
      </c>
      <c r="W46" s="78">
        <f t="shared" si="21"/>
        <v>249.99951999999999</v>
      </c>
      <c r="X46" s="1878" t="str">
        <f t="shared" si="22"/>
        <v>5.- R Double Happines 8070320-OT_S/D  Casc 2a trnspl F001-00004642  Double Happines DR908 1018 China</v>
      </c>
      <c r="Z46" s="19" t="str">
        <f t="shared" si="23"/>
        <v>Casc 2a trnsplReenc. MASTERCAUCHO</v>
      </c>
    </row>
    <row r="47" spans="2:26" ht="15.2" customHeight="1">
      <c r="B47" s="37"/>
      <c r="E47" s="3236">
        <v>6</v>
      </c>
      <c r="F47" s="2297" t="s">
        <v>723</v>
      </c>
      <c r="G47" s="68" t="s">
        <v>3066</v>
      </c>
      <c r="H47" s="69" t="s">
        <v>3081</v>
      </c>
      <c r="I47" s="3067" t="s">
        <v>744</v>
      </c>
      <c r="J47" s="70" t="s">
        <v>727</v>
      </c>
      <c r="K47" s="2305" t="s">
        <v>4111</v>
      </c>
      <c r="L47" s="72">
        <v>43883</v>
      </c>
      <c r="M47" s="2306" t="s">
        <v>19</v>
      </c>
      <c r="N47" s="74">
        <v>43893</v>
      </c>
      <c r="O47" s="75">
        <f t="shared" si="19"/>
        <v>43893</v>
      </c>
      <c r="P47" s="2765"/>
      <c r="Q47" s="2954"/>
      <c r="R47" s="76">
        <v>0</v>
      </c>
      <c r="S47" s="1945" t="s">
        <v>731</v>
      </c>
      <c r="T47" s="77" t="s">
        <v>2753</v>
      </c>
      <c r="U47" s="1893"/>
      <c r="V47" s="2079">
        <f t="shared" si="20"/>
        <v>0</v>
      </c>
      <c r="W47" s="78">
        <f t="shared" si="21"/>
        <v>0</v>
      </c>
      <c r="X47" s="1878" t="str">
        <f t="shared" si="22"/>
        <v>6.- R Roadwing 8200418-OT_014507  Sacar_Banda  Casco pelado</v>
      </c>
      <c r="Z47" s="19" t="str">
        <f t="shared" si="23"/>
        <v>Sacar_BandaReenc. MASTERCAUCHO</v>
      </c>
    </row>
    <row r="48" spans="2:26" ht="15.2" customHeight="1">
      <c r="B48" s="37"/>
      <c r="E48" s="3236">
        <v>7</v>
      </c>
      <c r="F48" s="2297" t="s">
        <v>723</v>
      </c>
      <c r="G48" s="68" t="s">
        <v>724</v>
      </c>
      <c r="H48" s="69" t="s">
        <v>2399</v>
      </c>
      <c r="I48" s="3067" t="s">
        <v>744</v>
      </c>
      <c r="J48" s="70" t="s">
        <v>727</v>
      </c>
      <c r="K48" s="2305" t="s">
        <v>4111</v>
      </c>
      <c r="L48" s="72">
        <v>43883</v>
      </c>
      <c r="M48" s="2306" t="s">
        <v>19</v>
      </c>
      <c r="N48" s="74">
        <v>43893</v>
      </c>
      <c r="O48" s="75">
        <f t="shared" si="19"/>
        <v>43893</v>
      </c>
      <c r="P48" s="2765"/>
      <c r="Q48" s="2954"/>
      <c r="R48" s="76">
        <v>0</v>
      </c>
      <c r="S48" s="1945" t="s">
        <v>731</v>
      </c>
      <c r="T48" s="77" t="s">
        <v>2753</v>
      </c>
      <c r="U48" s="1893"/>
      <c r="V48" s="2079">
        <f t="shared" si="20"/>
        <v>0</v>
      </c>
      <c r="W48" s="78">
        <f t="shared" si="21"/>
        <v>0</v>
      </c>
      <c r="X48" s="1878" t="str">
        <f t="shared" si="22"/>
        <v>7.- R Aeolus 0050114-OT_014507  Sacar_Banda  Casco pelado</v>
      </c>
      <c r="Z48" s="19" t="str">
        <f t="shared" si="23"/>
        <v>Sacar_BandaReenc. MASTERCAUCHO</v>
      </c>
    </row>
    <row r="49" spans="2:26" ht="15.2" customHeight="1">
      <c r="B49" s="37"/>
      <c r="E49" s="79">
        <v>8</v>
      </c>
      <c r="F49" s="2294" t="s">
        <v>723</v>
      </c>
      <c r="G49" s="81" t="s">
        <v>737</v>
      </c>
      <c r="H49" s="82" t="s">
        <v>3585</v>
      </c>
      <c r="I49" s="3215" t="s">
        <v>744</v>
      </c>
      <c r="J49" s="83" t="s">
        <v>727</v>
      </c>
      <c r="K49" s="2295" t="s">
        <v>4111</v>
      </c>
      <c r="L49" s="85">
        <v>43883</v>
      </c>
      <c r="M49" s="2296" t="s">
        <v>19</v>
      </c>
      <c r="N49" s="87">
        <v>43893</v>
      </c>
      <c r="O49" s="88">
        <f t="shared" si="19"/>
        <v>43893</v>
      </c>
      <c r="P49" s="2766"/>
      <c r="Q49" s="2955"/>
      <c r="R49" s="89">
        <v>0</v>
      </c>
      <c r="S49" s="1946" t="s">
        <v>731</v>
      </c>
      <c r="T49" s="77" t="s">
        <v>2753</v>
      </c>
      <c r="U49" s="1893"/>
      <c r="V49" s="2079">
        <f t="shared" si="20"/>
        <v>0</v>
      </c>
      <c r="W49" s="78">
        <f t="shared" si="21"/>
        <v>0</v>
      </c>
      <c r="X49" s="1878" t="str">
        <f t="shared" si="22"/>
        <v>8.- R Vikrant 0220318-OT_014507  Sacar_Banda  Casco pelado</v>
      </c>
      <c r="Z49" s="19" t="str">
        <f t="shared" si="23"/>
        <v>Sacar_BandaReenc. MASTERCAUCHO</v>
      </c>
    </row>
    <row r="50" spans="2:26" ht="15.2" customHeight="1">
      <c r="B50" s="37"/>
      <c r="E50" s="3235">
        <v>1</v>
      </c>
      <c r="F50" s="2297" t="s">
        <v>723</v>
      </c>
      <c r="G50" s="68" t="s">
        <v>151</v>
      </c>
      <c r="H50" s="69" t="s">
        <v>3047</v>
      </c>
      <c r="I50" s="2014" t="s">
        <v>726</v>
      </c>
      <c r="J50" s="70" t="s">
        <v>727</v>
      </c>
      <c r="K50" s="2305" t="s">
        <v>4091</v>
      </c>
      <c r="L50" s="72">
        <v>43873</v>
      </c>
      <c r="M50" s="73" t="s">
        <v>19</v>
      </c>
      <c r="N50" s="74">
        <v>43882</v>
      </c>
      <c r="O50" s="75">
        <v>43819</v>
      </c>
      <c r="P50" s="2765" t="s">
        <v>4099</v>
      </c>
      <c r="Q50" s="2954"/>
      <c r="R50" s="76">
        <v>279.661</v>
      </c>
      <c r="S50" s="1945" t="s">
        <v>731</v>
      </c>
      <c r="T50" s="77" t="s">
        <v>2712</v>
      </c>
      <c r="U50" s="1893"/>
      <c r="V50" s="2079">
        <f t="shared" si="15"/>
        <v>0</v>
      </c>
      <c r="W50" s="78">
        <f t="shared" si="16"/>
        <v>329.99997999999999</v>
      </c>
      <c r="X50" s="1878" t="str">
        <f t="shared" si="17"/>
        <v>1.- R WindPower 0530915-OT_014437  Reencauche F001-00004559 MDY-220</v>
      </c>
      <c r="Z50" s="19" t="str">
        <f t="shared" si="18"/>
        <v>ReencaucheReenc. MASTERCAUCHO</v>
      </c>
    </row>
    <row r="51" spans="2:26" ht="15.2" customHeight="1">
      <c r="B51" s="37"/>
      <c r="E51" s="3235">
        <v>2</v>
      </c>
      <c r="F51" s="2297" t="s">
        <v>723</v>
      </c>
      <c r="G51" s="68" t="s">
        <v>151</v>
      </c>
      <c r="H51" s="69" t="s">
        <v>3440</v>
      </c>
      <c r="I51" s="2014" t="s">
        <v>726</v>
      </c>
      <c r="J51" s="70" t="s">
        <v>727</v>
      </c>
      <c r="K51" s="2305" t="s">
        <v>4091</v>
      </c>
      <c r="L51" s="72">
        <v>43873</v>
      </c>
      <c r="M51" s="73" t="s">
        <v>19</v>
      </c>
      <c r="N51" s="74">
        <v>43882</v>
      </c>
      <c r="O51" s="75">
        <v>43819</v>
      </c>
      <c r="P51" s="2765" t="s">
        <v>4099</v>
      </c>
      <c r="Q51" s="2954"/>
      <c r="R51" s="76">
        <v>279.661</v>
      </c>
      <c r="S51" s="1945" t="s">
        <v>731</v>
      </c>
      <c r="T51" s="77" t="s">
        <v>2712</v>
      </c>
      <c r="U51" s="1893"/>
      <c r="V51" s="2079">
        <f t="shared" si="15"/>
        <v>0</v>
      </c>
      <c r="W51" s="78">
        <f t="shared" si="16"/>
        <v>329.99997999999999</v>
      </c>
      <c r="X51" s="1878" t="str">
        <f t="shared" si="17"/>
        <v>2.- R WindPower 0540915-OT_014437  Reencauche F001-00004559 MDY-220</v>
      </c>
      <c r="Z51" s="19" t="str">
        <f t="shared" si="18"/>
        <v>ReencaucheReenc. MASTERCAUCHO</v>
      </c>
    </row>
    <row r="52" spans="2:26" ht="15.2" customHeight="1">
      <c r="B52" s="37"/>
      <c r="E52" s="3231">
        <v>3</v>
      </c>
      <c r="F52" s="2297" t="s">
        <v>723</v>
      </c>
      <c r="G52" s="68" t="s">
        <v>3458</v>
      </c>
      <c r="H52" s="69" t="s">
        <v>4100</v>
      </c>
      <c r="I52" s="2014" t="s">
        <v>726</v>
      </c>
      <c r="J52" s="70" t="s">
        <v>727</v>
      </c>
      <c r="K52" s="2305" t="s">
        <v>4091</v>
      </c>
      <c r="L52" s="72">
        <v>43873</v>
      </c>
      <c r="M52" s="73" t="s">
        <v>19</v>
      </c>
      <c r="N52" s="74">
        <v>43882</v>
      </c>
      <c r="O52" s="75">
        <v>43819</v>
      </c>
      <c r="P52" s="2765" t="s">
        <v>4099</v>
      </c>
      <c r="Q52" s="2954"/>
      <c r="R52" s="76">
        <v>279.661</v>
      </c>
      <c r="S52" s="1945" t="s">
        <v>731</v>
      </c>
      <c r="T52" s="77" t="s">
        <v>2712</v>
      </c>
      <c r="U52" s="1893"/>
      <c r="V52" s="2079">
        <f t="shared" ref="V52:V68" si="24">+Q52*(1.18)</f>
        <v>0</v>
      </c>
      <c r="W52" s="78">
        <f t="shared" ref="W52:W68" si="25">+R52*(1.18)</f>
        <v>329.99997999999999</v>
      </c>
      <c r="X52" s="1878" t="str">
        <f t="shared" ref="X52:X68" si="26">CONCATENATE(E52,".- ",F52," ",G52," ",H52,"-OT_",K52," "," ",I52," ",P52," ",T52)</f>
        <v>3.- R Long March 0530718-OT_014437  Reencauche F001-00004559 MDY-220</v>
      </c>
      <c r="Z52" s="19" t="str">
        <f t="shared" ref="Z52:Z68" si="27">CONCATENATE(I52,J52)</f>
        <v>ReencaucheReenc. MASTERCAUCHO</v>
      </c>
    </row>
    <row r="53" spans="2:26" ht="15.2" customHeight="1">
      <c r="B53" s="37"/>
      <c r="E53" s="3231">
        <v>4</v>
      </c>
      <c r="F53" s="2297" t="s">
        <v>723</v>
      </c>
      <c r="G53" s="68" t="s">
        <v>247</v>
      </c>
      <c r="H53" s="69" t="s">
        <v>4092</v>
      </c>
      <c r="I53" s="2014" t="s">
        <v>726</v>
      </c>
      <c r="J53" s="70" t="s">
        <v>727</v>
      </c>
      <c r="K53" s="2305" t="s">
        <v>4091</v>
      </c>
      <c r="L53" s="72">
        <v>43873</v>
      </c>
      <c r="M53" s="73" t="s">
        <v>19</v>
      </c>
      <c r="N53" s="74">
        <v>43882</v>
      </c>
      <c r="O53" s="75">
        <v>43819</v>
      </c>
      <c r="P53" s="2765" t="s">
        <v>4099</v>
      </c>
      <c r="Q53" s="2954"/>
      <c r="R53" s="76">
        <v>279.661</v>
      </c>
      <c r="S53" s="1945" t="s">
        <v>731</v>
      </c>
      <c r="T53" s="77" t="s">
        <v>2712</v>
      </c>
      <c r="U53" s="1893"/>
      <c r="V53" s="2079">
        <f t="shared" si="24"/>
        <v>0</v>
      </c>
      <c r="W53" s="78">
        <f t="shared" si="25"/>
        <v>329.99997999999999</v>
      </c>
      <c r="X53" s="1878" t="str">
        <f t="shared" si="26"/>
        <v>4.- R Double Happines 8280919-OT_014437  Reencauche F001-00004559 MDY-220</v>
      </c>
      <c r="Z53" s="19" t="str">
        <f t="shared" si="27"/>
        <v>ReencaucheReenc. MASTERCAUCHO</v>
      </c>
    </row>
    <row r="54" spans="2:26" ht="15.2" customHeight="1">
      <c r="B54" s="37"/>
      <c r="E54" s="3235">
        <v>3</v>
      </c>
      <c r="F54" s="3131" t="s">
        <v>723</v>
      </c>
      <c r="G54" s="2263" t="s">
        <v>757</v>
      </c>
      <c r="H54" s="2265" t="s">
        <v>4097</v>
      </c>
      <c r="I54" s="3178" t="s">
        <v>3224</v>
      </c>
      <c r="J54" s="2266" t="s">
        <v>727</v>
      </c>
      <c r="K54" s="3133" t="s">
        <v>857</v>
      </c>
      <c r="L54" s="2268"/>
      <c r="M54" s="3122" t="s">
        <v>19</v>
      </c>
      <c r="N54" s="2270">
        <v>43882</v>
      </c>
      <c r="O54" s="2271">
        <v>43819</v>
      </c>
      <c r="P54" s="3243" t="s">
        <v>4099</v>
      </c>
      <c r="Q54" s="2956"/>
      <c r="R54" s="2272">
        <v>211.864</v>
      </c>
      <c r="S54" s="2273" t="s">
        <v>731</v>
      </c>
      <c r="T54" s="77" t="s">
        <v>4095</v>
      </c>
      <c r="U54" s="1893"/>
      <c r="V54" s="2079">
        <f t="shared" si="24"/>
        <v>0</v>
      </c>
      <c r="W54" s="78">
        <f t="shared" si="25"/>
        <v>249.99951999999999</v>
      </c>
      <c r="X54" s="1878" t="str">
        <f t="shared" si="26"/>
        <v>3.- R Goodyear 8030220-OT_S/D  Casc 2a trnspl F001-00004559  Goodyear G751 MSA 2617 U.S:A.</v>
      </c>
      <c r="Z54" s="19" t="str">
        <f t="shared" si="27"/>
        <v>Casc 2a trnsplReenc. MASTERCAUCHO</v>
      </c>
    </row>
    <row r="55" spans="2:26" ht="15.2" customHeight="1">
      <c r="B55" s="37"/>
      <c r="E55" s="3235">
        <v>4</v>
      </c>
      <c r="F55" s="3131" t="s">
        <v>723</v>
      </c>
      <c r="G55" s="2263" t="s">
        <v>2551</v>
      </c>
      <c r="H55" s="2265" t="s">
        <v>4098</v>
      </c>
      <c r="I55" s="3178" t="s">
        <v>3224</v>
      </c>
      <c r="J55" s="2266" t="s">
        <v>727</v>
      </c>
      <c r="K55" s="3133" t="s">
        <v>857</v>
      </c>
      <c r="L55" s="2268"/>
      <c r="M55" s="3122" t="s">
        <v>19</v>
      </c>
      <c r="N55" s="2270">
        <v>43882</v>
      </c>
      <c r="O55" s="2271">
        <v>43819</v>
      </c>
      <c r="P55" s="3243" t="s">
        <v>4099</v>
      </c>
      <c r="Q55" s="2956"/>
      <c r="R55" s="2272">
        <v>211.864</v>
      </c>
      <c r="S55" s="2273" t="s">
        <v>731</v>
      </c>
      <c r="T55" s="77" t="s">
        <v>4096</v>
      </c>
      <c r="U55" s="1893"/>
      <c r="V55" s="2079">
        <f t="shared" si="24"/>
        <v>0</v>
      </c>
      <c r="W55" s="78">
        <f t="shared" si="25"/>
        <v>249.99951999999999</v>
      </c>
      <c r="X55" s="1878" t="str">
        <f t="shared" si="26"/>
        <v>4.- R SAILUM 8040220-OT_S/D  Casc 2a trnspl F001-00004559   SAILUM S815 1814 China</v>
      </c>
      <c r="Z55" s="19" t="str">
        <f t="shared" si="27"/>
        <v>Casc 2a trnsplReenc. MASTERCAUCHO</v>
      </c>
    </row>
    <row r="56" spans="2:26" ht="15.2" customHeight="1">
      <c r="B56" s="37"/>
      <c r="E56" s="3231">
        <v>5</v>
      </c>
      <c r="F56" s="2297" t="s">
        <v>723</v>
      </c>
      <c r="G56" s="68" t="s">
        <v>737</v>
      </c>
      <c r="H56" s="69" t="s">
        <v>1712</v>
      </c>
      <c r="I56" s="2014" t="s">
        <v>744</v>
      </c>
      <c r="J56" s="70" t="s">
        <v>727</v>
      </c>
      <c r="K56" s="2305" t="s">
        <v>4091</v>
      </c>
      <c r="L56" s="72">
        <v>43873</v>
      </c>
      <c r="M56" s="2306" t="s">
        <v>19</v>
      </c>
      <c r="N56" s="74">
        <v>43882</v>
      </c>
      <c r="O56" s="75">
        <f t="shared" ref="O56:O57" si="28">+N56</f>
        <v>43882</v>
      </c>
      <c r="P56" s="3244" t="s">
        <v>4101</v>
      </c>
      <c r="Q56" s="2954"/>
      <c r="R56" s="76">
        <v>0</v>
      </c>
      <c r="S56" s="1945" t="s">
        <v>731</v>
      </c>
      <c r="T56" s="77"/>
      <c r="U56" s="1893"/>
      <c r="V56" s="2079">
        <f t="shared" si="24"/>
        <v>0</v>
      </c>
      <c r="W56" s="78">
        <f t="shared" si="25"/>
        <v>0</v>
      </c>
      <c r="X56" s="1878" t="str">
        <f t="shared" si="26"/>
        <v xml:space="preserve">5.- R Vikrant 0030111-OT_014437  Sacar_Banda EG01-2280 </v>
      </c>
      <c r="Z56" s="19" t="str">
        <f t="shared" si="27"/>
        <v>Sacar_BandaReenc. MASTERCAUCHO</v>
      </c>
    </row>
    <row r="57" spans="2:26" ht="15.2" customHeight="1">
      <c r="B57" s="37"/>
      <c r="E57" s="79">
        <v>6</v>
      </c>
      <c r="F57" s="2294" t="s">
        <v>732</v>
      </c>
      <c r="G57" s="81" t="s">
        <v>724</v>
      </c>
      <c r="H57" s="82" t="s">
        <v>878</v>
      </c>
      <c r="I57" s="2015" t="s">
        <v>744</v>
      </c>
      <c r="J57" s="83" t="s">
        <v>727</v>
      </c>
      <c r="K57" s="2295" t="s">
        <v>4091</v>
      </c>
      <c r="L57" s="85">
        <v>43873</v>
      </c>
      <c r="M57" s="2296" t="s">
        <v>19</v>
      </c>
      <c r="N57" s="87">
        <v>43882</v>
      </c>
      <c r="O57" s="88">
        <f t="shared" si="28"/>
        <v>43882</v>
      </c>
      <c r="P57" s="3245" t="s">
        <v>4101</v>
      </c>
      <c r="Q57" s="2955"/>
      <c r="R57" s="89">
        <v>0</v>
      </c>
      <c r="S57" s="1946" t="s">
        <v>731</v>
      </c>
      <c r="T57" s="77"/>
      <c r="U57" s="1893"/>
      <c r="V57" s="2079">
        <f t="shared" si="24"/>
        <v>0</v>
      </c>
      <c r="W57" s="78">
        <f t="shared" si="25"/>
        <v>0</v>
      </c>
      <c r="X57" s="1878" t="str">
        <f t="shared" si="26"/>
        <v xml:space="preserve">6.- C Aeolus 0280413-OT_014437  Sacar_Banda EG01-2280 </v>
      </c>
      <c r="Z57" s="19" t="str">
        <f t="shared" si="27"/>
        <v>Sacar_BandaReenc. MASTERCAUCHO</v>
      </c>
    </row>
    <row r="58" spans="2:26" ht="15.2" customHeight="1">
      <c r="B58" s="37"/>
      <c r="E58" s="3231">
        <v>1</v>
      </c>
      <c r="F58" s="2297" t="s">
        <v>723</v>
      </c>
      <c r="G58" s="68" t="s">
        <v>3458</v>
      </c>
      <c r="H58" s="69" t="s">
        <v>3459</v>
      </c>
      <c r="I58" s="2014" t="s">
        <v>726</v>
      </c>
      <c r="J58" s="70" t="s">
        <v>760</v>
      </c>
      <c r="K58" s="2305" t="s">
        <v>4083</v>
      </c>
      <c r="L58" s="72">
        <v>43864</v>
      </c>
      <c r="M58" s="73" t="s">
        <v>19</v>
      </c>
      <c r="N58" s="74">
        <v>43869</v>
      </c>
      <c r="O58" s="75">
        <v>43869</v>
      </c>
      <c r="P58" s="2765" t="s">
        <v>4090</v>
      </c>
      <c r="Q58" s="2954">
        <v>96.34</v>
      </c>
      <c r="R58" s="76"/>
      <c r="S58" s="1945" t="s">
        <v>731</v>
      </c>
      <c r="T58" s="77" t="s">
        <v>2589</v>
      </c>
      <c r="U58" s="1893"/>
      <c r="V58" s="2079">
        <f t="shared" si="24"/>
        <v>113.6812</v>
      </c>
      <c r="W58" s="78">
        <f t="shared" si="25"/>
        <v>0</v>
      </c>
      <c r="X58" s="1878" t="str">
        <f t="shared" si="26"/>
        <v>1.- R Long March 0560718-OT_266358  Reencauche F101-00023447 IDY-220</v>
      </c>
      <c r="Z58" s="19" t="str">
        <f t="shared" si="27"/>
        <v>ReencaucheReencauchadora RENOVA</v>
      </c>
    </row>
    <row r="59" spans="2:26" ht="15.2" customHeight="1">
      <c r="B59" s="37"/>
      <c r="E59" s="3234">
        <v>2</v>
      </c>
      <c r="F59" s="2297" t="s">
        <v>723</v>
      </c>
      <c r="G59" s="68" t="s">
        <v>3458</v>
      </c>
      <c r="H59" s="69" t="s">
        <v>4076</v>
      </c>
      <c r="I59" s="2014" t="s">
        <v>726</v>
      </c>
      <c r="J59" s="70" t="s">
        <v>760</v>
      </c>
      <c r="K59" s="2305" t="s">
        <v>4083</v>
      </c>
      <c r="L59" s="72">
        <v>43864</v>
      </c>
      <c r="M59" s="73" t="s">
        <v>19</v>
      </c>
      <c r="N59" s="74">
        <v>43869</v>
      </c>
      <c r="O59" s="75">
        <v>43869</v>
      </c>
      <c r="P59" s="2765" t="s">
        <v>4090</v>
      </c>
      <c r="Q59" s="2954">
        <v>96.34</v>
      </c>
      <c r="R59" s="76"/>
      <c r="S59" s="1945" t="s">
        <v>731</v>
      </c>
      <c r="T59" s="77" t="s">
        <v>2589</v>
      </c>
      <c r="U59" s="1893"/>
      <c r="V59" s="2079">
        <f t="shared" si="24"/>
        <v>113.6812</v>
      </c>
      <c r="W59" s="78">
        <f t="shared" si="25"/>
        <v>0</v>
      </c>
      <c r="X59" s="1878" t="str">
        <f t="shared" si="26"/>
        <v>2.- R Long March 0540718-OT_266358  Reencauche F101-00023447 IDY-220</v>
      </c>
      <c r="Z59" s="19" t="str">
        <f t="shared" si="27"/>
        <v>ReencaucheReencauchadora RENOVA</v>
      </c>
    </row>
    <row r="60" spans="2:26" ht="15.2" customHeight="1">
      <c r="B60" s="37"/>
      <c r="E60" s="3234">
        <v>3</v>
      </c>
      <c r="F60" s="2297" t="s">
        <v>723</v>
      </c>
      <c r="G60" s="68" t="s">
        <v>3458</v>
      </c>
      <c r="H60" s="69" t="s">
        <v>4077</v>
      </c>
      <c r="I60" s="2014" t="s">
        <v>726</v>
      </c>
      <c r="J60" s="70" t="s">
        <v>760</v>
      </c>
      <c r="K60" s="2305" t="s">
        <v>4083</v>
      </c>
      <c r="L60" s="72">
        <v>43864</v>
      </c>
      <c r="M60" s="73" t="s">
        <v>19</v>
      </c>
      <c r="N60" s="74">
        <v>43869</v>
      </c>
      <c r="O60" s="75">
        <v>43869</v>
      </c>
      <c r="P60" s="2765" t="s">
        <v>4090</v>
      </c>
      <c r="Q60" s="2954">
        <v>96.34</v>
      </c>
      <c r="R60" s="76"/>
      <c r="S60" s="1945" t="s">
        <v>731</v>
      </c>
      <c r="T60" s="77" t="s">
        <v>2589</v>
      </c>
      <c r="U60" s="1893"/>
      <c r="V60" s="2079">
        <f t="shared" si="24"/>
        <v>113.6812</v>
      </c>
      <c r="W60" s="78">
        <f t="shared" si="25"/>
        <v>0</v>
      </c>
      <c r="X60" s="1878" t="str">
        <f t="shared" si="26"/>
        <v>3.- R Long March 0550718-OT_266358  Reencauche F101-00023447 IDY-220</v>
      </c>
      <c r="Z60" s="19" t="str">
        <f t="shared" si="27"/>
        <v>ReencaucheReencauchadora RENOVA</v>
      </c>
    </row>
    <row r="61" spans="2:26" ht="15.2" customHeight="1">
      <c r="B61" s="37"/>
      <c r="E61" s="3234">
        <v>4</v>
      </c>
      <c r="F61" s="2297" t="s">
        <v>723</v>
      </c>
      <c r="G61" s="68" t="s">
        <v>724</v>
      </c>
      <c r="H61" s="69" t="s">
        <v>4078</v>
      </c>
      <c r="I61" s="2014" t="s">
        <v>726</v>
      </c>
      <c r="J61" s="70" t="s">
        <v>760</v>
      </c>
      <c r="K61" s="2305" t="s">
        <v>4083</v>
      </c>
      <c r="L61" s="72">
        <v>43864</v>
      </c>
      <c r="M61" s="73" t="s">
        <v>19</v>
      </c>
      <c r="N61" s="74">
        <v>43869</v>
      </c>
      <c r="O61" s="75">
        <v>43869</v>
      </c>
      <c r="P61" s="2765" t="s">
        <v>4090</v>
      </c>
      <c r="Q61" s="2954">
        <v>96.34</v>
      </c>
      <c r="R61" s="76"/>
      <c r="S61" s="1945" t="s">
        <v>731</v>
      </c>
      <c r="T61" s="77" t="s">
        <v>2589</v>
      </c>
      <c r="U61" s="1893"/>
      <c r="V61" s="2079">
        <f t="shared" si="24"/>
        <v>113.6812</v>
      </c>
      <c r="W61" s="78">
        <f t="shared" si="25"/>
        <v>0</v>
      </c>
      <c r="X61" s="1878" t="str">
        <f t="shared" si="26"/>
        <v>4.- R Aeolus 1021117-OT_266358  Reencauche F101-00023447 IDY-220</v>
      </c>
      <c r="Z61" s="19" t="str">
        <f t="shared" si="27"/>
        <v>ReencaucheReencauchadora RENOVA</v>
      </c>
    </row>
    <row r="62" spans="2:26" ht="15.2" customHeight="1">
      <c r="B62" s="37"/>
      <c r="E62" s="3234">
        <v>5</v>
      </c>
      <c r="F62" s="2297" t="s">
        <v>723</v>
      </c>
      <c r="G62" s="68" t="s">
        <v>3702</v>
      </c>
      <c r="H62" s="69" t="s">
        <v>4079</v>
      </c>
      <c r="I62" s="2014" t="s">
        <v>726</v>
      </c>
      <c r="J62" s="70" t="s">
        <v>760</v>
      </c>
      <c r="K62" s="2305" t="s">
        <v>4083</v>
      </c>
      <c r="L62" s="72">
        <v>43864</v>
      </c>
      <c r="M62" s="73" t="s">
        <v>19</v>
      </c>
      <c r="N62" s="74">
        <v>43869</v>
      </c>
      <c r="O62" s="75">
        <v>43869</v>
      </c>
      <c r="P62" s="2765" t="s">
        <v>4090</v>
      </c>
      <c r="Q62" s="2954">
        <v>96.34</v>
      </c>
      <c r="R62" s="76"/>
      <c r="S62" s="1945" t="s">
        <v>731</v>
      </c>
      <c r="T62" s="77" t="s">
        <v>2589</v>
      </c>
      <c r="U62" s="1893"/>
      <c r="V62" s="2079">
        <f t="shared" si="24"/>
        <v>113.6812</v>
      </c>
      <c r="W62" s="78">
        <f t="shared" si="25"/>
        <v>0</v>
      </c>
      <c r="X62" s="1878" t="str">
        <f t="shared" si="26"/>
        <v>5.- R Ovation  8461019-OT_266358  Reencauche F101-00023447 IDY-220</v>
      </c>
      <c r="Z62" s="19" t="str">
        <f t="shared" si="27"/>
        <v>ReencaucheReencauchadora RENOVA</v>
      </c>
    </row>
    <row r="63" spans="2:26" ht="15.2" customHeight="1">
      <c r="B63" s="37"/>
      <c r="E63" s="3234">
        <v>6</v>
      </c>
      <c r="F63" s="2297" t="s">
        <v>723</v>
      </c>
      <c r="G63" s="68" t="s">
        <v>151</v>
      </c>
      <c r="H63" s="69" t="s">
        <v>4080</v>
      </c>
      <c r="I63" s="2014" t="s">
        <v>726</v>
      </c>
      <c r="J63" s="70" t="s">
        <v>760</v>
      </c>
      <c r="K63" s="2305" t="s">
        <v>4083</v>
      </c>
      <c r="L63" s="72">
        <v>43864</v>
      </c>
      <c r="M63" s="73" t="s">
        <v>19</v>
      </c>
      <c r="N63" s="74">
        <v>43869</v>
      </c>
      <c r="O63" s="75">
        <v>43869</v>
      </c>
      <c r="P63" s="2765" t="s">
        <v>4090</v>
      </c>
      <c r="Q63" s="2954">
        <v>96.34</v>
      </c>
      <c r="R63" s="76"/>
      <c r="S63" s="1945" t="s">
        <v>731</v>
      </c>
      <c r="T63" s="77" t="s">
        <v>2589</v>
      </c>
      <c r="U63" s="1893"/>
      <c r="V63" s="2079">
        <f t="shared" si="24"/>
        <v>113.6812</v>
      </c>
      <c r="W63" s="78">
        <f t="shared" si="25"/>
        <v>0</v>
      </c>
      <c r="X63" s="1878" t="str">
        <f t="shared" si="26"/>
        <v>6.- R WindPower 0480816-OT_266358  Reencauche F101-00023447 IDY-220</v>
      </c>
      <c r="Z63" s="19" t="str">
        <f t="shared" si="27"/>
        <v>ReencaucheReencauchadora RENOVA</v>
      </c>
    </row>
    <row r="64" spans="2:26" ht="15.2" customHeight="1">
      <c r="B64" s="37"/>
      <c r="E64" s="3234">
        <v>7</v>
      </c>
      <c r="F64" s="2297" t="s">
        <v>723</v>
      </c>
      <c r="G64" s="68" t="s">
        <v>737</v>
      </c>
      <c r="H64" s="69" t="s">
        <v>4081</v>
      </c>
      <c r="I64" s="2014" t="s">
        <v>726</v>
      </c>
      <c r="J64" s="70" t="s">
        <v>760</v>
      </c>
      <c r="K64" s="2305" t="s">
        <v>4083</v>
      </c>
      <c r="L64" s="72">
        <v>43864</v>
      </c>
      <c r="M64" s="73" t="s">
        <v>19</v>
      </c>
      <c r="N64" s="74">
        <v>43869</v>
      </c>
      <c r="O64" s="75">
        <v>43869</v>
      </c>
      <c r="P64" s="2765" t="s">
        <v>4090</v>
      </c>
      <c r="Q64" s="2954">
        <v>96.34</v>
      </c>
      <c r="R64" s="76"/>
      <c r="S64" s="1945" t="s">
        <v>731</v>
      </c>
      <c r="T64" s="77" t="s">
        <v>2589</v>
      </c>
      <c r="U64" s="1893"/>
      <c r="V64" s="2079">
        <f t="shared" si="24"/>
        <v>113.6812</v>
      </c>
      <c r="W64" s="78">
        <f t="shared" si="25"/>
        <v>0</v>
      </c>
      <c r="X64" s="1878" t="str">
        <f t="shared" si="26"/>
        <v>7.- R Vikrant 1151217-OT_266358  Reencauche F101-00023447 IDY-220</v>
      </c>
      <c r="Z64" s="19" t="str">
        <f t="shared" si="27"/>
        <v>ReencaucheReencauchadora RENOVA</v>
      </c>
    </row>
    <row r="65" spans="2:26" ht="15.2" customHeight="1">
      <c r="B65" s="37"/>
      <c r="E65" s="3234">
        <v>8</v>
      </c>
      <c r="F65" s="2297" t="s">
        <v>723</v>
      </c>
      <c r="G65" s="68" t="s">
        <v>737</v>
      </c>
      <c r="H65" s="69" t="s">
        <v>3173</v>
      </c>
      <c r="I65" s="2014" t="s">
        <v>726</v>
      </c>
      <c r="J65" s="70" t="s">
        <v>760</v>
      </c>
      <c r="K65" s="2305" t="s">
        <v>4083</v>
      </c>
      <c r="L65" s="72">
        <v>43864</v>
      </c>
      <c r="M65" s="73" t="s">
        <v>19</v>
      </c>
      <c r="N65" s="74">
        <v>43869</v>
      </c>
      <c r="O65" s="75">
        <v>43869</v>
      </c>
      <c r="P65" s="2765" t="s">
        <v>4090</v>
      </c>
      <c r="Q65" s="2954">
        <v>96.34</v>
      </c>
      <c r="R65" s="76"/>
      <c r="S65" s="1945" t="s">
        <v>731</v>
      </c>
      <c r="T65" s="77" t="s">
        <v>2589</v>
      </c>
      <c r="U65" s="1893"/>
      <c r="V65" s="2079">
        <f t="shared" si="24"/>
        <v>113.6812</v>
      </c>
      <c r="W65" s="78">
        <f t="shared" si="25"/>
        <v>0</v>
      </c>
      <c r="X65" s="1878" t="str">
        <f t="shared" si="26"/>
        <v>8.- R Vikrant 0280217-OT_266358  Reencauche F101-00023447 IDY-220</v>
      </c>
      <c r="Z65" s="19" t="str">
        <f t="shared" si="27"/>
        <v>ReencaucheReencauchadora RENOVA</v>
      </c>
    </row>
    <row r="66" spans="2:26" ht="15.2" customHeight="1">
      <c r="B66" s="37"/>
      <c r="E66" s="3234">
        <v>9</v>
      </c>
      <c r="F66" s="2297" t="s">
        <v>723</v>
      </c>
      <c r="G66" s="68" t="s">
        <v>3613</v>
      </c>
      <c r="H66" s="69" t="s">
        <v>3617</v>
      </c>
      <c r="I66" s="2014" t="s">
        <v>726</v>
      </c>
      <c r="J66" s="70" t="s">
        <v>760</v>
      </c>
      <c r="K66" s="2305" t="s">
        <v>4083</v>
      </c>
      <c r="L66" s="72">
        <v>43864</v>
      </c>
      <c r="M66" s="73" t="s">
        <v>19</v>
      </c>
      <c r="N66" s="74">
        <v>43869</v>
      </c>
      <c r="O66" s="75">
        <v>43869</v>
      </c>
      <c r="P66" s="2765" t="s">
        <v>4090</v>
      </c>
      <c r="Q66" s="2954">
        <v>96.34</v>
      </c>
      <c r="R66" s="76"/>
      <c r="S66" s="1945" t="s">
        <v>731</v>
      </c>
      <c r="T66" s="77" t="s">
        <v>2589</v>
      </c>
      <c r="U66" s="1893"/>
      <c r="V66" s="2079">
        <f t="shared" si="24"/>
        <v>113.6812</v>
      </c>
      <c r="W66" s="78">
        <f t="shared" si="25"/>
        <v>0</v>
      </c>
      <c r="X66" s="1878" t="str">
        <f t="shared" si="26"/>
        <v>9.- R Kormoran 8070419-OT_266358  Reencauche F101-00023447 IDY-220</v>
      </c>
      <c r="Z66" s="19" t="str">
        <f t="shared" si="27"/>
        <v>ReencaucheReencauchadora RENOVA</v>
      </c>
    </row>
    <row r="67" spans="2:26" ht="15.2" customHeight="1">
      <c r="B67" s="37"/>
      <c r="E67" s="3234">
        <v>10</v>
      </c>
      <c r="F67" s="2297" t="s">
        <v>723</v>
      </c>
      <c r="G67" s="68" t="s">
        <v>291</v>
      </c>
      <c r="H67" s="69" t="s">
        <v>4082</v>
      </c>
      <c r="I67" s="2014" t="s">
        <v>726</v>
      </c>
      <c r="J67" s="70" t="s">
        <v>760</v>
      </c>
      <c r="K67" s="2305" t="s">
        <v>4083</v>
      </c>
      <c r="L67" s="72">
        <v>43864</v>
      </c>
      <c r="M67" s="2306" t="s">
        <v>19</v>
      </c>
      <c r="N67" s="74">
        <v>43869</v>
      </c>
      <c r="O67" s="75">
        <f t="shared" ref="O67" si="29">+N67</f>
        <v>43869</v>
      </c>
      <c r="P67" s="2765" t="s">
        <v>4090</v>
      </c>
      <c r="Q67" s="2954">
        <v>96.34</v>
      </c>
      <c r="R67" s="76"/>
      <c r="S67" s="1945" t="s">
        <v>731</v>
      </c>
      <c r="T67" s="77" t="s">
        <v>2589</v>
      </c>
      <c r="U67" s="1893"/>
      <c r="V67" s="2079">
        <f t="shared" si="24"/>
        <v>113.6812</v>
      </c>
      <c r="W67" s="78">
        <f t="shared" si="25"/>
        <v>0</v>
      </c>
      <c r="X67" s="1878" t="str">
        <f t="shared" si="26"/>
        <v>10.- R Brigestone 8060218-OT_266358  Reencauche F101-00023447 IDY-220</v>
      </c>
      <c r="Z67" s="19" t="str">
        <f t="shared" si="27"/>
        <v>ReencaucheReencauchadora RENOVA</v>
      </c>
    </row>
    <row r="68" spans="2:26" ht="15.2" customHeight="1">
      <c r="B68" s="37"/>
      <c r="E68" s="3234">
        <v>11</v>
      </c>
      <c r="F68" s="2297" t="s">
        <v>723</v>
      </c>
      <c r="G68" s="68" t="s">
        <v>737</v>
      </c>
      <c r="H68" s="69" t="s">
        <v>3295</v>
      </c>
      <c r="I68" s="2014" t="s">
        <v>726</v>
      </c>
      <c r="J68" s="70" t="s">
        <v>760</v>
      </c>
      <c r="K68" s="2305" t="s">
        <v>4088</v>
      </c>
      <c r="L68" s="72">
        <v>43864</v>
      </c>
      <c r="M68" s="73" t="s">
        <v>19</v>
      </c>
      <c r="N68" s="74">
        <v>43869</v>
      </c>
      <c r="O68" s="75">
        <v>43869</v>
      </c>
      <c r="P68" s="2765" t="s">
        <v>4090</v>
      </c>
      <c r="Q68" s="2954">
        <v>96.34</v>
      </c>
      <c r="R68" s="76"/>
      <c r="S68" s="1945" t="s">
        <v>731</v>
      </c>
      <c r="T68" s="77" t="s">
        <v>2589</v>
      </c>
      <c r="U68" s="1893"/>
      <c r="V68" s="2079">
        <f t="shared" si="24"/>
        <v>113.6812</v>
      </c>
      <c r="W68" s="78">
        <f t="shared" si="25"/>
        <v>0</v>
      </c>
      <c r="X68" s="1878" t="str">
        <f t="shared" si="26"/>
        <v>11.- R Vikrant 0840917-OT_266359  Reencauche F101-00023447 IDY-220</v>
      </c>
      <c r="Z68" s="19" t="str">
        <f t="shared" si="27"/>
        <v>ReencaucheReencauchadora RENOVA</v>
      </c>
    </row>
    <row r="69" spans="2:26" ht="15.2" customHeight="1">
      <c r="B69" s="37"/>
      <c r="E69" s="3234">
        <v>12</v>
      </c>
      <c r="F69" s="2297" t="s">
        <v>723</v>
      </c>
      <c r="G69" s="68" t="s">
        <v>247</v>
      </c>
      <c r="H69" s="69" t="s">
        <v>4084</v>
      </c>
      <c r="I69" s="2014" t="s">
        <v>726</v>
      </c>
      <c r="J69" s="70" t="s">
        <v>760</v>
      </c>
      <c r="K69" s="2305" t="s">
        <v>4088</v>
      </c>
      <c r="L69" s="72">
        <v>43864</v>
      </c>
      <c r="M69" s="73" t="s">
        <v>19</v>
      </c>
      <c r="N69" s="74">
        <v>43869</v>
      </c>
      <c r="O69" s="75">
        <v>43869</v>
      </c>
      <c r="P69" s="2765" t="s">
        <v>4090</v>
      </c>
      <c r="Q69" s="2954">
        <v>96.34</v>
      </c>
      <c r="R69" s="76"/>
      <c r="S69" s="1945" t="s">
        <v>731</v>
      </c>
      <c r="T69" s="77" t="s">
        <v>2589</v>
      </c>
      <c r="U69" s="1893"/>
      <c r="V69" s="2079">
        <f t="shared" si="10"/>
        <v>113.6812</v>
      </c>
      <c r="W69" s="78">
        <f t="shared" si="11"/>
        <v>0</v>
      </c>
      <c r="X69" s="1878" t="str">
        <f t="shared" si="12"/>
        <v>12.- R Double Happines 8270819-OT_266359  Reencauche F101-00023447 IDY-220</v>
      </c>
      <c r="Z69" s="19" t="str">
        <f t="shared" si="13"/>
        <v>ReencaucheReencauchadora RENOVA</v>
      </c>
    </row>
    <row r="70" spans="2:26" ht="15.2" customHeight="1">
      <c r="B70" s="37"/>
      <c r="E70" s="3234">
        <v>13</v>
      </c>
      <c r="F70" s="2297" t="s">
        <v>723</v>
      </c>
      <c r="G70" s="68" t="s">
        <v>724</v>
      </c>
      <c r="H70" s="69" t="s">
        <v>4085</v>
      </c>
      <c r="I70" s="2014" t="s">
        <v>726</v>
      </c>
      <c r="J70" s="70" t="s">
        <v>760</v>
      </c>
      <c r="K70" s="2305" t="s">
        <v>4088</v>
      </c>
      <c r="L70" s="72">
        <v>43864</v>
      </c>
      <c r="M70" s="73" t="s">
        <v>19</v>
      </c>
      <c r="N70" s="74">
        <v>43869</v>
      </c>
      <c r="O70" s="75">
        <v>43869</v>
      </c>
      <c r="P70" s="2765" t="s">
        <v>4090</v>
      </c>
      <c r="Q70" s="2954">
        <v>96.34</v>
      </c>
      <c r="R70" s="76"/>
      <c r="S70" s="1945" t="s">
        <v>731</v>
      </c>
      <c r="T70" s="77" t="s">
        <v>2589</v>
      </c>
      <c r="U70" s="1893"/>
      <c r="V70" s="2079">
        <f t="shared" si="10"/>
        <v>113.6812</v>
      </c>
      <c r="W70" s="78">
        <f t="shared" si="11"/>
        <v>0</v>
      </c>
      <c r="X70" s="1878" t="str">
        <f t="shared" si="12"/>
        <v>13.- R Aeolus 1051216-OT_266359  Reencauche F101-00023447 IDY-220</v>
      </c>
      <c r="Z70" s="19" t="str">
        <f t="shared" si="13"/>
        <v>ReencaucheReencauchadora RENOVA</v>
      </c>
    </row>
    <row r="71" spans="2:26" ht="15.2" customHeight="1">
      <c r="B71" s="37"/>
      <c r="E71" s="3234">
        <v>14</v>
      </c>
      <c r="F71" s="2297" t="s">
        <v>723</v>
      </c>
      <c r="G71" s="68" t="s">
        <v>724</v>
      </c>
      <c r="H71" s="69" t="s">
        <v>4086</v>
      </c>
      <c r="I71" s="2014" t="s">
        <v>726</v>
      </c>
      <c r="J71" s="70" t="s">
        <v>760</v>
      </c>
      <c r="K71" s="2305" t="s">
        <v>4088</v>
      </c>
      <c r="L71" s="72">
        <v>43864</v>
      </c>
      <c r="M71" s="73" t="s">
        <v>19</v>
      </c>
      <c r="N71" s="74">
        <v>43869</v>
      </c>
      <c r="O71" s="75">
        <v>43869</v>
      </c>
      <c r="P71" s="2765" t="s">
        <v>4090</v>
      </c>
      <c r="Q71" s="2954">
        <v>96.34</v>
      </c>
      <c r="R71" s="76"/>
      <c r="S71" s="1945" t="s">
        <v>731</v>
      </c>
      <c r="T71" s="77" t="s">
        <v>2589</v>
      </c>
      <c r="U71" s="1893"/>
      <c r="V71" s="2079">
        <f t="shared" si="10"/>
        <v>113.6812</v>
      </c>
      <c r="W71" s="78">
        <f t="shared" si="11"/>
        <v>0</v>
      </c>
      <c r="X71" s="1878" t="str">
        <f t="shared" si="12"/>
        <v>14.- R Aeolus 1071216-OT_266359  Reencauche F101-00023447 IDY-220</v>
      </c>
      <c r="Z71" s="19" t="str">
        <f t="shared" si="13"/>
        <v>ReencaucheReencauchadora RENOVA</v>
      </c>
    </row>
    <row r="72" spans="2:26" ht="15.2" customHeight="1">
      <c r="B72" s="37"/>
      <c r="E72" s="3234">
        <v>15</v>
      </c>
      <c r="F72" s="2297" t="s">
        <v>723</v>
      </c>
      <c r="G72" s="68" t="s">
        <v>724</v>
      </c>
      <c r="H72" s="69" t="s">
        <v>4087</v>
      </c>
      <c r="I72" s="2014" t="s">
        <v>726</v>
      </c>
      <c r="J72" s="70" t="s">
        <v>760</v>
      </c>
      <c r="K72" s="2305" t="s">
        <v>4088</v>
      </c>
      <c r="L72" s="72">
        <v>43864</v>
      </c>
      <c r="M72" s="73" t="s">
        <v>19</v>
      </c>
      <c r="N72" s="74">
        <v>43869</v>
      </c>
      <c r="O72" s="75">
        <v>43869</v>
      </c>
      <c r="P72" s="2765" t="s">
        <v>4090</v>
      </c>
      <c r="Q72" s="2954">
        <v>96.34</v>
      </c>
      <c r="R72" s="76"/>
      <c r="S72" s="1945" t="s">
        <v>731</v>
      </c>
      <c r="T72" s="77" t="s">
        <v>2589</v>
      </c>
      <c r="U72" s="1893"/>
      <c r="V72" s="2079">
        <f t="shared" si="10"/>
        <v>113.6812</v>
      </c>
      <c r="W72" s="78">
        <f t="shared" si="11"/>
        <v>0</v>
      </c>
      <c r="X72" s="1878" t="str">
        <f t="shared" si="12"/>
        <v>15.- R Aeolus 0480517-OT_266359  Reencauche F101-00023447 IDY-220</v>
      </c>
      <c r="Z72" s="19" t="str">
        <f t="shared" si="13"/>
        <v>ReencaucheReencauchadora RENOVA</v>
      </c>
    </row>
    <row r="73" spans="2:26" ht="15.2" customHeight="1">
      <c r="B73" s="37"/>
      <c r="E73" s="3234">
        <v>16</v>
      </c>
      <c r="F73" s="2297" t="s">
        <v>723</v>
      </c>
      <c r="G73" s="68" t="s">
        <v>3479</v>
      </c>
      <c r="H73" s="69" t="s">
        <v>3491</v>
      </c>
      <c r="I73" s="2014" t="s">
        <v>726</v>
      </c>
      <c r="J73" s="70" t="s">
        <v>760</v>
      </c>
      <c r="K73" s="2305" t="s">
        <v>4088</v>
      </c>
      <c r="L73" s="72">
        <v>43864</v>
      </c>
      <c r="M73" s="73" t="s">
        <v>19</v>
      </c>
      <c r="N73" s="74">
        <v>43869</v>
      </c>
      <c r="O73" s="75">
        <v>43869</v>
      </c>
      <c r="P73" s="2765" t="s">
        <v>4090</v>
      </c>
      <c r="Q73" s="2954">
        <v>96.34</v>
      </c>
      <c r="R73" s="76"/>
      <c r="S73" s="1945" t="s">
        <v>731</v>
      </c>
      <c r="T73" s="77" t="s">
        <v>2589</v>
      </c>
      <c r="U73" s="1893"/>
      <c r="V73" s="2079">
        <f t="shared" si="10"/>
        <v>113.6812</v>
      </c>
      <c r="W73" s="78">
        <f t="shared" si="11"/>
        <v>0</v>
      </c>
      <c r="X73" s="1878" t="str">
        <f t="shared" si="12"/>
        <v>16.- R ZETA 8010119-OT_266359  Reencauche F101-00023447 IDY-220</v>
      </c>
      <c r="Z73" s="19" t="str">
        <f t="shared" si="13"/>
        <v>ReencaucheReencauchadora RENOVA</v>
      </c>
    </row>
    <row r="74" spans="2:26" ht="15.2" customHeight="1">
      <c r="B74" s="37"/>
      <c r="E74" s="3234">
        <v>17</v>
      </c>
      <c r="F74" s="2297" t="s">
        <v>723</v>
      </c>
      <c r="G74" s="68" t="s">
        <v>737</v>
      </c>
      <c r="H74" s="69" t="s">
        <v>2797</v>
      </c>
      <c r="I74" s="2014" t="s">
        <v>726</v>
      </c>
      <c r="J74" s="70" t="s">
        <v>760</v>
      </c>
      <c r="K74" s="2305" t="s">
        <v>4088</v>
      </c>
      <c r="L74" s="72">
        <v>43864</v>
      </c>
      <c r="M74" s="2306" t="s">
        <v>19</v>
      </c>
      <c r="N74" s="74">
        <v>43869</v>
      </c>
      <c r="O74" s="75">
        <f t="shared" si="9"/>
        <v>43869</v>
      </c>
      <c r="P74" s="2765" t="s">
        <v>4090</v>
      </c>
      <c r="Q74" s="2954">
        <v>96.34</v>
      </c>
      <c r="R74" s="76"/>
      <c r="S74" s="1945" t="s">
        <v>731</v>
      </c>
      <c r="T74" s="77" t="s">
        <v>2589</v>
      </c>
      <c r="U74" s="1893"/>
      <c r="V74" s="2079">
        <f t="shared" si="10"/>
        <v>113.6812</v>
      </c>
      <c r="W74" s="78">
        <f t="shared" si="11"/>
        <v>0</v>
      </c>
      <c r="X74" s="1878" t="str">
        <f t="shared" si="12"/>
        <v>17.- R Vikrant 0881216-OT_266359  Reencauche F101-00023447 IDY-220</v>
      </c>
      <c r="Z74" s="19" t="str">
        <f t="shared" si="13"/>
        <v>ReencaucheReencauchadora RENOVA</v>
      </c>
    </row>
    <row r="75" spans="2:26" ht="15.2" customHeight="1">
      <c r="B75" s="37"/>
      <c r="E75" s="79">
        <v>18</v>
      </c>
      <c r="F75" s="2294" t="s">
        <v>723</v>
      </c>
      <c r="G75" s="81" t="s">
        <v>151</v>
      </c>
      <c r="H75" s="82" t="s">
        <v>3440</v>
      </c>
      <c r="I75" s="2015" t="s">
        <v>726</v>
      </c>
      <c r="J75" s="83" t="s">
        <v>760</v>
      </c>
      <c r="K75" s="2295" t="s">
        <v>4088</v>
      </c>
      <c r="L75" s="85">
        <v>43864</v>
      </c>
      <c r="M75" s="2296" t="s">
        <v>19</v>
      </c>
      <c r="N75" s="87">
        <v>43869</v>
      </c>
      <c r="O75" s="88">
        <f>+N75</f>
        <v>43869</v>
      </c>
      <c r="P75" s="2766" t="s">
        <v>4089</v>
      </c>
      <c r="Q75" s="2955">
        <v>0</v>
      </c>
      <c r="R75" s="89"/>
      <c r="S75" s="1946" t="s">
        <v>731</v>
      </c>
      <c r="T75" s="77" t="s">
        <v>3612</v>
      </c>
      <c r="U75" s="1893"/>
      <c r="V75" s="2079">
        <f>+Q75*(1.18)</f>
        <v>0</v>
      </c>
      <c r="W75" s="78">
        <f>+R75*(1.18)</f>
        <v>0</v>
      </c>
      <c r="X75" s="1878" t="str">
        <f>CONCATENATE(E75,".- ",F75," ",G75," ",H75,"-OT_",K75," "," ",I75," ",P75," ",T75)</f>
        <v>18.- R WindPower 0540915-OT_266359  Reencauche G031-0032842 RECHAZO No apto para reencauche</v>
      </c>
      <c r="Z75" s="19" t="str">
        <f>CONCATENATE(I75,J75)</f>
        <v>ReencaucheReencauchadora RENOVA</v>
      </c>
    </row>
    <row r="76" spans="2:26" ht="15.2" customHeight="1">
      <c r="B76" s="37"/>
      <c r="E76" s="3228">
        <v>1</v>
      </c>
      <c r="F76" s="2297" t="s">
        <v>723</v>
      </c>
      <c r="G76" s="68" t="s">
        <v>3424</v>
      </c>
      <c r="H76" s="69" t="s">
        <v>4069</v>
      </c>
      <c r="I76" s="2014" t="s">
        <v>726</v>
      </c>
      <c r="J76" s="70" t="s">
        <v>727</v>
      </c>
      <c r="K76" s="2305" t="s">
        <v>4073</v>
      </c>
      <c r="L76" s="72">
        <v>43852</v>
      </c>
      <c r="M76" s="2306" t="s">
        <v>19</v>
      </c>
      <c r="N76" s="74">
        <v>43859</v>
      </c>
      <c r="O76" s="75">
        <f t="shared" si="9"/>
        <v>43859</v>
      </c>
      <c r="P76" s="2765" t="s">
        <v>4075</v>
      </c>
      <c r="Q76" s="2954"/>
      <c r="R76" s="76">
        <v>279.661</v>
      </c>
      <c r="S76" s="1945" t="s">
        <v>731</v>
      </c>
      <c r="T76" s="77" t="s">
        <v>2712</v>
      </c>
      <c r="U76" s="1893"/>
      <c r="V76" s="2079">
        <f t="shared" si="10"/>
        <v>0</v>
      </c>
      <c r="W76" s="78">
        <f t="shared" si="11"/>
        <v>329.99997999999999</v>
      </c>
      <c r="X76" s="1878" t="str">
        <f t="shared" si="12"/>
        <v>1.- R GT Radial 8451118-OT_014406  Reencauche F001-00004305 MDY-220</v>
      </c>
      <c r="Z76" s="19" t="str">
        <f t="shared" si="13"/>
        <v>ReencaucheReenc. MASTERCAUCHO</v>
      </c>
    </row>
    <row r="77" spans="2:26" ht="15.2" customHeight="1">
      <c r="B77" s="37"/>
      <c r="E77" s="3228">
        <v>2</v>
      </c>
      <c r="F77" s="2297" t="s">
        <v>723</v>
      </c>
      <c r="G77" s="68" t="s">
        <v>724</v>
      </c>
      <c r="H77" s="69" t="s">
        <v>4051</v>
      </c>
      <c r="I77" s="2014" t="s">
        <v>726</v>
      </c>
      <c r="J77" s="70" t="s">
        <v>727</v>
      </c>
      <c r="K77" s="2305" t="s">
        <v>4073</v>
      </c>
      <c r="L77" s="72">
        <v>43852</v>
      </c>
      <c r="M77" s="73" t="s">
        <v>19</v>
      </c>
      <c r="N77" s="74">
        <v>43859</v>
      </c>
      <c r="O77" s="75">
        <v>43859</v>
      </c>
      <c r="P77" s="2765" t="s">
        <v>4075</v>
      </c>
      <c r="Q77" s="2954"/>
      <c r="R77" s="76">
        <v>279.661</v>
      </c>
      <c r="S77" s="1945" t="s">
        <v>731</v>
      </c>
      <c r="T77" s="77" t="s">
        <v>2712</v>
      </c>
      <c r="U77" s="1893"/>
      <c r="V77" s="2079">
        <f t="shared" si="10"/>
        <v>0</v>
      </c>
      <c r="W77" s="78">
        <f t="shared" si="11"/>
        <v>329.99997999999999</v>
      </c>
      <c r="X77" s="1878" t="str">
        <f t="shared" si="12"/>
        <v>2.- R Aeolus 1021216-OT_014406  Reencauche F001-00004305 MDY-220</v>
      </c>
      <c r="Z77" s="19" t="str">
        <f t="shared" si="13"/>
        <v>ReencaucheReenc. MASTERCAUCHO</v>
      </c>
    </row>
    <row r="78" spans="2:26" ht="15.2" customHeight="1">
      <c r="B78" s="37"/>
      <c r="E78" s="3228">
        <v>3</v>
      </c>
      <c r="F78" s="2297" t="s">
        <v>723</v>
      </c>
      <c r="G78" s="68" t="s">
        <v>737</v>
      </c>
      <c r="H78" s="69" t="s">
        <v>4070</v>
      </c>
      <c r="I78" s="2014" t="s">
        <v>726</v>
      </c>
      <c r="J78" s="70" t="s">
        <v>727</v>
      </c>
      <c r="K78" s="2305" t="s">
        <v>4073</v>
      </c>
      <c r="L78" s="72">
        <v>43852</v>
      </c>
      <c r="M78" s="73" t="s">
        <v>19</v>
      </c>
      <c r="N78" s="74">
        <v>43859</v>
      </c>
      <c r="O78" s="75">
        <v>43859</v>
      </c>
      <c r="P78" s="2765" t="s">
        <v>4075</v>
      </c>
      <c r="Q78" s="2954"/>
      <c r="R78" s="76">
        <v>279.661</v>
      </c>
      <c r="S78" s="1945" t="s">
        <v>731</v>
      </c>
      <c r="T78" s="77" t="s">
        <v>2712</v>
      </c>
      <c r="U78" s="1893"/>
      <c r="V78" s="2079">
        <f t="shared" si="10"/>
        <v>0</v>
      </c>
      <c r="W78" s="78">
        <f t="shared" si="11"/>
        <v>329.99997999999999</v>
      </c>
      <c r="X78" s="1878" t="str">
        <f t="shared" si="12"/>
        <v>3.- R Vikrant 0410417-OT_014406  Reencauche F001-00004305 MDY-220</v>
      </c>
      <c r="Z78" s="19" t="str">
        <f t="shared" si="13"/>
        <v>ReencaucheReenc. MASTERCAUCHO</v>
      </c>
    </row>
    <row r="79" spans="2:26" ht="15.2" customHeight="1">
      <c r="B79" s="37"/>
      <c r="E79" s="3228">
        <v>4</v>
      </c>
      <c r="F79" s="2297" t="s">
        <v>723</v>
      </c>
      <c r="G79" s="68" t="s">
        <v>3544</v>
      </c>
      <c r="H79" s="69" t="s">
        <v>4071</v>
      </c>
      <c r="I79" s="3159" t="s">
        <v>811</v>
      </c>
      <c r="J79" s="70" t="s">
        <v>727</v>
      </c>
      <c r="K79" s="2305" t="s">
        <v>4073</v>
      </c>
      <c r="L79" s="72">
        <v>43852</v>
      </c>
      <c r="M79" s="73" t="s">
        <v>19</v>
      </c>
      <c r="N79" s="74">
        <v>43859</v>
      </c>
      <c r="O79" s="75">
        <v>43859</v>
      </c>
      <c r="P79" s="2765" t="s">
        <v>4075</v>
      </c>
      <c r="Q79" s="2954"/>
      <c r="R79" s="76">
        <v>84.745000000000005</v>
      </c>
      <c r="S79" s="1945" t="s">
        <v>731</v>
      </c>
      <c r="T79" s="77" t="s">
        <v>3829</v>
      </c>
      <c r="U79" s="1893"/>
      <c r="V79" s="2079">
        <f t="shared" si="10"/>
        <v>0</v>
      </c>
      <c r="W79" s="78">
        <f t="shared" si="11"/>
        <v>99.999099999999999</v>
      </c>
      <c r="X79" s="1878" t="str">
        <f t="shared" si="12"/>
        <v>4.- R Lanvigator 8210714-OT_014406  Vulcanizado (curación) F001-00004305 REPARACION EN FLANCO</v>
      </c>
      <c r="Z79" s="19" t="str">
        <f t="shared" si="13"/>
        <v>Vulcanizado (curación)Reenc. MASTERCAUCHO</v>
      </c>
    </row>
    <row r="80" spans="2:26" ht="15.2" customHeight="1">
      <c r="B80" s="37"/>
      <c r="E80" s="3233">
        <v>5</v>
      </c>
      <c r="F80" s="2297" t="s">
        <v>723</v>
      </c>
      <c r="G80" s="68" t="s">
        <v>3458</v>
      </c>
      <c r="H80" s="69" t="s">
        <v>4072</v>
      </c>
      <c r="I80" s="3159" t="s">
        <v>811</v>
      </c>
      <c r="J80" s="70" t="s">
        <v>727</v>
      </c>
      <c r="K80" s="2305" t="s">
        <v>4073</v>
      </c>
      <c r="L80" s="72">
        <v>43852</v>
      </c>
      <c r="M80" s="73" t="s">
        <v>19</v>
      </c>
      <c r="N80" s="74">
        <v>43859</v>
      </c>
      <c r="O80" s="75">
        <v>43859</v>
      </c>
      <c r="P80" s="2765" t="s">
        <v>4075</v>
      </c>
      <c r="Q80" s="2954"/>
      <c r="R80" s="76">
        <v>84.745000000000005</v>
      </c>
      <c r="S80" s="1945" t="s">
        <v>731</v>
      </c>
      <c r="T80" s="77" t="s">
        <v>3829</v>
      </c>
      <c r="U80" s="1893"/>
      <c r="V80" s="2079">
        <f t="shared" si="10"/>
        <v>0</v>
      </c>
      <c r="W80" s="78">
        <f t="shared" si="11"/>
        <v>99.999099999999999</v>
      </c>
      <c r="X80" s="1878" t="str">
        <f t="shared" si="12"/>
        <v>5.- R Long March 0570718-OT_014406  Vulcanizado (curación) F001-00004305 REPARACION EN FLANCO</v>
      </c>
      <c r="Z80" s="19" t="str">
        <f t="shared" si="13"/>
        <v>Vulcanizado (curación)Reenc. MASTERCAUCHO</v>
      </c>
    </row>
    <row r="81" spans="2:26" ht="15.2" customHeight="1">
      <c r="B81" s="37"/>
      <c r="E81" s="3233">
        <v>6</v>
      </c>
      <c r="F81" s="2297" t="s">
        <v>723</v>
      </c>
      <c r="G81" s="68" t="s">
        <v>724</v>
      </c>
      <c r="H81" s="69" t="s">
        <v>3394</v>
      </c>
      <c r="I81" s="2014" t="s">
        <v>726</v>
      </c>
      <c r="J81" s="70" t="s">
        <v>727</v>
      </c>
      <c r="K81" s="2305" t="s">
        <v>4073</v>
      </c>
      <c r="L81" s="72">
        <v>43852</v>
      </c>
      <c r="M81" s="2306" t="s">
        <v>19</v>
      </c>
      <c r="N81" s="74">
        <v>43859</v>
      </c>
      <c r="O81" s="75">
        <f>+N81</f>
        <v>43859</v>
      </c>
      <c r="P81" s="2765" t="s">
        <v>4074</v>
      </c>
      <c r="Q81" s="2954"/>
      <c r="R81" s="76">
        <v>0</v>
      </c>
      <c r="S81" s="1945" t="s">
        <v>731</v>
      </c>
      <c r="T81" s="77" t="s">
        <v>3612</v>
      </c>
      <c r="U81" s="1893"/>
      <c r="V81" s="2079">
        <f>+Q81*(1.18)</f>
        <v>0</v>
      </c>
      <c r="W81" s="78">
        <f>+R81*(1.18)</f>
        <v>0</v>
      </c>
      <c r="X81" s="1878" t="str">
        <f>CONCATENATE(E81,".- ",F81," ",G81," ",H81,"-OT_",K81," "," ",I81," ",P81," ",T81)</f>
        <v>6.- R Aeolus 0400516-OT_014406  Reencauche EG01-2122 RECHAZO No apto para reencauche</v>
      </c>
      <c r="Z81" s="19" t="str">
        <f>CONCATENATE(I81,J81)</f>
        <v>ReencaucheReenc. MASTERCAUCHO</v>
      </c>
    </row>
    <row r="82" spans="2:26" ht="15.2" customHeight="1">
      <c r="B82" s="37"/>
      <c r="E82" s="79">
        <v>7</v>
      </c>
      <c r="F82" s="2294" t="s">
        <v>723</v>
      </c>
      <c r="G82" s="81" t="s">
        <v>737</v>
      </c>
      <c r="H82" s="82" t="s">
        <v>3044</v>
      </c>
      <c r="I82" s="2015" t="s">
        <v>726</v>
      </c>
      <c r="J82" s="83" t="s">
        <v>727</v>
      </c>
      <c r="K82" s="2295" t="s">
        <v>4073</v>
      </c>
      <c r="L82" s="85">
        <v>43852</v>
      </c>
      <c r="M82" s="2296" t="s">
        <v>19</v>
      </c>
      <c r="N82" s="87">
        <v>43859</v>
      </c>
      <c r="O82" s="88">
        <f>+N82</f>
        <v>43859</v>
      </c>
      <c r="P82" s="2766" t="s">
        <v>4074</v>
      </c>
      <c r="Q82" s="2955"/>
      <c r="R82" s="89">
        <v>0</v>
      </c>
      <c r="S82" s="1946" t="s">
        <v>731</v>
      </c>
      <c r="T82" s="77" t="s">
        <v>3612</v>
      </c>
      <c r="U82" s="1893"/>
      <c r="V82" s="2079">
        <f>+Q82*(1.18)</f>
        <v>0</v>
      </c>
      <c r="W82" s="78">
        <f>+R82*(1.18)</f>
        <v>0</v>
      </c>
      <c r="X82" s="1878" t="str">
        <f>CONCATENATE(E82,".- ",F82," ",G82," ",H82,"-OT_",K82," "," ",I82," ",P82," ",T82)</f>
        <v>7.- R Vikrant 8150418-OT_014406  Reencauche EG01-2122 RECHAZO No apto para reencauche</v>
      </c>
      <c r="Z82" s="19" t="str">
        <f>CONCATENATE(I82,J82)</f>
        <v>ReencaucheReenc. MASTERCAUCHO</v>
      </c>
    </row>
    <row r="83" spans="2:26" ht="15.2" customHeight="1">
      <c r="B83" s="37"/>
      <c r="E83" s="3228">
        <v>1</v>
      </c>
      <c r="F83" s="2297" t="s">
        <v>723</v>
      </c>
      <c r="G83" s="68" t="s">
        <v>724</v>
      </c>
      <c r="H83" s="69" t="s">
        <v>4049</v>
      </c>
      <c r="I83" s="2014" t="s">
        <v>726</v>
      </c>
      <c r="J83" s="70" t="s">
        <v>760</v>
      </c>
      <c r="K83" s="2305" t="s">
        <v>4056</v>
      </c>
      <c r="L83" s="72">
        <v>43844</v>
      </c>
      <c r="M83" s="73" t="s">
        <v>19</v>
      </c>
      <c r="N83" s="74">
        <v>43850</v>
      </c>
      <c r="O83" s="75">
        <v>43850</v>
      </c>
      <c r="P83" s="2765" t="s">
        <v>4061</v>
      </c>
      <c r="Q83" s="2954">
        <v>100.9</v>
      </c>
      <c r="R83" s="76"/>
      <c r="S83" s="1945" t="s">
        <v>731</v>
      </c>
      <c r="T83" s="77" t="s">
        <v>2570</v>
      </c>
      <c r="U83" s="1893"/>
      <c r="V83" s="2079">
        <f t="shared" si="10"/>
        <v>119.062</v>
      </c>
      <c r="W83" s="78">
        <f t="shared" si="11"/>
        <v>0</v>
      </c>
      <c r="X83" s="1878" t="str">
        <f t="shared" si="12"/>
        <v>1.- R Aeolus 0350615-OT_265711  Reencauche F101-00023178 IDY3-220</v>
      </c>
      <c r="Z83" s="19" t="str">
        <f t="shared" si="13"/>
        <v>ReencaucheReencauchadora RENOVA</v>
      </c>
    </row>
    <row r="84" spans="2:26" ht="15.2" customHeight="1">
      <c r="B84" s="37"/>
      <c r="E84" s="3228">
        <v>2</v>
      </c>
      <c r="F84" s="2297" t="s">
        <v>723</v>
      </c>
      <c r="G84" s="68" t="s">
        <v>724</v>
      </c>
      <c r="H84" s="69" t="s">
        <v>4050</v>
      </c>
      <c r="I84" s="2014" t="s">
        <v>726</v>
      </c>
      <c r="J84" s="70" t="s">
        <v>760</v>
      </c>
      <c r="K84" s="2305" t="s">
        <v>4056</v>
      </c>
      <c r="L84" s="72">
        <v>43844</v>
      </c>
      <c r="M84" s="73" t="s">
        <v>19</v>
      </c>
      <c r="N84" s="74">
        <v>43850</v>
      </c>
      <c r="O84" s="75">
        <v>43850</v>
      </c>
      <c r="P84" s="2765" t="s">
        <v>4061</v>
      </c>
      <c r="Q84" s="2954">
        <v>100.9</v>
      </c>
      <c r="R84" s="76"/>
      <c r="S84" s="1945" t="s">
        <v>731</v>
      </c>
      <c r="T84" s="77" t="s">
        <v>2570</v>
      </c>
      <c r="U84" s="1893"/>
      <c r="V84" s="2079">
        <f t="shared" si="10"/>
        <v>119.062</v>
      </c>
      <c r="W84" s="78">
        <f t="shared" si="11"/>
        <v>0</v>
      </c>
      <c r="X84" s="1878" t="str">
        <f t="shared" si="12"/>
        <v>2.- R Aeolus 0490517-OT_265711  Reencauche F101-00023178 IDY3-220</v>
      </c>
      <c r="Z84" s="19" t="str">
        <f t="shared" si="13"/>
        <v>ReencaucheReencauchadora RENOVA</v>
      </c>
    </row>
    <row r="85" spans="2:26" ht="15.2" customHeight="1">
      <c r="B85" s="37"/>
      <c r="E85" s="3228">
        <v>3</v>
      </c>
      <c r="F85" s="2297" t="s">
        <v>723</v>
      </c>
      <c r="G85" s="68" t="s">
        <v>737</v>
      </c>
      <c r="H85" s="69" t="s">
        <v>4052</v>
      </c>
      <c r="I85" s="2014" t="s">
        <v>726</v>
      </c>
      <c r="J85" s="70" t="s">
        <v>760</v>
      </c>
      <c r="K85" s="2305" t="s">
        <v>4056</v>
      </c>
      <c r="L85" s="72">
        <v>43844</v>
      </c>
      <c r="M85" s="73" t="s">
        <v>19</v>
      </c>
      <c r="N85" s="74">
        <v>43850</v>
      </c>
      <c r="O85" s="75">
        <v>43850</v>
      </c>
      <c r="P85" s="2765" t="s">
        <v>4061</v>
      </c>
      <c r="Q85" s="2954">
        <v>100.9</v>
      </c>
      <c r="R85" s="76"/>
      <c r="S85" s="1945" t="s">
        <v>731</v>
      </c>
      <c r="T85" s="77" t="s">
        <v>2570</v>
      </c>
      <c r="U85" s="1893"/>
      <c r="V85" s="2079">
        <f t="shared" si="10"/>
        <v>119.062</v>
      </c>
      <c r="W85" s="78">
        <f t="shared" si="11"/>
        <v>0</v>
      </c>
      <c r="X85" s="1878" t="str">
        <f t="shared" si="12"/>
        <v>3.- R Vikrant 0900917-OT_265711  Reencauche F101-00023178 IDY3-220</v>
      </c>
      <c r="Z85" s="19" t="str">
        <f t="shared" si="13"/>
        <v>ReencaucheReencauchadora RENOVA</v>
      </c>
    </row>
    <row r="86" spans="2:26" ht="15.2" customHeight="1">
      <c r="B86" s="37"/>
      <c r="E86" s="3228">
        <v>4</v>
      </c>
      <c r="F86" s="2297" t="s">
        <v>723</v>
      </c>
      <c r="G86" s="68" t="s">
        <v>151</v>
      </c>
      <c r="H86" s="69" t="s">
        <v>4054</v>
      </c>
      <c r="I86" s="2014" t="s">
        <v>726</v>
      </c>
      <c r="J86" s="70" t="s">
        <v>760</v>
      </c>
      <c r="K86" s="2305" t="s">
        <v>4056</v>
      </c>
      <c r="L86" s="72">
        <v>43844</v>
      </c>
      <c r="M86" s="73" t="s">
        <v>19</v>
      </c>
      <c r="N86" s="74">
        <v>43850</v>
      </c>
      <c r="O86" s="75">
        <v>43850</v>
      </c>
      <c r="P86" s="2765" t="s">
        <v>4061</v>
      </c>
      <c r="Q86" s="2954">
        <v>100.9</v>
      </c>
      <c r="R86" s="76"/>
      <c r="S86" s="1945" t="s">
        <v>731</v>
      </c>
      <c r="T86" s="77" t="s">
        <v>2570</v>
      </c>
      <c r="U86" s="1893"/>
      <c r="V86" s="2079">
        <f t="shared" si="10"/>
        <v>119.062</v>
      </c>
      <c r="W86" s="78">
        <f t="shared" si="11"/>
        <v>0</v>
      </c>
      <c r="X86" s="1878" t="str">
        <f t="shared" si="12"/>
        <v>4.- R WindPower 0060116-OT_265711  Reencauche F101-00023178 IDY3-220</v>
      </c>
      <c r="Z86" s="19" t="str">
        <f t="shared" si="13"/>
        <v>ReencaucheReencauchadora RENOVA</v>
      </c>
    </row>
    <row r="87" spans="2:26" ht="15.2" customHeight="1">
      <c r="B87" s="37"/>
      <c r="E87" s="3230">
        <v>5</v>
      </c>
      <c r="F87" s="2297" t="s">
        <v>723</v>
      </c>
      <c r="G87" s="68" t="s">
        <v>151</v>
      </c>
      <c r="H87" s="69" t="s">
        <v>4055</v>
      </c>
      <c r="I87" s="2014" t="s">
        <v>726</v>
      </c>
      <c r="J87" s="70" t="s">
        <v>760</v>
      </c>
      <c r="K87" s="2305" t="s">
        <v>4056</v>
      </c>
      <c r="L87" s="72">
        <v>43844</v>
      </c>
      <c r="M87" s="2306" t="s">
        <v>19</v>
      </c>
      <c r="N87" s="74">
        <v>43850</v>
      </c>
      <c r="O87" s="75">
        <f t="shared" si="9"/>
        <v>43850</v>
      </c>
      <c r="P87" s="2765" t="s">
        <v>4061</v>
      </c>
      <c r="Q87" s="2954">
        <f>100.9</f>
        <v>100.9</v>
      </c>
      <c r="R87" s="76"/>
      <c r="S87" s="1945" t="s">
        <v>731</v>
      </c>
      <c r="T87" s="77" t="s">
        <v>2570</v>
      </c>
      <c r="U87" s="1893"/>
      <c r="V87" s="2079">
        <f t="shared" si="10"/>
        <v>119.062</v>
      </c>
      <c r="W87" s="78">
        <f t="shared" si="11"/>
        <v>0</v>
      </c>
      <c r="X87" s="1878" t="str">
        <f t="shared" si="12"/>
        <v>5.- R WindPower 0641015-OT_265711  Reencauche F101-00023178 IDY3-220</v>
      </c>
      <c r="Z87" s="19" t="str">
        <f t="shared" si="13"/>
        <v>ReencaucheReencauchadora RENOVA</v>
      </c>
    </row>
    <row r="88" spans="2:26" ht="15.2" customHeight="1">
      <c r="B88" s="37"/>
      <c r="E88" s="3230">
        <v>6</v>
      </c>
      <c r="F88" s="2297" t="s">
        <v>723</v>
      </c>
      <c r="G88" s="68" t="s">
        <v>737</v>
      </c>
      <c r="H88" s="69" t="s">
        <v>4053</v>
      </c>
      <c r="I88" s="2014" t="s">
        <v>726</v>
      </c>
      <c r="J88" s="70" t="s">
        <v>760</v>
      </c>
      <c r="K88" s="2305" t="s">
        <v>4056</v>
      </c>
      <c r="L88" s="72">
        <v>43844</v>
      </c>
      <c r="M88" s="2306" t="s">
        <v>19</v>
      </c>
      <c r="N88" s="74">
        <v>43850</v>
      </c>
      <c r="O88" s="75">
        <f>+N88</f>
        <v>43850</v>
      </c>
      <c r="P88" s="2765" t="s">
        <v>4062</v>
      </c>
      <c r="Q88" s="2954">
        <v>0</v>
      </c>
      <c r="R88" s="76"/>
      <c r="S88" s="1945" t="s">
        <v>731</v>
      </c>
      <c r="T88" s="77" t="s">
        <v>3612</v>
      </c>
      <c r="U88" s="1893"/>
      <c r="V88" s="2079">
        <f>+Q88*(1.18)</f>
        <v>0</v>
      </c>
      <c r="W88" s="78">
        <f>+R88*(1.18)</f>
        <v>0</v>
      </c>
      <c r="X88" s="1878" t="str">
        <f>CONCATENATE(E88,".- ",F88," ",G88," ",H88,"-OT_",K88," "," ",I88," ",P88," ",T88)</f>
        <v>6.- R Vikrant 0910917-OT_265711  Reencauche G030-0084706 RECHAZO No apto para reencauche</v>
      </c>
      <c r="Z88" s="19" t="str">
        <f>CONCATENATE(I88,J88)</f>
        <v>ReencaucheReencauchadora RENOVA</v>
      </c>
    </row>
    <row r="89" spans="2:26" ht="15.2" customHeight="1">
      <c r="B89" s="37"/>
      <c r="E89" s="79">
        <v>7</v>
      </c>
      <c r="F89" s="2294" t="s">
        <v>723</v>
      </c>
      <c r="G89" s="81" t="s">
        <v>724</v>
      </c>
      <c r="H89" s="82" t="s">
        <v>4051</v>
      </c>
      <c r="I89" s="2015" t="s">
        <v>726</v>
      </c>
      <c r="J89" s="83" t="s">
        <v>760</v>
      </c>
      <c r="K89" s="2295" t="s">
        <v>4056</v>
      </c>
      <c r="L89" s="85">
        <v>43844</v>
      </c>
      <c r="M89" s="2296" t="s">
        <v>19</v>
      </c>
      <c r="N89" s="87">
        <v>43850</v>
      </c>
      <c r="O89" s="88">
        <f>+N89</f>
        <v>43850</v>
      </c>
      <c r="P89" s="2766" t="s">
        <v>4062</v>
      </c>
      <c r="Q89" s="2955">
        <v>0</v>
      </c>
      <c r="R89" s="89"/>
      <c r="S89" s="1946" t="s">
        <v>731</v>
      </c>
      <c r="T89" s="77" t="s">
        <v>3612</v>
      </c>
      <c r="U89" s="1893"/>
      <c r="V89" s="2079">
        <f>+Q89*(1.18)</f>
        <v>0</v>
      </c>
      <c r="W89" s="78">
        <f>+R89*(1.18)</f>
        <v>0</v>
      </c>
      <c r="X89" s="1878" t="str">
        <f>CONCATENATE(E89,".- ",F89," ",G89," ",H89,"-OT_",K89," "," ",I89," ",P89," ",T89)</f>
        <v>7.- R Aeolus 1021216-OT_265711  Reencauche G030-0084706 RECHAZO No apto para reencauche</v>
      </c>
      <c r="Z89" s="19" t="str">
        <f>CONCATENATE(I89,J89)</f>
        <v>ReencaucheReencauchadora RENOVA</v>
      </c>
    </row>
    <row r="90" spans="2:26" ht="15.2" customHeight="1">
      <c r="B90" s="37"/>
      <c r="E90" s="3228">
        <v>1</v>
      </c>
      <c r="F90" s="2297" t="s">
        <v>723</v>
      </c>
      <c r="G90" s="68" t="s">
        <v>724</v>
      </c>
      <c r="H90" s="69" t="s">
        <v>2688</v>
      </c>
      <c r="I90" s="2014" t="s">
        <v>726</v>
      </c>
      <c r="J90" s="70" t="s">
        <v>727</v>
      </c>
      <c r="K90" s="2305" t="s">
        <v>4048</v>
      </c>
      <c r="L90" s="72">
        <v>43837</v>
      </c>
      <c r="M90" s="2306" t="s">
        <v>19</v>
      </c>
      <c r="N90" s="74">
        <v>43847</v>
      </c>
      <c r="O90" s="75">
        <v>43819</v>
      </c>
      <c r="P90" s="2765" t="s">
        <v>4059</v>
      </c>
      <c r="Q90" s="2954"/>
      <c r="R90" s="76">
        <v>279.661</v>
      </c>
      <c r="S90" s="1945" t="s">
        <v>731</v>
      </c>
      <c r="T90" s="77" t="s">
        <v>2712</v>
      </c>
      <c r="U90" s="1893"/>
      <c r="V90" s="2079">
        <f t="shared" ref="V90:V104" si="30">+Q90*(1.18)</f>
        <v>0</v>
      </c>
      <c r="W90" s="78">
        <f t="shared" ref="W90:W104" si="31">+R90*(1.18)</f>
        <v>329.99997999999999</v>
      </c>
      <c r="X90" s="1878" t="str">
        <f t="shared" ref="X90:X104" si="32">CONCATENATE(E90,".- ",F90," ",G90," ",H90,"-OT_",K90," "," ",I90," ",P90," ",T90)</f>
        <v>1.- R Aeolus 0020116-OT_014172  Reencauche E001-925 MDY-220</v>
      </c>
      <c r="Z90" s="19" t="str">
        <f t="shared" ref="Z90:Z104" si="33">CONCATENATE(I90,J90)</f>
        <v>ReencaucheReenc. MASTERCAUCHO</v>
      </c>
    </row>
    <row r="91" spans="2:26" ht="15.2" customHeight="1">
      <c r="B91" s="37"/>
      <c r="E91" s="3229">
        <v>2</v>
      </c>
      <c r="F91" s="2297" t="s">
        <v>723</v>
      </c>
      <c r="G91" s="68" t="s">
        <v>737</v>
      </c>
      <c r="H91" s="69" t="s">
        <v>3985</v>
      </c>
      <c r="I91" s="2014" t="s">
        <v>726</v>
      </c>
      <c r="J91" s="70" t="s">
        <v>727</v>
      </c>
      <c r="K91" s="2305" t="s">
        <v>4048</v>
      </c>
      <c r="L91" s="72">
        <v>43837</v>
      </c>
      <c r="M91" s="2306" t="s">
        <v>19</v>
      </c>
      <c r="N91" s="74">
        <v>43847</v>
      </c>
      <c r="O91" s="75">
        <v>43819</v>
      </c>
      <c r="P91" s="2765" t="s">
        <v>4059</v>
      </c>
      <c r="Q91" s="2954"/>
      <c r="R91" s="76">
        <v>279.661</v>
      </c>
      <c r="S91" s="1945" t="s">
        <v>731</v>
      </c>
      <c r="T91" s="77" t="s">
        <v>2712</v>
      </c>
      <c r="U91" s="1893"/>
      <c r="V91" s="2079">
        <f t="shared" ref="V91" si="34">+Q91*(1.18)</f>
        <v>0</v>
      </c>
      <c r="W91" s="78">
        <f t="shared" ref="W91" si="35">+R91*(1.18)</f>
        <v>329.99997999999999</v>
      </c>
      <c r="X91" s="1878" t="str">
        <f t="shared" ref="X91" si="36">CONCATENATE(E91,".- ",F91," ",G91," ",H91,"-OT_",K91," "," ",I91," ",P91," ",T91)</f>
        <v>2.- R Vikrant 0971017-OT_014172  Reencauche E001-925 MDY-220</v>
      </c>
      <c r="Z91" s="19" t="str">
        <f t="shared" ref="Z91" si="37">CONCATENATE(I91,J91)</f>
        <v>ReencaucheReenc. MASTERCAUCHO</v>
      </c>
    </row>
    <row r="92" spans="2:26" ht="15.2" customHeight="1">
      <c r="B92" s="37"/>
      <c r="E92" s="3228">
        <v>3</v>
      </c>
      <c r="F92" s="3131" t="s">
        <v>723</v>
      </c>
      <c r="G92" s="2263" t="s">
        <v>757</v>
      </c>
      <c r="H92" s="2265" t="s">
        <v>4046</v>
      </c>
      <c r="I92" s="3178" t="s">
        <v>3224</v>
      </c>
      <c r="J92" s="2266" t="s">
        <v>727</v>
      </c>
      <c r="K92" s="3133" t="s">
        <v>857</v>
      </c>
      <c r="L92" s="2268"/>
      <c r="M92" s="3122" t="s">
        <v>19</v>
      </c>
      <c r="N92" s="2270">
        <v>43847</v>
      </c>
      <c r="O92" s="2271">
        <v>43819</v>
      </c>
      <c r="P92" s="2270" t="s">
        <v>4059</v>
      </c>
      <c r="Q92" s="2956"/>
      <c r="R92" s="2272">
        <v>211.864</v>
      </c>
      <c r="S92" s="2273" t="s">
        <v>731</v>
      </c>
      <c r="T92" s="77" t="s">
        <v>4058</v>
      </c>
      <c r="U92" s="1893"/>
      <c r="V92" s="2079">
        <f t="shared" si="30"/>
        <v>0</v>
      </c>
      <c r="W92" s="78">
        <f t="shared" si="31"/>
        <v>249.99951999999999</v>
      </c>
      <c r="X92" s="1878" t="str">
        <f t="shared" si="32"/>
        <v>3.- R Goodyear 80010120-OT_S/D  Casc 2a trnspl E001-925  Goodyear G751 MSA 4416 U.S:A.</v>
      </c>
      <c r="Z92" s="19" t="str">
        <f t="shared" si="33"/>
        <v>Casc 2a trnsplReenc. MASTERCAUCHO</v>
      </c>
    </row>
    <row r="93" spans="2:26" ht="15.2" customHeight="1">
      <c r="B93" s="37"/>
      <c r="E93" s="3228">
        <v>4</v>
      </c>
      <c r="F93" s="3131" t="s">
        <v>723</v>
      </c>
      <c r="G93" s="2263" t="s">
        <v>757</v>
      </c>
      <c r="H93" s="2265" t="s">
        <v>4047</v>
      </c>
      <c r="I93" s="3178" t="s">
        <v>3224</v>
      </c>
      <c r="J93" s="2266" t="s">
        <v>727</v>
      </c>
      <c r="K93" s="3133" t="s">
        <v>857</v>
      </c>
      <c r="L93" s="2268"/>
      <c r="M93" s="3122" t="s">
        <v>19</v>
      </c>
      <c r="N93" s="2270">
        <v>43847</v>
      </c>
      <c r="O93" s="2271">
        <v>43819</v>
      </c>
      <c r="P93" s="2270" t="s">
        <v>4059</v>
      </c>
      <c r="Q93" s="2956"/>
      <c r="R93" s="2272">
        <v>211.864</v>
      </c>
      <c r="S93" s="2273" t="s">
        <v>731</v>
      </c>
      <c r="T93" s="77" t="s">
        <v>4058</v>
      </c>
      <c r="U93" s="1893"/>
      <c r="V93" s="2079">
        <f t="shared" si="30"/>
        <v>0</v>
      </c>
      <c r="W93" s="78">
        <f t="shared" si="31"/>
        <v>249.99951999999999</v>
      </c>
      <c r="X93" s="1878" t="str">
        <f t="shared" si="32"/>
        <v>4.- R Goodyear 80020120-OT_S/D  Casc 2a trnspl E001-925  Goodyear G751 MSA 4416 U.S:A.</v>
      </c>
      <c r="Z93" s="19" t="str">
        <f t="shared" si="33"/>
        <v>Casc 2a trnsplReenc. MASTERCAUCHO</v>
      </c>
    </row>
    <row r="94" spans="2:26" ht="15.2" customHeight="1">
      <c r="B94" s="37"/>
      <c r="E94" s="3228">
        <v>5</v>
      </c>
      <c r="F94" s="2297" t="s">
        <v>723</v>
      </c>
      <c r="G94" s="68" t="s">
        <v>724</v>
      </c>
      <c r="H94" s="69" t="s">
        <v>3991</v>
      </c>
      <c r="I94" s="2014" t="s">
        <v>726</v>
      </c>
      <c r="J94" s="70" t="s">
        <v>727</v>
      </c>
      <c r="K94" s="2305" t="s">
        <v>4048</v>
      </c>
      <c r="L94" s="72">
        <v>43837</v>
      </c>
      <c r="M94" s="73" t="s">
        <v>19</v>
      </c>
      <c r="N94" s="74">
        <v>43847</v>
      </c>
      <c r="O94" s="75">
        <v>43819</v>
      </c>
      <c r="P94" s="2765" t="s">
        <v>4060</v>
      </c>
      <c r="Q94" s="2954"/>
      <c r="R94" s="76">
        <v>0</v>
      </c>
      <c r="S94" s="1945" t="s">
        <v>731</v>
      </c>
      <c r="T94" s="77" t="s">
        <v>3612</v>
      </c>
      <c r="U94" s="1893"/>
      <c r="V94" s="2079">
        <f>+Q94*(1.18)</f>
        <v>0</v>
      </c>
      <c r="W94" s="78">
        <f>+R94*(1.18)</f>
        <v>0</v>
      </c>
      <c r="X94" s="1878" t="str">
        <f>CONCATENATE(E94,".- ",F94," ",G94," ",H94,"-OT_",K94," "," ",I94," ",P94," ",T94)</f>
        <v>5.- R Aeolus 0540616-OT_014172  Reencauche EG01-2065 RECHAZO No apto para reencauche</v>
      </c>
      <c r="Z94" s="19" t="str">
        <f>CONCATENATE(I94,J94)</f>
        <v>ReencaucheReenc. MASTERCAUCHO</v>
      </c>
    </row>
    <row r="95" spans="2:26" ht="15.2" customHeight="1">
      <c r="B95" s="37"/>
      <c r="E95" s="3228">
        <v>6</v>
      </c>
      <c r="F95" s="2297" t="s">
        <v>723</v>
      </c>
      <c r="G95" s="68" t="s">
        <v>737</v>
      </c>
      <c r="H95" s="69" t="s">
        <v>2936</v>
      </c>
      <c r="I95" s="2014" t="s">
        <v>726</v>
      </c>
      <c r="J95" s="70" t="s">
        <v>727</v>
      </c>
      <c r="K95" s="2305" t="s">
        <v>4048</v>
      </c>
      <c r="L95" s="72">
        <v>43837</v>
      </c>
      <c r="M95" s="73" t="s">
        <v>19</v>
      </c>
      <c r="N95" s="74">
        <v>43847</v>
      </c>
      <c r="O95" s="75">
        <v>43819</v>
      </c>
      <c r="P95" s="2765" t="s">
        <v>4060</v>
      </c>
      <c r="Q95" s="2954"/>
      <c r="R95" s="76">
        <v>0</v>
      </c>
      <c r="S95" s="1945" t="s">
        <v>731</v>
      </c>
      <c r="T95" s="77" t="s">
        <v>3612</v>
      </c>
      <c r="U95" s="1893"/>
      <c r="V95" s="2079">
        <f>+Q95*(1.18)</f>
        <v>0</v>
      </c>
      <c r="W95" s="78">
        <f>+R95*(1.18)</f>
        <v>0</v>
      </c>
      <c r="X95" s="1878" t="str">
        <f>CONCATENATE(E95,".- ",F95," ",G95," ",H95,"-OT_",K95," "," ",I95," ",P95," ",T95)</f>
        <v>6.- R Vikrant 0390317-OT_014172  Reencauche EG01-2065 RECHAZO No apto para reencauche</v>
      </c>
      <c r="Z95" s="19" t="str">
        <f>CONCATENATE(I95,J95)</f>
        <v>ReencaucheReenc. MASTERCAUCHO</v>
      </c>
    </row>
    <row r="96" spans="2:26" ht="15.2" customHeight="1">
      <c r="B96" s="37"/>
      <c r="E96" s="3228">
        <v>7</v>
      </c>
      <c r="F96" s="2297" t="s">
        <v>723</v>
      </c>
      <c r="G96" s="68" t="s">
        <v>247</v>
      </c>
      <c r="H96" s="69" t="s">
        <v>3178</v>
      </c>
      <c r="I96" s="2014" t="s">
        <v>744</v>
      </c>
      <c r="J96" s="70" t="s">
        <v>727</v>
      </c>
      <c r="K96" s="2305" t="s">
        <v>4048</v>
      </c>
      <c r="L96" s="72">
        <v>43837</v>
      </c>
      <c r="M96" s="73" t="s">
        <v>19</v>
      </c>
      <c r="N96" s="74">
        <v>43847</v>
      </c>
      <c r="O96" s="75">
        <v>43819</v>
      </c>
      <c r="P96" s="2765" t="s">
        <v>4060</v>
      </c>
      <c r="Q96" s="2954"/>
      <c r="R96" s="76">
        <v>0</v>
      </c>
      <c r="S96" s="1945" t="s">
        <v>731</v>
      </c>
      <c r="T96" s="77" t="s">
        <v>2753</v>
      </c>
      <c r="U96" s="1893"/>
      <c r="V96" s="2079">
        <f t="shared" si="30"/>
        <v>0</v>
      </c>
      <c r="W96" s="78">
        <f t="shared" si="31"/>
        <v>0</v>
      </c>
      <c r="X96" s="1878" t="str">
        <f t="shared" si="32"/>
        <v>7.- R Double Happines 8040218-OT_014172  Sacar_Banda EG01-2065 Casco pelado</v>
      </c>
      <c r="Z96" s="19" t="str">
        <f t="shared" si="33"/>
        <v>Sacar_BandaReenc. MASTERCAUCHO</v>
      </c>
    </row>
    <row r="97" spans="2:26" ht="15.2" customHeight="1">
      <c r="B97" s="37"/>
      <c r="E97" s="79">
        <v>8</v>
      </c>
      <c r="F97" s="2294" t="s">
        <v>723</v>
      </c>
      <c r="G97" s="81" t="s">
        <v>737</v>
      </c>
      <c r="H97" s="82" t="s">
        <v>3129</v>
      </c>
      <c r="I97" s="2015" t="s">
        <v>744</v>
      </c>
      <c r="J97" s="83" t="s">
        <v>727</v>
      </c>
      <c r="K97" s="2295" t="s">
        <v>4048</v>
      </c>
      <c r="L97" s="85">
        <v>43837</v>
      </c>
      <c r="M97" s="86" t="s">
        <v>19</v>
      </c>
      <c r="N97" s="87">
        <v>43847</v>
      </c>
      <c r="O97" s="88">
        <v>43819</v>
      </c>
      <c r="P97" s="2766" t="s">
        <v>4060</v>
      </c>
      <c r="Q97" s="2955"/>
      <c r="R97" s="89">
        <v>0</v>
      </c>
      <c r="S97" s="1946" t="s">
        <v>731</v>
      </c>
      <c r="T97" s="77" t="s">
        <v>2753</v>
      </c>
      <c r="U97" s="1893"/>
      <c r="V97" s="2079">
        <f t="shared" si="30"/>
        <v>0</v>
      </c>
      <c r="W97" s="78">
        <f t="shared" si="31"/>
        <v>0</v>
      </c>
      <c r="X97" s="1878" t="str">
        <f t="shared" si="32"/>
        <v>8.- R Vikrant 0620617-OT_014172  Sacar_Banda EG01-2065 Casco pelado</v>
      </c>
      <c r="Z97" s="19" t="str">
        <f t="shared" si="33"/>
        <v>Sacar_BandaReenc. MASTERCAUCHO</v>
      </c>
    </row>
    <row r="98" spans="2:26" ht="15.2" customHeight="1">
      <c r="B98" s="37"/>
      <c r="E98" s="3220">
        <v>1</v>
      </c>
      <c r="F98" s="2297" t="s">
        <v>723</v>
      </c>
      <c r="G98" s="68" t="s">
        <v>724</v>
      </c>
      <c r="H98" s="69" t="s">
        <v>2687</v>
      </c>
      <c r="I98" s="2014" t="s">
        <v>726</v>
      </c>
      <c r="J98" s="70" t="s">
        <v>727</v>
      </c>
      <c r="K98" s="2305" t="s">
        <v>4035</v>
      </c>
      <c r="L98" s="72">
        <v>43822</v>
      </c>
      <c r="M98" s="73" t="s">
        <v>19</v>
      </c>
      <c r="N98" s="74">
        <v>43827</v>
      </c>
      <c r="O98" s="75">
        <v>43819</v>
      </c>
      <c r="P98" s="2765" t="s">
        <v>4043</v>
      </c>
      <c r="Q98" s="2954"/>
      <c r="R98" s="76">
        <v>279.661</v>
      </c>
      <c r="S98" s="1945" t="s">
        <v>731</v>
      </c>
      <c r="T98" s="77" t="s">
        <v>2712</v>
      </c>
      <c r="U98" s="1893"/>
      <c r="V98" s="2079">
        <f t="shared" si="30"/>
        <v>0</v>
      </c>
      <c r="W98" s="78">
        <f t="shared" si="31"/>
        <v>329.99997999999999</v>
      </c>
      <c r="X98" s="1878" t="str">
        <f t="shared" si="32"/>
        <v>1.- R Aeolus 0010116-OT_02767  Reencauche F001-747 MDY-220</v>
      </c>
      <c r="Z98" s="19" t="str">
        <f t="shared" si="33"/>
        <v>ReencaucheReenc. MASTERCAUCHO</v>
      </c>
    </row>
    <row r="99" spans="2:26" ht="15.2" customHeight="1">
      <c r="B99" s="37"/>
      <c r="E99" s="3220">
        <v>2</v>
      </c>
      <c r="F99" s="2297" t="s">
        <v>723</v>
      </c>
      <c r="G99" s="68" t="s">
        <v>724</v>
      </c>
      <c r="H99" s="69" t="s">
        <v>3992</v>
      </c>
      <c r="I99" s="2014" t="s">
        <v>726</v>
      </c>
      <c r="J99" s="70" t="s">
        <v>727</v>
      </c>
      <c r="K99" s="2305" t="s">
        <v>4035</v>
      </c>
      <c r="L99" s="72">
        <v>43822</v>
      </c>
      <c r="M99" s="73" t="s">
        <v>19</v>
      </c>
      <c r="N99" s="74">
        <v>43827</v>
      </c>
      <c r="O99" s="75">
        <v>43819</v>
      </c>
      <c r="P99" s="2765" t="s">
        <v>4043</v>
      </c>
      <c r="Q99" s="2954"/>
      <c r="R99" s="76">
        <v>279.661</v>
      </c>
      <c r="S99" s="1945" t="s">
        <v>731</v>
      </c>
      <c r="T99" s="77" t="s">
        <v>2712</v>
      </c>
      <c r="U99" s="1893"/>
      <c r="V99" s="2079">
        <f t="shared" si="30"/>
        <v>0</v>
      </c>
      <c r="W99" s="78">
        <f t="shared" si="31"/>
        <v>329.99997999999999</v>
      </c>
      <c r="X99" s="1878" t="str">
        <f t="shared" si="32"/>
        <v>2.- R Aeolus 0530616-OT_02767  Reencauche F001-747 MDY-220</v>
      </c>
      <c r="Z99" s="19" t="str">
        <f t="shared" si="33"/>
        <v>ReencaucheReenc. MASTERCAUCHO</v>
      </c>
    </row>
    <row r="100" spans="2:26" ht="15.2" customHeight="1">
      <c r="B100" s="37"/>
      <c r="E100" s="3220">
        <v>3</v>
      </c>
      <c r="F100" s="2297" t="s">
        <v>723</v>
      </c>
      <c r="G100" s="68" t="s">
        <v>151</v>
      </c>
      <c r="H100" s="69" t="s">
        <v>2816</v>
      </c>
      <c r="I100" s="3067" t="s">
        <v>811</v>
      </c>
      <c r="J100" s="70" t="s">
        <v>727</v>
      </c>
      <c r="K100" s="2305" t="s">
        <v>4035</v>
      </c>
      <c r="L100" s="72">
        <v>43822</v>
      </c>
      <c r="M100" s="73" t="s">
        <v>19</v>
      </c>
      <c r="N100" s="74">
        <v>43827</v>
      </c>
      <c r="O100" s="75">
        <v>43819</v>
      </c>
      <c r="P100" s="2765" t="s">
        <v>4043</v>
      </c>
      <c r="Q100" s="2954"/>
      <c r="R100" s="76">
        <v>84.745000000000005</v>
      </c>
      <c r="S100" s="1945" t="s">
        <v>731</v>
      </c>
      <c r="T100" s="77" t="s">
        <v>3829</v>
      </c>
      <c r="U100" s="1893"/>
      <c r="V100" s="2079">
        <f t="shared" si="30"/>
        <v>0</v>
      </c>
      <c r="W100" s="78">
        <f t="shared" si="31"/>
        <v>99.999099999999999</v>
      </c>
      <c r="X100" s="1878" t="str">
        <f t="shared" si="32"/>
        <v>3.- R WindPower 0741115-OT_02767  Vulcanizado (curación) F001-747 REPARACION EN FLANCO</v>
      </c>
      <c r="Z100" s="19" t="str">
        <f t="shared" si="33"/>
        <v>Vulcanizado (curación)Reenc. MASTERCAUCHO</v>
      </c>
    </row>
    <row r="101" spans="2:26" ht="15.2" customHeight="1">
      <c r="B101" s="37"/>
      <c r="E101" s="3220">
        <v>4</v>
      </c>
      <c r="F101" s="3131" t="s">
        <v>723</v>
      </c>
      <c r="G101" s="2263" t="s">
        <v>3702</v>
      </c>
      <c r="H101" s="2265" t="s">
        <v>4031</v>
      </c>
      <c r="I101" s="3178" t="s">
        <v>3224</v>
      </c>
      <c r="J101" s="2266" t="s">
        <v>727</v>
      </c>
      <c r="K101" s="3133" t="s">
        <v>857</v>
      </c>
      <c r="L101" s="2268"/>
      <c r="M101" s="3122" t="s">
        <v>19</v>
      </c>
      <c r="N101" s="2270">
        <v>43827</v>
      </c>
      <c r="O101" s="2271">
        <v>43819</v>
      </c>
      <c r="P101" s="2270" t="s">
        <v>4043</v>
      </c>
      <c r="Q101" s="2956"/>
      <c r="R101" s="2272">
        <v>211.864</v>
      </c>
      <c r="S101" s="2273" t="s">
        <v>731</v>
      </c>
      <c r="T101" s="2274" t="s">
        <v>4042</v>
      </c>
      <c r="U101" s="1893"/>
      <c r="V101" s="2079">
        <f t="shared" si="30"/>
        <v>0</v>
      </c>
      <c r="W101" s="78">
        <f t="shared" si="31"/>
        <v>249.99951999999999</v>
      </c>
      <c r="X101" s="1878" t="str">
        <f t="shared" si="32"/>
        <v>4.- R Ovation  8601219-OT_S/D  Casc 2a trnspl F001-747   Ovation VI-638 4417 China</v>
      </c>
      <c r="Z101" s="19" t="str">
        <f t="shared" si="33"/>
        <v>Casc 2a trnsplReenc. MASTERCAUCHO</v>
      </c>
    </row>
    <row r="102" spans="2:26" ht="15.2" customHeight="1">
      <c r="B102" s="37"/>
      <c r="E102" s="3220">
        <v>5</v>
      </c>
      <c r="F102" s="3131" t="s">
        <v>723</v>
      </c>
      <c r="G102" s="2263" t="s">
        <v>3702</v>
      </c>
      <c r="H102" s="2265" t="s">
        <v>4032</v>
      </c>
      <c r="I102" s="3178" t="s">
        <v>3224</v>
      </c>
      <c r="J102" s="2266" t="s">
        <v>727</v>
      </c>
      <c r="K102" s="3133" t="s">
        <v>857</v>
      </c>
      <c r="L102" s="2268"/>
      <c r="M102" s="3122" t="s">
        <v>19</v>
      </c>
      <c r="N102" s="2270">
        <v>43827</v>
      </c>
      <c r="O102" s="2271">
        <v>43819</v>
      </c>
      <c r="P102" s="2270" t="s">
        <v>4043</v>
      </c>
      <c r="Q102" s="2956"/>
      <c r="R102" s="2272">
        <v>211.864</v>
      </c>
      <c r="S102" s="2273" t="s">
        <v>731</v>
      </c>
      <c r="T102" s="2274" t="s">
        <v>4042</v>
      </c>
      <c r="U102" s="1893"/>
      <c r="V102" s="2079">
        <f t="shared" si="30"/>
        <v>0</v>
      </c>
      <c r="W102" s="78">
        <f t="shared" si="31"/>
        <v>249.99951999999999</v>
      </c>
      <c r="X102" s="1878" t="str">
        <f t="shared" si="32"/>
        <v>5.- R Ovation  8611219-OT_S/D  Casc 2a trnspl F001-747   Ovation VI-638 4417 China</v>
      </c>
      <c r="Z102" s="19" t="str">
        <f t="shared" si="33"/>
        <v>Casc 2a trnsplReenc. MASTERCAUCHO</v>
      </c>
    </row>
    <row r="103" spans="2:26" ht="15.2" customHeight="1">
      <c r="B103" s="37"/>
      <c r="E103" s="3220">
        <v>6</v>
      </c>
      <c r="F103" s="2297" t="s">
        <v>732</v>
      </c>
      <c r="G103" s="68" t="s">
        <v>2877</v>
      </c>
      <c r="H103" s="69" t="s">
        <v>4033</v>
      </c>
      <c r="I103" s="2014" t="s">
        <v>744</v>
      </c>
      <c r="J103" s="70" t="s">
        <v>727</v>
      </c>
      <c r="K103" s="2305" t="s">
        <v>4035</v>
      </c>
      <c r="L103" s="72">
        <v>43822</v>
      </c>
      <c r="M103" s="73" t="s">
        <v>19</v>
      </c>
      <c r="N103" s="74">
        <v>43827</v>
      </c>
      <c r="O103" s="75">
        <v>43819</v>
      </c>
      <c r="P103" s="2765" t="s">
        <v>4044</v>
      </c>
      <c r="Q103" s="2954"/>
      <c r="R103" s="76">
        <v>0</v>
      </c>
      <c r="S103" s="1945" t="s">
        <v>731</v>
      </c>
      <c r="T103" s="77" t="s">
        <v>2753</v>
      </c>
      <c r="U103" s="1893"/>
      <c r="V103" s="2079">
        <f t="shared" si="30"/>
        <v>0</v>
      </c>
      <c r="W103" s="78">
        <f t="shared" si="31"/>
        <v>0</v>
      </c>
      <c r="X103" s="1878" t="str">
        <f t="shared" si="32"/>
        <v>6.- C Pirelli 8220418-OT_02767  Sacar_Banda EG01-1970 Casco pelado</v>
      </c>
      <c r="Z103" s="19" t="str">
        <f t="shared" si="33"/>
        <v>Sacar_BandaReenc. MASTERCAUCHO</v>
      </c>
    </row>
    <row r="104" spans="2:26" ht="15.2" customHeight="1">
      <c r="B104" s="37"/>
      <c r="E104" s="3227">
        <v>7</v>
      </c>
      <c r="F104" s="2297" t="s">
        <v>732</v>
      </c>
      <c r="G104" s="68" t="s">
        <v>733</v>
      </c>
      <c r="H104" s="69" t="s">
        <v>1093</v>
      </c>
      <c r="I104" s="2014" t="s">
        <v>744</v>
      </c>
      <c r="J104" s="70" t="s">
        <v>727</v>
      </c>
      <c r="K104" s="2305" t="s">
        <v>4035</v>
      </c>
      <c r="L104" s="72">
        <v>43822</v>
      </c>
      <c r="M104" s="73" t="s">
        <v>19</v>
      </c>
      <c r="N104" s="74">
        <v>43827</v>
      </c>
      <c r="O104" s="75">
        <v>43819</v>
      </c>
      <c r="P104" s="2765" t="s">
        <v>4044</v>
      </c>
      <c r="Q104" s="2954"/>
      <c r="R104" s="76">
        <v>0</v>
      </c>
      <c r="S104" s="1945" t="s">
        <v>731</v>
      </c>
      <c r="T104" s="77" t="s">
        <v>2753</v>
      </c>
      <c r="U104" s="1893"/>
      <c r="V104" s="2079">
        <f t="shared" si="30"/>
        <v>0</v>
      </c>
      <c r="W104" s="78">
        <f t="shared" si="31"/>
        <v>0</v>
      </c>
      <c r="X104" s="1878" t="str">
        <f t="shared" si="32"/>
        <v>7.- C Lima Caucho 1021210-OT_02767  Sacar_Banda EG01-1970 Casco pelado</v>
      </c>
      <c r="Z104" s="19" t="str">
        <f t="shared" si="33"/>
        <v>Sacar_BandaReenc. MASTERCAUCHO</v>
      </c>
    </row>
    <row r="105" spans="2:26" ht="15.2" customHeight="1">
      <c r="B105" s="37"/>
      <c r="E105" s="79">
        <v>8</v>
      </c>
      <c r="F105" s="2294" t="s">
        <v>723</v>
      </c>
      <c r="G105" s="81" t="s">
        <v>3633</v>
      </c>
      <c r="H105" s="82" t="s">
        <v>4034</v>
      </c>
      <c r="I105" s="2015" t="s">
        <v>726</v>
      </c>
      <c r="J105" s="83" t="s">
        <v>727</v>
      </c>
      <c r="K105" s="2295" t="s">
        <v>4035</v>
      </c>
      <c r="L105" s="85">
        <v>43822</v>
      </c>
      <c r="M105" s="86" t="s">
        <v>19</v>
      </c>
      <c r="N105" s="87">
        <v>43827</v>
      </c>
      <c r="O105" s="88">
        <v>43819</v>
      </c>
      <c r="P105" s="2766" t="s">
        <v>4044</v>
      </c>
      <c r="Q105" s="2955"/>
      <c r="R105" s="89">
        <v>0</v>
      </c>
      <c r="S105" s="1946" t="s">
        <v>731</v>
      </c>
      <c r="T105" s="77" t="s">
        <v>3612</v>
      </c>
      <c r="U105" s="1893"/>
      <c r="V105" s="2079">
        <f t="shared" ref="V105" si="38">+Q105*(1.18)</f>
        <v>0</v>
      </c>
      <c r="W105" s="78">
        <f t="shared" ref="W105" si="39">+R105*(1.18)</f>
        <v>0</v>
      </c>
      <c r="X105" s="1878" t="str">
        <f t="shared" ref="X105" si="40">CONCATENATE(E105,".- ",F105," ",G105," ",H105,"-OT_",K105," "," ",I105," ",P105," ",T105)</f>
        <v>8.- R Sportrak 0130117-OT_02767  Reencauche EG01-1970 RECHAZO No apto para reencauche</v>
      </c>
      <c r="Z105" s="19" t="str">
        <f t="shared" ref="Z105" si="41">CONCATENATE(I105,J105)</f>
        <v>ReencaucheReenc. MASTERCAUCHO</v>
      </c>
    </row>
    <row r="106" spans="2:26" ht="15.2" customHeight="1">
      <c r="B106" s="37"/>
      <c r="E106" s="3219">
        <v>1</v>
      </c>
      <c r="F106" s="2297" t="s">
        <v>723</v>
      </c>
      <c r="G106" s="68" t="s">
        <v>151</v>
      </c>
      <c r="H106" s="69" t="s">
        <v>4009</v>
      </c>
      <c r="I106" s="2014" t="s">
        <v>726</v>
      </c>
      <c r="J106" s="70" t="s">
        <v>760</v>
      </c>
      <c r="K106" s="2305" t="s">
        <v>4019</v>
      </c>
      <c r="L106" s="72">
        <v>43813</v>
      </c>
      <c r="M106" s="2306" t="s">
        <v>19</v>
      </c>
      <c r="N106" s="74">
        <v>43818</v>
      </c>
      <c r="O106" s="75">
        <f t="shared" ref="O106" si="42">+N106</f>
        <v>43818</v>
      </c>
      <c r="P106" s="2765" t="s">
        <v>4021</v>
      </c>
      <c r="Q106" s="2954">
        <f>100.9</f>
        <v>100.9</v>
      </c>
      <c r="R106" s="76"/>
      <c r="S106" s="1945" t="s">
        <v>731</v>
      </c>
      <c r="T106" s="77" t="s">
        <v>2570</v>
      </c>
      <c r="U106" s="1893"/>
      <c r="V106" s="2079">
        <f t="shared" ref="V106:V114" si="43">+Q106*(1.18)</f>
        <v>119.062</v>
      </c>
      <c r="W106" s="78">
        <f t="shared" ref="W106:W114" si="44">+R106*(1.18)</f>
        <v>0</v>
      </c>
      <c r="X106" s="1878" t="str">
        <f t="shared" ref="X106:X114" si="45">CONCATENATE(E106,".- ",F106," ",G106," ",H106,"-OT_",K106," "," ",I106," ",P106," ",T106)</f>
        <v>1.- R WindPower 0190116-OT_264816  Reencauche F101-00022827 IDY3-220</v>
      </c>
      <c r="Z106" s="19" t="str">
        <f t="shared" ref="Z106:Z114" si="46">CONCATENATE(I106,J106)</f>
        <v>ReencaucheReencauchadora RENOVA</v>
      </c>
    </row>
    <row r="107" spans="2:26" ht="15.2" customHeight="1">
      <c r="B107" s="37"/>
      <c r="E107" s="3219">
        <v>2</v>
      </c>
      <c r="F107" s="2297" t="s">
        <v>723</v>
      </c>
      <c r="G107" s="68" t="s">
        <v>151</v>
      </c>
      <c r="H107" s="69" t="s">
        <v>4010</v>
      </c>
      <c r="I107" s="2014" t="s">
        <v>726</v>
      </c>
      <c r="J107" s="70" t="s">
        <v>760</v>
      </c>
      <c r="K107" s="2305" t="s">
        <v>4019</v>
      </c>
      <c r="L107" s="72">
        <v>43813</v>
      </c>
      <c r="M107" s="73" t="s">
        <v>19</v>
      </c>
      <c r="N107" s="74">
        <v>43818</v>
      </c>
      <c r="O107" s="75">
        <v>43818</v>
      </c>
      <c r="P107" s="2765" t="s">
        <v>4021</v>
      </c>
      <c r="Q107" s="2954">
        <v>100.9</v>
      </c>
      <c r="R107" s="76"/>
      <c r="S107" s="1945" t="s">
        <v>731</v>
      </c>
      <c r="T107" s="77" t="s">
        <v>2570</v>
      </c>
      <c r="U107" s="1893"/>
      <c r="V107" s="2079">
        <f t="shared" si="43"/>
        <v>119.062</v>
      </c>
      <c r="W107" s="78">
        <f t="shared" si="44"/>
        <v>0</v>
      </c>
      <c r="X107" s="1878" t="str">
        <f t="shared" si="45"/>
        <v>2.- R WindPower 0250316-OT_264816  Reencauche F101-00022827 IDY3-220</v>
      </c>
      <c r="Z107" s="19" t="str">
        <f t="shared" si="46"/>
        <v>ReencaucheReencauchadora RENOVA</v>
      </c>
    </row>
    <row r="108" spans="2:26" ht="15.2" customHeight="1">
      <c r="B108" s="37"/>
      <c r="E108" s="3219">
        <v>3</v>
      </c>
      <c r="F108" s="2297" t="s">
        <v>723</v>
      </c>
      <c r="G108" s="68" t="s">
        <v>151</v>
      </c>
      <c r="H108" s="69" t="s">
        <v>4012</v>
      </c>
      <c r="I108" s="2014" t="s">
        <v>726</v>
      </c>
      <c r="J108" s="70" t="s">
        <v>760</v>
      </c>
      <c r="K108" s="2305" t="s">
        <v>4019</v>
      </c>
      <c r="L108" s="72">
        <v>43813</v>
      </c>
      <c r="M108" s="73" t="s">
        <v>19</v>
      </c>
      <c r="N108" s="74">
        <v>43818</v>
      </c>
      <c r="O108" s="75">
        <v>43818</v>
      </c>
      <c r="P108" s="2765" t="s">
        <v>4021</v>
      </c>
      <c r="Q108" s="2954">
        <v>100.9</v>
      </c>
      <c r="R108" s="76"/>
      <c r="S108" s="1945" t="s">
        <v>731</v>
      </c>
      <c r="T108" s="77" t="s">
        <v>2570</v>
      </c>
      <c r="U108" s="1893"/>
      <c r="V108" s="2079">
        <f t="shared" si="43"/>
        <v>119.062</v>
      </c>
      <c r="W108" s="78">
        <f t="shared" si="44"/>
        <v>0</v>
      </c>
      <c r="X108" s="1878" t="str">
        <f t="shared" si="45"/>
        <v>3.- R WindPower 0240316-OT_264816  Reencauche F101-00022827 IDY3-220</v>
      </c>
      <c r="Z108" s="19" t="str">
        <f t="shared" si="46"/>
        <v>ReencaucheReencauchadora RENOVA</v>
      </c>
    </row>
    <row r="109" spans="2:26" ht="15.2" customHeight="1">
      <c r="B109" s="37"/>
      <c r="E109" s="3221">
        <v>4</v>
      </c>
      <c r="F109" s="2297" t="s">
        <v>723</v>
      </c>
      <c r="G109" s="68" t="s">
        <v>151</v>
      </c>
      <c r="H109" s="69" t="s">
        <v>4013</v>
      </c>
      <c r="I109" s="2014" t="s">
        <v>726</v>
      </c>
      <c r="J109" s="70" t="s">
        <v>760</v>
      </c>
      <c r="K109" s="2305" t="s">
        <v>4019</v>
      </c>
      <c r="L109" s="72">
        <v>43813</v>
      </c>
      <c r="M109" s="73" t="s">
        <v>19</v>
      </c>
      <c r="N109" s="74">
        <v>43818</v>
      </c>
      <c r="O109" s="75">
        <v>43818</v>
      </c>
      <c r="P109" s="2765" t="s">
        <v>4021</v>
      </c>
      <c r="Q109" s="2954">
        <v>100.9</v>
      </c>
      <c r="R109" s="76"/>
      <c r="S109" s="1945" t="s">
        <v>731</v>
      </c>
      <c r="T109" s="77" t="s">
        <v>2570</v>
      </c>
      <c r="U109" s="1893"/>
      <c r="V109" s="2079">
        <f t="shared" si="43"/>
        <v>119.062</v>
      </c>
      <c r="W109" s="78">
        <f t="shared" si="44"/>
        <v>0</v>
      </c>
      <c r="X109" s="1878" t="str">
        <f t="shared" si="45"/>
        <v>4.- R WindPower 0230316-OT_264816  Reencauche F101-00022827 IDY3-220</v>
      </c>
      <c r="Z109" s="19" t="str">
        <f t="shared" si="46"/>
        <v>ReencaucheReencauchadora RENOVA</v>
      </c>
    </row>
    <row r="110" spans="2:26" ht="15.2" customHeight="1">
      <c r="B110" s="37"/>
      <c r="E110" s="3221">
        <v>5</v>
      </c>
      <c r="F110" s="2297" t="s">
        <v>723</v>
      </c>
      <c r="G110" s="68" t="s">
        <v>151</v>
      </c>
      <c r="H110" s="69" t="s">
        <v>4014</v>
      </c>
      <c r="I110" s="2014" t="s">
        <v>726</v>
      </c>
      <c r="J110" s="70" t="s">
        <v>760</v>
      </c>
      <c r="K110" s="2305" t="s">
        <v>4019</v>
      </c>
      <c r="L110" s="72">
        <v>43813</v>
      </c>
      <c r="M110" s="73" t="s">
        <v>19</v>
      </c>
      <c r="N110" s="74">
        <v>43818</v>
      </c>
      <c r="O110" s="75">
        <v>43818</v>
      </c>
      <c r="P110" s="2765" t="s">
        <v>4021</v>
      </c>
      <c r="Q110" s="2954">
        <v>100.9</v>
      </c>
      <c r="R110" s="76"/>
      <c r="S110" s="1945" t="s">
        <v>731</v>
      </c>
      <c r="T110" s="77" t="s">
        <v>2570</v>
      </c>
      <c r="U110" s="1893"/>
      <c r="V110" s="2079">
        <f t="shared" si="43"/>
        <v>119.062</v>
      </c>
      <c r="W110" s="78">
        <f t="shared" si="44"/>
        <v>0</v>
      </c>
      <c r="X110" s="1878" t="str">
        <f t="shared" si="45"/>
        <v>5.- R WindPower 0260316-OT_264816  Reencauche F101-00022827 IDY3-220</v>
      </c>
      <c r="Z110" s="19" t="str">
        <f t="shared" si="46"/>
        <v>ReencaucheReencauchadora RENOVA</v>
      </c>
    </row>
    <row r="111" spans="2:26" ht="15.2" customHeight="1">
      <c r="B111" s="37"/>
      <c r="E111" s="3221">
        <v>6</v>
      </c>
      <c r="F111" s="2297" t="s">
        <v>723</v>
      </c>
      <c r="G111" s="68" t="s">
        <v>151</v>
      </c>
      <c r="H111" s="69" t="s">
        <v>3679</v>
      </c>
      <c r="I111" s="2014" t="s">
        <v>726</v>
      </c>
      <c r="J111" s="70" t="s">
        <v>760</v>
      </c>
      <c r="K111" s="2305" t="s">
        <v>4019</v>
      </c>
      <c r="L111" s="72">
        <v>43813</v>
      </c>
      <c r="M111" s="73" t="s">
        <v>19</v>
      </c>
      <c r="N111" s="74">
        <v>43818</v>
      </c>
      <c r="O111" s="75">
        <v>43818</v>
      </c>
      <c r="P111" s="2765" t="s">
        <v>4021</v>
      </c>
      <c r="Q111" s="2954">
        <v>100.9</v>
      </c>
      <c r="R111" s="76"/>
      <c r="S111" s="1945" t="s">
        <v>731</v>
      </c>
      <c r="T111" s="77" t="s">
        <v>2570</v>
      </c>
      <c r="U111" s="1893"/>
      <c r="V111" s="2079">
        <f t="shared" si="43"/>
        <v>119.062</v>
      </c>
      <c r="W111" s="78">
        <f t="shared" si="44"/>
        <v>0</v>
      </c>
      <c r="X111" s="1878" t="str">
        <f t="shared" si="45"/>
        <v>6.- R WindPower 0050116-OT_264816  Reencauche F101-00022827 IDY3-220</v>
      </c>
      <c r="Z111" s="19" t="str">
        <f t="shared" si="46"/>
        <v>ReencaucheReencauchadora RENOVA</v>
      </c>
    </row>
    <row r="112" spans="2:26" ht="15.2" customHeight="1">
      <c r="B112" s="37"/>
      <c r="E112" s="3221">
        <v>7</v>
      </c>
      <c r="F112" s="2297" t="s">
        <v>723</v>
      </c>
      <c r="G112" s="68" t="s">
        <v>151</v>
      </c>
      <c r="H112" s="69" t="s">
        <v>3182</v>
      </c>
      <c r="I112" s="2014" t="s">
        <v>726</v>
      </c>
      <c r="J112" s="70" t="s">
        <v>760</v>
      </c>
      <c r="K112" s="2305" t="s">
        <v>4019</v>
      </c>
      <c r="L112" s="72">
        <v>43813</v>
      </c>
      <c r="M112" s="73" t="s">
        <v>19</v>
      </c>
      <c r="N112" s="74">
        <v>43818</v>
      </c>
      <c r="O112" s="75">
        <v>43818</v>
      </c>
      <c r="P112" s="2765" t="s">
        <v>4021</v>
      </c>
      <c r="Q112" s="2954">
        <v>100.9</v>
      </c>
      <c r="R112" s="76"/>
      <c r="S112" s="1945" t="s">
        <v>731</v>
      </c>
      <c r="T112" s="77" t="s">
        <v>2570</v>
      </c>
      <c r="U112" s="1893"/>
      <c r="V112" s="2079">
        <f t="shared" si="43"/>
        <v>119.062</v>
      </c>
      <c r="W112" s="78">
        <f t="shared" si="44"/>
        <v>0</v>
      </c>
      <c r="X112" s="1878" t="str">
        <f t="shared" si="45"/>
        <v>7.- R WindPower 0590915-OT_264816  Reencauche F101-00022827 IDY3-220</v>
      </c>
      <c r="Z112" s="19" t="str">
        <f t="shared" si="46"/>
        <v>ReencaucheReencauchadora RENOVA</v>
      </c>
    </row>
    <row r="113" spans="2:26" ht="15.2" customHeight="1">
      <c r="B113" s="37"/>
      <c r="E113" s="3221">
        <v>8</v>
      </c>
      <c r="F113" s="2297" t="s">
        <v>723</v>
      </c>
      <c r="G113" s="68" t="s">
        <v>737</v>
      </c>
      <c r="H113" s="69" t="s">
        <v>3263</v>
      </c>
      <c r="I113" s="2014" t="s">
        <v>726</v>
      </c>
      <c r="J113" s="70" t="s">
        <v>760</v>
      </c>
      <c r="K113" s="2305" t="s">
        <v>4019</v>
      </c>
      <c r="L113" s="72">
        <v>43813</v>
      </c>
      <c r="M113" s="73" t="s">
        <v>19</v>
      </c>
      <c r="N113" s="74">
        <v>43818</v>
      </c>
      <c r="O113" s="75">
        <v>43818</v>
      </c>
      <c r="P113" s="2765" t="s">
        <v>4021</v>
      </c>
      <c r="Q113" s="2954">
        <v>100.9</v>
      </c>
      <c r="R113" s="76"/>
      <c r="S113" s="1945" t="s">
        <v>731</v>
      </c>
      <c r="T113" s="77" t="s">
        <v>2570</v>
      </c>
      <c r="U113" s="1893"/>
      <c r="V113" s="2079">
        <f t="shared" si="43"/>
        <v>119.062</v>
      </c>
      <c r="W113" s="78">
        <f t="shared" si="44"/>
        <v>0</v>
      </c>
      <c r="X113" s="1878" t="str">
        <f t="shared" si="45"/>
        <v>8.- R Vikrant 0951216-OT_264816  Reencauche F101-00022827 IDY3-220</v>
      </c>
      <c r="Z113" s="19" t="str">
        <f t="shared" si="46"/>
        <v>ReencaucheReencauchadora RENOVA</v>
      </c>
    </row>
    <row r="114" spans="2:26" ht="15.2" customHeight="1">
      <c r="B114" s="37"/>
      <c r="E114" s="3221">
        <v>9</v>
      </c>
      <c r="F114" s="2297" t="s">
        <v>723</v>
      </c>
      <c r="G114" s="68" t="s">
        <v>724</v>
      </c>
      <c r="H114" s="69" t="s">
        <v>4015</v>
      </c>
      <c r="I114" s="2014" t="s">
        <v>726</v>
      </c>
      <c r="J114" s="70" t="s">
        <v>760</v>
      </c>
      <c r="K114" s="2305" t="s">
        <v>4019</v>
      </c>
      <c r="L114" s="72">
        <v>43813</v>
      </c>
      <c r="M114" s="73" t="s">
        <v>19</v>
      </c>
      <c r="N114" s="74">
        <v>43818</v>
      </c>
      <c r="O114" s="75">
        <v>43818</v>
      </c>
      <c r="P114" s="2765" t="s">
        <v>4021</v>
      </c>
      <c r="Q114" s="2954">
        <v>100.9</v>
      </c>
      <c r="R114" s="76"/>
      <c r="S114" s="1945" t="s">
        <v>731</v>
      </c>
      <c r="T114" s="77" t="s">
        <v>2570</v>
      </c>
      <c r="U114" s="1893"/>
      <c r="V114" s="2079">
        <f t="shared" si="43"/>
        <v>119.062</v>
      </c>
      <c r="W114" s="78">
        <f t="shared" si="44"/>
        <v>0</v>
      </c>
      <c r="X114" s="1878" t="str">
        <f t="shared" si="45"/>
        <v>9.- R Aeolus 1091216-OT_264816  Reencauche F101-00022827 IDY3-220</v>
      </c>
      <c r="Z114" s="19" t="str">
        <f t="shared" si="46"/>
        <v>ReencaucheReencauchadora RENOVA</v>
      </c>
    </row>
    <row r="115" spans="2:26" ht="15.2" customHeight="1">
      <c r="B115" s="37"/>
      <c r="E115" s="3221">
        <v>10</v>
      </c>
      <c r="F115" s="2297" t="s">
        <v>723</v>
      </c>
      <c r="G115" s="68" t="s">
        <v>724</v>
      </c>
      <c r="H115" s="69" t="s">
        <v>4016</v>
      </c>
      <c r="I115" s="2014" t="s">
        <v>726</v>
      </c>
      <c r="J115" s="70" t="s">
        <v>760</v>
      </c>
      <c r="K115" s="2305" t="s">
        <v>4020</v>
      </c>
      <c r="L115" s="72">
        <v>43813</v>
      </c>
      <c r="M115" s="73" t="s">
        <v>19</v>
      </c>
      <c r="N115" s="74">
        <v>43818</v>
      </c>
      <c r="O115" s="75">
        <v>43818</v>
      </c>
      <c r="P115" s="2765" t="s">
        <v>4021</v>
      </c>
      <c r="Q115" s="2954">
        <v>100.9</v>
      </c>
      <c r="R115" s="76"/>
      <c r="S115" s="1945" t="s">
        <v>731</v>
      </c>
      <c r="T115" s="77" t="s">
        <v>2570</v>
      </c>
      <c r="U115" s="1893"/>
      <c r="V115" s="2079">
        <f t="shared" ref="V115:V130" si="47">+Q115*(1.18)</f>
        <v>119.062</v>
      </c>
      <c r="W115" s="78">
        <f t="shared" ref="W115:W130" si="48">+R115*(1.18)</f>
        <v>0</v>
      </c>
      <c r="X115" s="1878" t="str">
        <f t="shared" ref="X115:X130" si="49">CONCATENATE(E115,".- ",F115," ",G115," ",H115,"-OT_",K115," "," ",I115," ",P115," ",T115)</f>
        <v>10.- R Aeolus 1041216-OT_264817  Reencauche F101-00022827 IDY3-220</v>
      </c>
      <c r="Z115" s="19" t="str">
        <f t="shared" ref="Z115:Z130" si="50">CONCATENATE(I115,J115)</f>
        <v>ReencaucheReencauchadora RENOVA</v>
      </c>
    </row>
    <row r="116" spans="2:26" ht="15.2" customHeight="1">
      <c r="B116" s="37"/>
      <c r="E116" s="3221">
        <v>11</v>
      </c>
      <c r="F116" s="2297" t="s">
        <v>723</v>
      </c>
      <c r="G116" s="68" t="s">
        <v>724</v>
      </c>
      <c r="H116" s="69" t="s">
        <v>3002</v>
      </c>
      <c r="I116" s="2014" t="s">
        <v>726</v>
      </c>
      <c r="J116" s="70" t="s">
        <v>760</v>
      </c>
      <c r="K116" s="2305" t="s">
        <v>4020</v>
      </c>
      <c r="L116" s="72">
        <v>43813</v>
      </c>
      <c r="M116" s="73" t="s">
        <v>19</v>
      </c>
      <c r="N116" s="74">
        <v>43818</v>
      </c>
      <c r="O116" s="75">
        <v>43818</v>
      </c>
      <c r="P116" s="2765" t="s">
        <v>4021</v>
      </c>
      <c r="Q116" s="2954">
        <v>100.9</v>
      </c>
      <c r="R116" s="76"/>
      <c r="S116" s="1945" t="s">
        <v>731</v>
      </c>
      <c r="T116" s="77" t="s">
        <v>2570</v>
      </c>
      <c r="U116" s="1893"/>
      <c r="V116" s="2079">
        <f t="shared" si="47"/>
        <v>119.062</v>
      </c>
      <c r="W116" s="78">
        <f t="shared" si="48"/>
        <v>0</v>
      </c>
      <c r="X116" s="1878" t="str">
        <f t="shared" si="49"/>
        <v>11.- R Aeolus 8090418-OT_264817  Reencauche F101-00022827 IDY3-220</v>
      </c>
      <c r="Z116" s="19" t="str">
        <f t="shared" si="50"/>
        <v>ReencaucheReencauchadora RENOVA</v>
      </c>
    </row>
    <row r="117" spans="2:26" ht="15.2" customHeight="1">
      <c r="B117" s="37"/>
      <c r="E117" s="3221">
        <v>12</v>
      </c>
      <c r="F117" s="2297" t="s">
        <v>723</v>
      </c>
      <c r="G117" s="68" t="s">
        <v>724</v>
      </c>
      <c r="H117" s="69" t="s">
        <v>4017</v>
      </c>
      <c r="I117" s="2014" t="s">
        <v>726</v>
      </c>
      <c r="J117" s="70" t="s">
        <v>760</v>
      </c>
      <c r="K117" s="2305" t="s">
        <v>4020</v>
      </c>
      <c r="L117" s="72">
        <v>43813</v>
      </c>
      <c r="M117" s="73" t="s">
        <v>19</v>
      </c>
      <c r="N117" s="74">
        <v>43818</v>
      </c>
      <c r="O117" s="75">
        <v>43818</v>
      </c>
      <c r="P117" s="2765" t="s">
        <v>4021</v>
      </c>
      <c r="Q117" s="2954">
        <v>100.9</v>
      </c>
      <c r="R117" s="76"/>
      <c r="S117" s="1945" t="s">
        <v>731</v>
      </c>
      <c r="T117" s="77" t="s">
        <v>2570</v>
      </c>
      <c r="U117" s="1893"/>
      <c r="V117" s="2079">
        <f t="shared" si="47"/>
        <v>119.062</v>
      </c>
      <c r="W117" s="78">
        <f t="shared" si="48"/>
        <v>0</v>
      </c>
      <c r="X117" s="1878" t="str">
        <f t="shared" si="49"/>
        <v>12.- R Aeolus 1081216-OT_264817  Reencauche F101-00022827 IDY3-220</v>
      </c>
      <c r="Z117" s="19" t="str">
        <f t="shared" si="50"/>
        <v>ReencaucheReencauchadora RENOVA</v>
      </c>
    </row>
    <row r="118" spans="2:26" ht="15.2" customHeight="1">
      <c r="B118" s="37"/>
      <c r="E118" s="3221">
        <v>13</v>
      </c>
      <c r="F118" s="2297" t="s">
        <v>723</v>
      </c>
      <c r="G118" s="68" t="s">
        <v>151</v>
      </c>
      <c r="H118" s="69" t="s">
        <v>4018</v>
      </c>
      <c r="I118" s="2014" t="s">
        <v>726</v>
      </c>
      <c r="J118" s="70" t="s">
        <v>760</v>
      </c>
      <c r="K118" s="2305" t="s">
        <v>4020</v>
      </c>
      <c r="L118" s="72">
        <v>43813</v>
      </c>
      <c r="M118" s="73" t="s">
        <v>19</v>
      </c>
      <c r="N118" s="74">
        <v>43818</v>
      </c>
      <c r="O118" s="75">
        <v>43818</v>
      </c>
      <c r="P118" s="2765" t="s">
        <v>4021</v>
      </c>
      <c r="Q118" s="2954">
        <v>100.9</v>
      </c>
      <c r="R118" s="76"/>
      <c r="S118" s="1945" t="s">
        <v>731</v>
      </c>
      <c r="T118" s="77" t="s">
        <v>2570</v>
      </c>
      <c r="U118" s="1893"/>
      <c r="V118" s="2079">
        <f t="shared" si="47"/>
        <v>119.062</v>
      </c>
      <c r="W118" s="78">
        <f t="shared" si="48"/>
        <v>0</v>
      </c>
      <c r="X118" s="1878" t="str">
        <f t="shared" si="49"/>
        <v>13.- R WindPower 0040116-OT_264817  Reencauche F101-00022827 IDY3-220</v>
      </c>
      <c r="Z118" s="19" t="str">
        <f t="shared" si="50"/>
        <v>ReencaucheReencauchadora RENOVA</v>
      </c>
    </row>
    <row r="119" spans="2:26" ht="15.2" customHeight="1">
      <c r="B119" s="37"/>
      <c r="E119" s="79">
        <v>14</v>
      </c>
      <c r="F119" s="2294" t="s">
        <v>723</v>
      </c>
      <c r="G119" s="81" t="s">
        <v>151</v>
      </c>
      <c r="H119" s="82" t="s">
        <v>4011</v>
      </c>
      <c r="I119" s="2015" t="s">
        <v>726</v>
      </c>
      <c r="J119" s="83" t="s">
        <v>760</v>
      </c>
      <c r="K119" s="2295" t="s">
        <v>4019</v>
      </c>
      <c r="L119" s="85">
        <v>43813</v>
      </c>
      <c r="M119" s="2296" t="s">
        <v>19</v>
      </c>
      <c r="N119" s="87">
        <v>43825</v>
      </c>
      <c r="O119" s="88">
        <f>+N119</f>
        <v>43825</v>
      </c>
      <c r="P119" s="2766" t="s">
        <v>4045</v>
      </c>
      <c r="Q119" s="2955">
        <v>0</v>
      </c>
      <c r="R119" s="89"/>
      <c r="S119" s="1946" t="s">
        <v>731</v>
      </c>
      <c r="T119" s="77" t="s">
        <v>4022</v>
      </c>
      <c r="U119" s="1893"/>
      <c r="V119" s="2079">
        <f>+Q119*(1.18)</f>
        <v>0</v>
      </c>
      <c r="W119" s="78">
        <f>+R119*(1.18)</f>
        <v>0</v>
      </c>
      <c r="X119" s="1878" t="str">
        <f>CONCATENATE(E119,".- ",F119," ",G119," ",H119,"-OT_",K119," "," ",I119," ",P119," ",T119)</f>
        <v>14.- R WindPower 0100116-OT_264816  Reencauche G030-0084276 Flanco soplado, NO apto p Reenc</v>
      </c>
      <c r="Z119" s="19" t="str">
        <f>CONCATENATE(I119,J119)</f>
        <v>ReencaucheReencauchadora RENOVA</v>
      </c>
    </row>
    <row r="120" spans="2:26" ht="15.2" customHeight="1">
      <c r="B120" s="37"/>
      <c r="E120" s="3217">
        <v>1</v>
      </c>
      <c r="F120" s="2297" t="s">
        <v>723</v>
      </c>
      <c r="G120" s="68" t="s">
        <v>151</v>
      </c>
      <c r="H120" s="69" t="s">
        <v>3624</v>
      </c>
      <c r="I120" s="3067" t="s">
        <v>740</v>
      </c>
      <c r="J120" s="70" t="s">
        <v>727</v>
      </c>
      <c r="K120" s="2305" t="s">
        <v>4003</v>
      </c>
      <c r="L120" s="72">
        <v>43808</v>
      </c>
      <c r="M120" s="2306" t="s">
        <v>19</v>
      </c>
      <c r="N120" s="74">
        <v>43819</v>
      </c>
      <c r="O120" s="75">
        <v>43819</v>
      </c>
      <c r="P120" s="2765" t="s">
        <v>4030</v>
      </c>
      <c r="Q120" s="2954"/>
      <c r="R120" s="76">
        <v>84.745000000000005</v>
      </c>
      <c r="S120" s="1945" t="s">
        <v>731</v>
      </c>
      <c r="T120" s="77" t="s">
        <v>3514</v>
      </c>
      <c r="U120" s="1893"/>
      <c r="V120" s="2079">
        <f t="shared" si="47"/>
        <v>0</v>
      </c>
      <c r="W120" s="78">
        <f t="shared" si="48"/>
        <v>99.999099999999999</v>
      </c>
      <c r="X120" s="1878" t="str">
        <f t="shared" si="49"/>
        <v>1.- R WindPower 0520915-OT_013933  Transpl Banda E001-702 Banda de 2da. Propia</v>
      </c>
      <c r="Z120" s="19" t="str">
        <f t="shared" si="50"/>
        <v>Transpl BandaReenc. MASTERCAUCHO</v>
      </c>
    </row>
    <row r="121" spans="2:26" ht="15.2" customHeight="1">
      <c r="B121" s="37"/>
      <c r="E121" s="3217">
        <v>2</v>
      </c>
      <c r="F121" s="3131" t="s">
        <v>723</v>
      </c>
      <c r="G121" s="2263" t="s">
        <v>3659</v>
      </c>
      <c r="H121" s="2265" t="s">
        <v>4001</v>
      </c>
      <c r="I121" s="3178" t="s">
        <v>3224</v>
      </c>
      <c r="J121" s="2266" t="s">
        <v>727</v>
      </c>
      <c r="K121" s="3133" t="s">
        <v>857</v>
      </c>
      <c r="L121" s="2268"/>
      <c r="M121" s="3122" t="s">
        <v>19</v>
      </c>
      <c r="N121" s="2270">
        <v>43819</v>
      </c>
      <c r="O121" s="2271">
        <v>43819</v>
      </c>
      <c r="P121" s="2777" t="s">
        <v>4030</v>
      </c>
      <c r="Q121" s="2956"/>
      <c r="R121" s="2272">
        <v>211.864</v>
      </c>
      <c r="S121" s="2273" t="s">
        <v>731</v>
      </c>
      <c r="T121" s="2274" t="s">
        <v>4028</v>
      </c>
      <c r="U121" s="1893"/>
      <c r="V121" s="2079">
        <f t="shared" si="47"/>
        <v>0</v>
      </c>
      <c r="W121" s="78">
        <f t="shared" si="48"/>
        <v>249.99951999999999</v>
      </c>
      <c r="X121" s="1878" t="str">
        <f t="shared" si="49"/>
        <v>2.- R Turnpike 8581219-OT_S/D  Casc 2a trnspl E001-702  Turnpike D350 4517 China</v>
      </c>
      <c r="Z121" s="19" t="str">
        <f t="shared" si="50"/>
        <v>Casc 2a trnsplReenc. MASTERCAUCHO</v>
      </c>
    </row>
    <row r="122" spans="2:26" ht="15.2" customHeight="1">
      <c r="B122" s="37"/>
      <c r="E122" s="3217">
        <v>3</v>
      </c>
      <c r="F122" s="3131" t="s">
        <v>723</v>
      </c>
      <c r="G122" s="2263" t="s">
        <v>757</v>
      </c>
      <c r="H122" s="2265" t="s">
        <v>4002</v>
      </c>
      <c r="I122" s="3178" t="s">
        <v>3224</v>
      </c>
      <c r="J122" s="2266" t="s">
        <v>727</v>
      </c>
      <c r="K122" s="3133" t="s">
        <v>857</v>
      </c>
      <c r="L122" s="2268"/>
      <c r="M122" s="3122" t="s">
        <v>19</v>
      </c>
      <c r="N122" s="2270">
        <v>43819</v>
      </c>
      <c r="O122" s="2271">
        <v>43819</v>
      </c>
      <c r="P122" s="2777" t="s">
        <v>4030</v>
      </c>
      <c r="Q122" s="2956"/>
      <c r="R122" s="2272">
        <v>211.864</v>
      </c>
      <c r="S122" s="2273" t="s">
        <v>731</v>
      </c>
      <c r="T122" s="2274" t="s">
        <v>4029</v>
      </c>
      <c r="U122" s="1893"/>
      <c r="V122" s="2079">
        <f t="shared" si="47"/>
        <v>0</v>
      </c>
      <c r="W122" s="78">
        <f t="shared" si="48"/>
        <v>249.99951999999999</v>
      </c>
      <c r="X122" s="1878" t="str">
        <f t="shared" si="49"/>
        <v>3.- R Goodyear 8591219-OT_S/D  Casc 2a trnspl E001-702   Goodyear G686 MSS 3314 Brasil</v>
      </c>
      <c r="Z122" s="19" t="str">
        <f t="shared" si="50"/>
        <v>Casc 2a trnsplReenc. MASTERCAUCHO</v>
      </c>
    </row>
    <row r="123" spans="2:26" ht="15.2" customHeight="1">
      <c r="B123" s="37"/>
      <c r="E123" s="3217">
        <v>4</v>
      </c>
      <c r="F123" s="2297" t="s">
        <v>723</v>
      </c>
      <c r="G123" s="68" t="s">
        <v>151</v>
      </c>
      <c r="H123" s="69" t="s">
        <v>3154</v>
      </c>
      <c r="I123" s="2014" t="s">
        <v>744</v>
      </c>
      <c r="J123" s="70" t="s">
        <v>727</v>
      </c>
      <c r="K123" s="2305" t="s">
        <v>4003</v>
      </c>
      <c r="L123" s="72">
        <v>43808</v>
      </c>
      <c r="M123" s="2306" t="s">
        <v>19</v>
      </c>
      <c r="N123" s="74">
        <v>43819</v>
      </c>
      <c r="O123" s="75">
        <f t="shared" ref="O123" si="51">+N123</f>
        <v>43819</v>
      </c>
      <c r="P123" s="2765" t="s">
        <v>4023</v>
      </c>
      <c r="Q123" s="2954"/>
      <c r="R123" s="76">
        <v>0</v>
      </c>
      <c r="S123" s="1945" t="s">
        <v>731</v>
      </c>
      <c r="T123" s="77" t="s">
        <v>2694</v>
      </c>
      <c r="U123" s="1893"/>
      <c r="V123" s="2079">
        <f t="shared" si="47"/>
        <v>0</v>
      </c>
      <c r="W123" s="78">
        <f t="shared" si="48"/>
        <v>0</v>
      </c>
      <c r="X123" s="1878" t="str">
        <f t="shared" si="49"/>
        <v>4.- R WindPower 0070116-OT_013933  Sacar_Banda EG01-1951 Llnt Pelada x Transpl</v>
      </c>
      <c r="Z123" s="19" t="str">
        <f t="shared" si="50"/>
        <v>Sacar_BandaReenc. MASTERCAUCHO</v>
      </c>
    </row>
    <row r="124" spans="2:26" ht="15.2" customHeight="1">
      <c r="B124" s="37"/>
      <c r="E124" s="3217">
        <v>5</v>
      </c>
      <c r="F124" s="2297" t="s">
        <v>732</v>
      </c>
      <c r="G124" s="68" t="s">
        <v>737</v>
      </c>
      <c r="H124" s="69" t="s">
        <v>794</v>
      </c>
      <c r="I124" s="2014" t="s">
        <v>744</v>
      </c>
      <c r="J124" s="70" t="s">
        <v>727</v>
      </c>
      <c r="K124" s="2305" t="s">
        <v>4003</v>
      </c>
      <c r="L124" s="72">
        <v>43808</v>
      </c>
      <c r="M124" s="73" t="s">
        <v>19</v>
      </c>
      <c r="N124" s="74">
        <v>43819</v>
      </c>
      <c r="O124" s="75">
        <v>43819</v>
      </c>
      <c r="P124" s="2765" t="s">
        <v>4023</v>
      </c>
      <c r="Q124" s="2954"/>
      <c r="R124" s="76">
        <v>0</v>
      </c>
      <c r="S124" s="1945" t="s">
        <v>731</v>
      </c>
      <c r="T124" s="77" t="s">
        <v>2694</v>
      </c>
      <c r="U124" s="1893"/>
      <c r="V124" s="2079">
        <f>+Q124*(1.18)</f>
        <v>0</v>
      </c>
      <c r="W124" s="78">
        <f>+R124*(1.18)</f>
        <v>0</v>
      </c>
      <c r="X124" s="1878" t="str">
        <f>CONCATENATE(E124,".- ",F124," ",G124," ",H124,"-OT_",K124," "," ",I124," ",P124," ",T124)</f>
        <v>5.- C Vikrant 0570709-OT_013933  Sacar_Banda EG01-1951 Llnt Pelada x Transpl</v>
      </c>
      <c r="Z124" s="19" t="str">
        <f>CONCATENATE(I124,J124)</f>
        <v>Sacar_BandaReenc. MASTERCAUCHO</v>
      </c>
    </row>
    <row r="125" spans="2:26" ht="15.2" customHeight="1">
      <c r="B125" s="37"/>
      <c r="E125" s="79">
        <v>6</v>
      </c>
      <c r="F125" s="2294" t="s">
        <v>723</v>
      </c>
      <c r="G125" s="81" t="s">
        <v>3035</v>
      </c>
      <c r="H125" s="82" t="s">
        <v>3044</v>
      </c>
      <c r="I125" s="2015" t="s">
        <v>726</v>
      </c>
      <c r="J125" s="83" t="s">
        <v>727</v>
      </c>
      <c r="K125" s="2295" t="s">
        <v>4003</v>
      </c>
      <c r="L125" s="85">
        <v>43808</v>
      </c>
      <c r="M125" s="86" t="s">
        <v>19</v>
      </c>
      <c r="N125" s="87">
        <v>43819</v>
      </c>
      <c r="O125" s="88">
        <v>43819</v>
      </c>
      <c r="P125" s="2766" t="s">
        <v>4023</v>
      </c>
      <c r="Q125" s="2955"/>
      <c r="R125" s="89">
        <v>0</v>
      </c>
      <c r="S125" s="1946" t="s">
        <v>731</v>
      </c>
      <c r="T125" s="77" t="s">
        <v>3612</v>
      </c>
      <c r="U125" s="1893"/>
      <c r="V125" s="2079">
        <f t="shared" si="47"/>
        <v>0</v>
      </c>
      <c r="W125" s="78">
        <f t="shared" si="48"/>
        <v>0</v>
      </c>
      <c r="X125" s="1878" t="str">
        <f t="shared" si="49"/>
        <v>6.- R Ornet 8150418-OT_013933  Reencauche EG01-1951 RECHAZO No apto para reencauche</v>
      </c>
      <c r="Z125" s="19" t="str">
        <f t="shared" si="50"/>
        <v>ReencaucheReenc. MASTERCAUCHO</v>
      </c>
    </row>
    <row r="126" spans="2:26" ht="15.2" customHeight="1">
      <c r="B126" s="37"/>
      <c r="E126" s="3217">
        <v>1</v>
      </c>
      <c r="F126" s="2297" t="s">
        <v>723</v>
      </c>
      <c r="G126" s="68" t="s">
        <v>3953</v>
      </c>
      <c r="H126" s="69" t="s">
        <v>3986</v>
      </c>
      <c r="I126" s="2014" t="s">
        <v>726</v>
      </c>
      <c r="J126" s="70" t="s">
        <v>760</v>
      </c>
      <c r="K126" s="2305" t="s">
        <v>3994</v>
      </c>
      <c r="L126" s="72">
        <v>43802</v>
      </c>
      <c r="M126" s="2306" t="s">
        <v>19</v>
      </c>
      <c r="N126" s="74">
        <v>43809</v>
      </c>
      <c r="O126" s="75">
        <f>+N126</f>
        <v>43809</v>
      </c>
      <c r="P126" s="2765" t="s">
        <v>4004</v>
      </c>
      <c r="Q126" s="2954">
        <v>100.9</v>
      </c>
      <c r="R126" s="76"/>
      <c r="S126" s="1945" t="s">
        <v>731</v>
      </c>
      <c r="T126" s="77" t="s">
        <v>2570</v>
      </c>
      <c r="U126" s="1893"/>
      <c r="V126" s="2079">
        <f t="shared" si="47"/>
        <v>119.062</v>
      </c>
      <c r="W126" s="78">
        <f t="shared" si="48"/>
        <v>0</v>
      </c>
      <c r="X126" s="1878" t="str">
        <f t="shared" si="49"/>
        <v>1.- R Fesite 1031018-OT_2642966  Reencauche F101-00022716 IDY3-220</v>
      </c>
      <c r="Z126" s="19" t="str">
        <f t="shared" si="50"/>
        <v>ReencaucheReencauchadora RENOVA</v>
      </c>
    </row>
    <row r="127" spans="2:26" ht="15.2" customHeight="1">
      <c r="B127" s="37"/>
      <c r="E127" s="3217">
        <v>2</v>
      </c>
      <c r="F127" s="2297" t="s">
        <v>723</v>
      </c>
      <c r="G127" s="68" t="s">
        <v>151</v>
      </c>
      <c r="H127" s="69" t="s">
        <v>3987</v>
      </c>
      <c r="I127" s="2014" t="s">
        <v>726</v>
      </c>
      <c r="J127" s="70" t="s">
        <v>760</v>
      </c>
      <c r="K127" s="2305" t="s">
        <v>3994</v>
      </c>
      <c r="L127" s="72">
        <v>43802</v>
      </c>
      <c r="M127" s="73" t="s">
        <v>19</v>
      </c>
      <c r="N127" s="74">
        <v>43809</v>
      </c>
      <c r="O127" s="75">
        <v>43809</v>
      </c>
      <c r="P127" s="2765" t="s">
        <v>4004</v>
      </c>
      <c r="Q127" s="2954">
        <v>100.9</v>
      </c>
      <c r="R127" s="76"/>
      <c r="S127" s="1945" t="s">
        <v>731</v>
      </c>
      <c r="T127" s="77" t="s">
        <v>2570</v>
      </c>
      <c r="U127" s="1893"/>
      <c r="V127" s="2079">
        <f t="shared" si="47"/>
        <v>119.062</v>
      </c>
      <c r="W127" s="78">
        <f t="shared" si="48"/>
        <v>0</v>
      </c>
      <c r="X127" s="1878" t="str">
        <f t="shared" si="49"/>
        <v>2.- R WindPower 0030116-OT_2642966  Reencauche F101-00022716 IDY3-220</v>
      </c>
      <c r="Z127" s="19" t="str">
        <f t="shared" si="50"/>
        <v>ReencaucheReencauchadora RENOVA</v>
      </c>
    </row>
    <row r="128" spans="2:26" ht="15.2" customHeight="1">
      <c r="B128" s="37"/>
      <c r="E128" s="3217">
        <v>3</v>
      </c>
      <c r="F128" s="2297" t="s">
        <v>723</v>
      </c>
      <c r="G128" s="68" t="s">
        <v>3953</v>
      </c>
      <c r="H128" s="69" t="s">
        <v>3988</v>
      </c>
      <c r="I128" s="2014" t="s">
        <v>726</v>
      </c>
      <c r="J128" s="70" t="s">
        <v>760</v>
      </c>
      <c r="K128" s="2305" t="s">
        <v>3994</v>
      </c>
      <c r="L128" s="72">
        <v>43802</v>
      </c>
      <c r="M128" s="73" t="s">
        <v>19</v>
      </c>
      <c r="N128" s="74">
        <v>43809</v>
      </c>
      <c r="O128" s="75">
        <v>43809</v>
      </c>
      <c r="P128" s="2765" t="s">
        <v>4004</v>
      </c>
      <c r="Q128" s="2954">
        <v>100.9</v>
      </c>
      <c r="R128" s="76"/>
      <c r="S128" s="1945" t="s">
        <v>731</v>
      </c>
      <c r="T128" s="77" t="s">
        <v>2570</v>
      </c>
      <c r="U128" s="1893"/>
      <c r="V128" s="2079">
        <f t="shared" si="47"/>
        <v>119.062</v>
      </c>
      <c r="W128" s="78">
        <f t="shared" si="48"/>
        <v>0</v>
      </c>
      <c r="X128" s="1878" t="str">
        <f t="shared" si="49"/>
        <v>3.- R Fesite 0971018-OT_2642966  Reencauche F101-00022716 IDY3-220</v>
      </c>
      <c r="Z128" s="19" t="str">
        <f t="shared" si="50"/>
        <v>ReencaucheReencauchadora RENOVA</v>
      </c>
    </row>
    <row r="129" spans="2:26" ht="15.2" customHeight="1">
      <c r="B129" s="37"/>
      <c r="E129" s="3217">
        <v>4</v>
      </c>
      <c r="F129" s="2297" t="s">
        <v>723</v>
      </c>
      <c r="G129" s="68" t="s">
        <v>3953</v>
      </c>
      <c r="H129" s="69" t="s">
        <v>3989</v>
      </c>
      <c r="I129" s="2014" t="s">
        <v>726</v>
      </c>
      <c r="J129" s="70" t="s">
        <v>760</v>
      </c>
      <c r="K129" s="2305" t="s">
        <v>3994</v>
      </c>
      <c r="L129" s="72">
        <v>43802</v>
      </c>
      <c r="M129" s="73" t="s">
        <v>19</v>
      </c>
      <c r="N129" s="74">
        <v>43809</v>
      </c>
      <c r="O129" s="75">
        <v>43809</v>
      </c>
      <c r="P129" s="2765" t="s">
        <v>4004</v>
      </c>
      <c r="Q129" s="2954">
        <v>100.9</v>
      </c>
      <c r="R129" s="76"/>
      <c r="S129" s="1945" t="s">
        <v>731</v>
      </c>
      <c r="T129" s="77" t="s">
        <v>2570</v>
      </c>
      <c r="U129" s="1893"/>
      <c r="V129" s="2079">
        <f t="shared" si="47"/>
        <v>119.062</v>
      </c>
      <c r="W129" s="78">
        <f t="shared" si="48"/>
        <v>0</v>
      </c>
      <c r="X129" s="1878" t="str">
        <f t="shared" si="49"/>
        <v>4.- R Fesite 0991018-OT_2642966  Reencauche F101-00022716 IDY3-220</v>
      </c>
      <c r="Z129" s="19" t="str">
        <f t="shared" si="50"/>
        <v>ReencaucheReencauchadora RENOVA</v>
      </c>
    </row>
    <row r="130" spans="2:26" ht="15.2" customHeight="1">
      <c r="B130" s="37"/>
      <c r="E130" s="3217">
        <v>5</v>
      </c>
      <c r="F130" s="2297" t="s">
        <v>723</v>
      </c>
      <c r="G130" s="68" t="s">
        <v>151</v>
      </c>
      <c r="H130" s="69" t="s">
        <v>3990</v>
      </c>
      <c r="I130" s="2014" t="s">
        <v>726</v>
      </c>
      <c r="J130" s="70" t="s">
        <v>760</v>
      </c>
      <c r="K130" s="2305" t="s">
        <v>3994</v>
      </c>
      <c r="L130" s="72">
        <v>43802</v>
      </c>
      <c r="M130" s="2306" t="s">
        <v>19</v>
      </c>
      <c r="N130" s="74">
        <v>43809</v>
      </c>
      <c r="O130" s="75">
        <f>+N130</f>
        <v>43809</v>
      </c>
      <c r="P130" s="2765" t="s">
        <v>4004</v>
      </c>
      <c r="Q130" s="2954">
        <v>100.9</v>
      </c>
      <c r="R130" s="76"/>
      <c r="S130" s="1945" t="s">
        <v>731</v>
      </c>
      <c r="T130" s="77" t="s">
        <v>2570</v>
      </c>
      <c r="U130" s="1893"/>
      <c r="V130" s="2079">
        <f t="shared" si="47"/>
        <v>119.062</v>
      </c>
      <c r="W130" s="78">
        <f t="shared" si="48"/>
        <v>0</v>
      </c>
      <c r="X130" s="1878" t="str">
        <f t="shared" si="49"/>
        <v>5.- R WindPower 0651015-OT_2642966  Reencauche F101-00022716 IDY3-220</v>
      </c>
      <c r="Z130" s="19" t="str">
        <f t="shared" si="50"/>
        <v>ReencaucheReencauchadora RENOVA</v>
      </c>
    </row>
    <row r="131" spans="2:26" ht="15.2" customHeight="1">
      <c r="B131" s="37"/>
      <c r="E131" s="3214">
        <v>6</v>
      </c>
      <c r="F131" s="2297" t="s">
        <v>723</v>
      </c>
      <c r="G131" s="68" t="s">
        <v>737</v>
      </c>
      <c r="H131" s="69" t="s">
        <v>3985</v>
      </c>
      <c r="I131" s="2014" t="s">
        <v>726</v>
      </c>
      <c r="J131" s="70" t="s">
        <v>760</v>
      </c>
      <c r="K131" s="2305" t="s">
        <v>3994</v>
      </c>
      <c r="L131" s="72">
        <v>43802</v>
      </c>
      <c r="M131" s="73" t="s">
        <v>19</v>
      </c>
      <c r="N131" s="74">
        <v>43809</v>
      </c>
      <c r="O131" s="75">
        <v>43809</v>
      </c>
      <c r="P131" s="2765" t="s">
        <v>4005</v>
      </c>
      <c r="Q131" s="2954">
        <v>0</v>
      </c>
      <c r="R131" s="76"/>
      <c r="S131" s="1945" t="s">
        <v>731</v>
      </c>
      <c r="T131" s="77" t="s">
        <v>4008</v>
      </c>
      <c r="U131" s="1893"/>
      <c r="V131" s="2079">
        <f t="shared" ref="V131:V140" si="52">+Q131*(1.18)</f>
        <v>0</v>
      </c>
      <c r="W131" s="78">
        <f t="shared" ref="W131:W140" si="53">+R131*(1.18)</f>
        <v>0</v>
      </c>
      <c r="X131" s="1878" t="str">
        <f t="shared" ref="X131:X140" si="54">CONCATENATE(E131,".- ",F131," ",G131," ",H131,"-OT_",K131," "," ",I131," ",P131," ",T131)</f>
        <v>6.- R Vikrant 0971017-OT_2642966  Reencauche G030-0084030 Rodada Baja, NO apto p Reenc</v>
      </c>
      <c r="Z131" s="19" t="str">
        <f t="shared" ref="Z131:Z140" si="55">CONCATENATE(I131,J131)</f>
        <v>ReencaucheReencauchadora RENOVA</v>
      </c>
    </row>
    <row r="132" spans="2:26" ht="15.2" customHeight="1">
      <c r="B132" s="37"/>
      <c r="E132" s="3214">
        <v>7</v>
      </c>
      <c r="F132" s="2297" t="s">
        <v>723</v>
      </c>
      <c r="G132" s="68" t="s">
        <v>737</v>
      </c>
      <c r="H132" s="69" t="s">
        <v>2936</v>
      </c>
      <c r="I132" s="2014" t="s">
        <v>726</v>
      </c>
      <c r="J132" s="70" t="s">
        <v>760</v>
      </c>
      <c r="K132" s="2305" t="s">
        <v>3994</v>
      </c>
      <c r="L132" s="72">
        <v>43802</v>
      </c>
      <c r="M132" s="73" t="s">
        <v>19</v>
      </c>
      <c r="N132" s="74">
        <v>43809</v>
      </c>
      <c r="O132" s="75">
        <v>43809</v>
      </c>
      <c r="P132" s="2765" t="s">
        <v>4005</v>
      </c>
      <c r="Q132" s="2954">
        <v>0</v>
      </c>
      <c r="R132" s="76"/>
      <c r="S132" s="1945" t="s">
        <v>731</v>
      </c>
      <c r="T132" s="77" t="s">
        <v>4007</v>
      </c>
      <c r="U132" s="1893"/>
      <c r="V132" s="2079">
        <f t="shared" si="52"/>
        <v>0</v>
      </c>
      <c r="W132" s="78">
        <f t="shared" si="53"/>
        <v>0</v>
      </c>
      <c r="X132" s="1878" t="str">
        <f t="shared" si="54"/>
        <v>7.- R Vikrant 0390317-OT_2642966  Reencauche G030-0084030 Flanco averiado, NO apto p Reenc</v>
      </c>
      <c r="Z132" s="19" t="str">
        <f t="shared" si="55"/>
        <v>ReencaucheReencauchadora RENOVA</v>
      </c>
    </row>
    <row r="133" spans="2:26" ht="15.2" customHeight="1">
      <c r="B133" s="37"/>
      <c r="E133" s="3214">
        <v>8</v>
      </c>
      <c r="F133" s="2297" t="s">
        <v>723</v>
      </c>
      <c r="G133" s="68" t="s">
        <v>724</v>
      </c>
      <c r="H133" s="69" t="s">
        <v>2688</v>
      </c>
      <c r="I133" s="2014" t="s">
        <v>726</v>
      </c>
      <c r="J133" s="70" t="s">
        <v>760</v>
      </c>
      <c r="K133" s="2305" t="s">
        <v>3994</v>
      </c>
      <c r="L133" s="72">
        <v>43802</v>
      </c>
      <c r="M133" s="73" t="s">
        <v>19</v>
      </c>
      <c r="N133" s="74">
        <v>43809</v>
      </c>
      <c r="O133" s="75">
        <v>43809</v>
      </c>
      <c r="P133" s="2765" t="s">
        <v>4005</v>
      </c>
      <c r="Q133" s="2954">
        <v>0</v>
      </c>
      <c r="R133" s="76"/>
      <c r="S133" s="1945" t="s">
        <v>731</v>
      </c>
      <c r="T133" s="77" t="s">
        <v>4007</v>
      </c>
      <c r="U133" s="1893"/>
      <c r="V133" s="2079">
        <f t="shared" si="52"/>
        <v>0</v>
      </c>
      <c r="W133" s="78">
        <f t="shared" si="53"/>
        <v>0</v>
      </c>
      <c r="X133" s="1878" t="str">
        <f t="shared" si="54"/>
        <v>8.- R Aeolus 0020116-OT_2642966  Reencauche G030-0084030 Flanco averiado, NO apto p Reenc</v>
      </c>
      <c r="Z133" s="19" t="str">
        <f t="shared" si="55"/>
        <v>ReencaucheReencauchadora RENOVA</v>
      </c>
    </row>
    <row r="134" spans="2:26" ht="15.2" customHeight="1">
      <c r="B134" s="37"/>
      <c r="E134" s="3214">
        <v>9</v>
      </c>
      <c r="F134" s="2297" t="s">
        <v>723</v>
      </c>
      <c r="G134" s="68" t="s">
        <v>724</v>
      </c>
      <c r="H134" s="69" t="s">
        <v>2687</v>
      </c>
      <c r="I134" s="2014" t="s">
        <v>726</v>
      </c>
      <c r="J134" s="70" t="s">
        <v>760</v>
      </c>
      <c r="K134" s="2305" t="s">
        <v>3994</v>
      </c>
      <c r="L134" s="72">
        <v>43802</v>
      </c>
      <c r="M134" s="73" t="s">
        <v>19</v>
      </c>
      <c r="N134" s="74">
        <v>43809</v>
      </c>
      <c r="O134" s="75">
        <v>43809</v>
      </c>
      <c r="P134" s="2765" t="s">
        <v>4005</v>
      </c>
      <c r="Q134" s="2954">
        <v>0</v>
      </c>
      <c r="R134" s="76"/>
      <c r="S134" s="1945" t="s">
        <v>731</v>
      </c>
      <c r="T134" s="77" t="s">
        <v>4007</v>
      </c>
      <c r="U134" s="1893"/>
      <c r="V134" s="2079">
        <f t="shared" si="52"/>
        <v>0</v>
      </c>
      <c r="W134" s="78">
        <f t="shared" si="53"/>
        <v>0</v>
      </c>
      <c r="X134" s="1878" t="str">
        <f t="shared" si="54"/>
        <v>9.- R Aeolus 0010116-OT_2642966  Reencauche G030-0084030 Flanco averiado, NO apto p Reenc</v>
      </c>
      <c r="Z134" s="19" t="str">
        <f t="shared" si="55"/>
        <v>ReencaucheReencauchadora RENOVA</v>
      </c>
    </row>
    <row r="135" spans="2:26" ht="15.2" customHeight="1">
      <c r="B135" s="37"/>
      <c r="E135" s="3214">
        <v>10</v>
      </c>
      <c r="F135" s="2297" t="s">
        <v>723</v>
      </c>
      <c r="G135" s="68" t="s">
        <v>724</v>
      </c>
      <c r="H135" s="69" t="s">
        <v>3991</v>
      </c>
      <c r="I135" s="2014" t="s">
        <v>726</v>
      </c>
      <c r="J135" s="70" t="s">
        <v>760</v>
      </c>
      <c r="K135" s="2305" t="s">
        <v>3994</v>
      </c>
      <c r="L135" s="72">
        <v>43802</v>
      </c>
      <c r="M135" s="73" t="s">
        <v>19</v>
      </c>
      <c r="N135" s="74">
        <v>43809</v>
      </c>
      <c r="O135" s="75">
        <v>43809</v>
      </c>
      <c r="P135" s="2765" t="s">
        <v>4005</v>
      </c>
      <c r="Q135" s="2954">
        <v>0</v>
      </c>
      <c r="R135" s="76"/>
      <c r="S135" s="1945" t="s">
        <v>731</v>
      </c>
      <c r="T135" s="77" t="s">
        <v>4007</v>
      </c>
      <c r="U135" s="1893"/>
      <c r="V135" s="2079">
        <f t="shared" si="52"/>
        <v>0</v>
      </c>
      <c r="W135" s="78">
        <f t="shared" si="53"/>
        <v>0</v>
      </c>
      <c r="X135" s="1878" t="str">
        <f t="shared" si="54"/>
        <v>10.- R Aeolus 0540616-OT_2642966  Reencauche G030-0084030 Flanco averiado, NO apto p Reenc</v>
      </c>
      <c r="Z135" s="19" t="str">
        <f t="shared" si="55"/>
        <v>ReencaucheReencauchadora RENOVA</v>
      </c>
    </row>
    <row r="136" spans="2:26" ht="15.2" customHeight="1">
      <c r="B136" s="37"/>
      <c r="E136" s="3214">
        <v>11</v>
      </c>
      <c r="F136" s="2297" t="s">
        <v>723</v>
      </c>
      <c r="G136" s="68" t="s">
        <v>724</v>
      </c>
      <c r="H136" s="69" t="s">
        <v>3992</v>
      </c>
      <c r="I136" s="2014" t="s">
        <v>726</v>
      </c>
      <c r="J136" s="70" t="s">
        <v>760</v>
      </c>
      <c r="K136" s="2305" t="s">
        <v>3995</v>
      </c>
      <c r="L136" s="72">
        <v>43802</v>
      </c>
      <c r="M136" s="73" t="s">
        <v>19</v>
      </c>
      <c r="N136" s="74">
        <v>43809</v>
      </c>
      <c r="O136" s="75">
        <v>43809</v>
      </c>
      <c r="P136" s="2765" t="s">
        <v>4005</v>
      </c>
      <c r="Q136" s="2954">
        <v>0</v>
      </c>
      <c r="R136" s="76"/>
      <c r="S136" s="1945" t="s">
        <v>731</v>
      </c>
      <c r="T136" s="77" t="s">
        <v>4007</v>
      </c>
      <c r="U136" s="1893"/>
      <c r="V136" s="2079">
        <f t="shared" si="52"/>
        <v>0</v>
      </c>
      <c r="W136" s="78">
        <f t="shared" si="53"/>
        <v>0</v>
      </c>
      <c r="X136" s="1878" t="str">
        <f t="shared" si="54"/>
        <v>11.- R Aeolus 0530616-OT_2642967  Reencauche G030-0084030 Flanco averiado, NO apto p Reenc</v>
      </c>
      <c r="Z136" s="19" t="str">
        <f t="shared" si="55"/>
        <v>ReencaucheReencauchadora RENOVA</v>
      </c>
    </row>
    <row r="137" spans="2:26" ht="15.2" customHeight="1">
      <c r="B137" s="37"/>
      <c r="E137" s="79">
        <v>12</v>
      </c>
      <c r="F137" s="2294" t="s">
        <v>723</v>
      </c>
      <c r="G137" s="81" t="s">
        <v>3633</v>
      </c>
      <c r="H137" s="82" t="s">
        <v>3993</v>
      </c>
      <c r="I137" s="2015" t="s">
        <v>726</v>
      </c>
      <c r="J137" s="83" t="s">
        <v>760</v>
      </c>
      <c r="K137" s="2295" t="s">
        <v>3995</v>
      </c>
      <c r="L137" s="85">
        <v>43802</v>
      </c>
      <c r="M137" s="2296" t="s">
        <v>19</v>
      </c>
      <c r="N137" s="87">
        <v>43809</v>
      </c>
      <c r="O137" s="88">
        <f>+N137</f>
        <v>43809</v>
      </c>
      <c r="P137" s="2766" t="s">
        <v>4005</v>
      </c>
      <c r="Q137" s="2955">
        <v>0</v>
      </c>
      <c r="R137" s="89"/>
      <c r="S137" s="1946" t="s">
        <v>731</v>
      </c>
      <c r="T137" s="77" t="s">
        <v>4006</v>
      </c>
      <c r="U137" s="1893"/>
      <c r="V137" s="2079">
        <f t="shared" si="52"/>
        <v>0</v>
      </c>
      <c r="W137" s="78">
        <f t="shared" si="53"/>
        <v>0</v>
      </c>
      <c r="X137" s="1878" t="str">
        <f t="shared" si="54"/>
        <v>12.- R Sportrak 00130117-OT_2642967  Reencauche G030-0084030 Averia en banda, NO apto p Reenc</v>
      </c>
      <c r="Z137" s="19" t="str">
        <f t="shared" si="55"/>
        <v>ReencaucheReencauchadora RENOVA</v>
      </c>
    </row>
    <row r="138" spans="2:26" ht="15.2" customHeight="1">
      <c r="B138" s="37"/>
      <c r="E138" s="3214">
        <v>1</v>
      </c>
      <c r="F138" s="2297" t="s">
        <v>723</v>
      </c>
      <c r="G138" s="68" t="s">
        <v>724</v>
      </c>
      <c r="H138" s="69" t="s">
        <v>3983</v>
      </c>
      <c r="I138" s="3067" t="s">
        <v>811</v>
      </c>
      <c r="J138" s="70" t="s">
        <v>727</v>
      </c>
      <c r="K138" s="2305" t="s">
        <v>3984</v>
      </c>
      <c r="L138" s="72">
        <v>43801</v>
      </c>
      <c r="M138" s="2306" t="s">
        <v>19</v>
      </c>
      <c r="N138" s="74">
        <v>43806</v>
      </c>
      <c r="O138" s="75">
        <f>+N138</f>
        <v>43806</v>
      </c>
      <c r="P138" s="2765" t="s">
        <v>4000</v>
      </c>
      <c r="Q138" s="2954"/>
      <c r="R138" s="76">
        <v>84.745000000000005</v>
      </c>
      <c r="S138" s="1945" t="s">
        <v>731</v>
      </c>
      <c r="T138" s="77" t="s">
        <v>3829</v>
      </c>
      <c r="U138" s="1893"/>
      <c r="V138" s="2079">
        <f>+Q138*(1.18)</f>
        <v>0</v>
      </c>
      <c r="W138" s="78">
        <f>+R138*(1.18)</f>
        <v>99.999099999999999</v>
      </c>
      <c r="X138" s="1878" t="str">
        <f>CONCATENATE(E138,".- ",F138," ",G138," ",H138,"-OT_",K138," "," ",I138," ",P138," ",T138)</f>
        <v>1.- R Aeolus 1031216-OT_013923  Vulcanizado (curación) E001-583 REPARACION EN FLANCO</v>
      </c>
      <c r="Z138" s="19" t="str">
        <f>CONCATENATE(I138,J138)</f>
        <v>Vulcanizado (curación)Reenc. MASTERCAUCHO</v>
      </c>
    </row>
    <row r="139" spans="2:26" ht="15.2" customHeight="1">
      <c r="B139" s="37"/>
      <c r="E139" s="3214">
        <v>2</v>
      </c>
      <c r="F139" s="2297" t="s">
        <v>723</v>
      </c>
      <c r="G139" s="68" t="s">
        <v>737</v>
      </c>
      <c r="H139" s="69" t="s">
        <v>2684</v>
      </c>
      <c r="I139" s="3067" t="s">
        <v>740</v>
      </c>
      <c r="J139" s="70" t="s">
        <v>727</v>
      </c>
      <c r="K139" s="2305" t="s">
        <v>3984</v>
      </c>
      <c r="L139" s="72">
        <v>43801</v>
      </c>
      <c r="M139" s="2306" t="s">
        <v>19</v>
      </c>
      <c r="N139" s="74">
        <v>43806</v>
      </c>
      <c r="O139" s="75">
        <f t="shared" ref="O139:O140" si="56">+N139</f>
        <v>43806</v>
      </c>
      <c r="P139" s="2765" t="s">
        <v>4000</v>
      </c>
      <c r="Q139" s="2954"/>
      <c r="R139" s="76">
        <v>127.11799999999999</v>
      </c>
      <c r="S139" s="1945" t="s">
        <v>731</v>
      </c>
      <c r="T139" s="77" t="s">
        <v>3514</v>
      </c>
      <c r="U139" s="1893"/>
      <c r="V139" s="2079">
        <f t="shared" si="52"/>
        <v>0</v>
      </c>
      <c r="W139" s="78">
        <f t="shared" si="53"/>
        <v>149.99923999999999</v>
      </c>
      <c r="X139" s="1878" t="str">
        <f t="shared" si="54"/>
        <v>2.- R Vikrant 0320317-OT_013923  Transpl Banda E001-583 Banda de 2da. Propia</v>
      </c>
      <c r="Z139" s="19" t="str">
        <f t="shared" si="55"/>
        <v>Transpl BandaReenc. MASTERCAUCHO</v>
      </c>
    </row>
    <row r="140" spans="2:26" ht="15.2" customHeight="1">
      <c r="B140" s="37"/>
      <c r="E140" s="3214">
        <v>3</v>
      </c>
      <c r="F140" s="3131" t="s">
        <v>723</v>
      </c>
      <c r="G140" s="2263" t="s">
        <v>3768</v>
      </c>
      <c r="H140" s="2265" t="s">
        <v>3981</v>
      </c>
      <c r="I140" s="3178" t="s">
        <v>3224</v>
      </c>
      <c r="J140" s="2266" t="s">
        <v>727</v>
      </c>
      <c r="K140" s="3133" t="s">
        <v>857</v>
      </c>
      <c r="L140" s="2268"/>
      <c r="M140" s="3122" t="s">
        <v>19</v>
      </c>
      <c r="N140" s="2270">
        <v>43806</v>
      </c>
      <c r="O140" s="2271">
        <f t="shared" si="56"/>
        <v>43806</v>
      </c>
      <c r="P140" s="2777" t="s">
        <v>4000</v>
      </c>
      <c r="Q140" s="2956"/>
      <c r="R140" s="2272">
        <v>211.86439999999999</v>
      </c>
      <c r="S140" s="2273" t="s">
        <v>731</v>
      </c>
      <c r="T140" s="2274" t="s">
        <v>3998</v>
      </c>
      <c r="U140" s="1893"/>
      <c r="V140" s="2079">
        <f t="shared" si="52"/>
        <v>0</v>
      </c>
      <c r="W140" s="78">
        <f t="shared" si="53"/>
        <v>249.99999199999996</v>
      </c>
      <c r="X140" s="1878" t="str">
        <f t="shared" si="54"/>
        <v>3.- R Annaite 8561219-OT_S/D  Casc 2a trnspl E001-583  Annaite 300 2818 China</v>
      </c>
      <c r="Z140" s="19" t="str">
        <f t="shared" si="55"/>
        <v>Casc 2a trnsplReenc. MASTERCAUCHO</v>
      </c>
    </row>
    <row r="141" spans="2:26" ht="15.2" customHeight="1">
      <c r="B141" s="37"/>
      <c r="E141" s="3207">
        <v>4</v>
      </c>
      <c r="F141" s="3131" t="s">
        <v>723</v>
      </c>
      <c r="G141" s="2263" t="s">
        <v>3768</v>
      </c>
      <c r="H141" s="2265" t="s">
        <v>3982</v>
      </c>
      <c r="I141" s="3178" t="s">
        <v>3224</v>
      </c>
      <c r="J141" s="2266" t="s">
        <v>727</v>
      </c>
      <c r="K141" s="3133" t="s">
        <v>857</v>
      </c>
      <c r="L141" s="2268"/>
      <c r="M141" s="3122" t="s">
        <v>19</v>
      </c>
      <c r="N141" s="2270">
        <v>43806</v>
      </c>
      <c r="O141" s="2271">
        <f t="shared" ref="O141:O164" si="57">+N141</f>
        <v>43806</v>
      </c>
      <c r="P141" s="2777" t="s">
        <v>4000</v>
      </c>
      <c r="Q141" s="2956"/>
      <c r="R141" s="2272">
        <v>211.86439999999999</v>
      </c>
      <c r="S141" s="2273" t="s">
        <v>731</v>
      </c>
      <c r="T141" s="2274" t="s">
        <v>3998</v>
      </c>
      <c r="U141" s="1893"/>
      <c r="V141" s="2079">
        <f t="shared" ref="V141:V164" si="58">+Q141*(1.18)</f>
        <v>0</v>
      </c>
      <c r="W141" s="78">
        <f t="shared" ref="W141:W164" si="59">+R141*(1.18)</f>
        <v>249.99999199999996</v>
      </c>
      <c r="X141" s="1878" t="str">
        <f t="shared" ref="X141:X164" si="60">CONCATENATE(E141,".- ",F141," ",G141," ",H141,"-OT_",K141," "," ",I141," ",P141," ",T141)</f>
        <v>4.- R Annaite 8571219-OT_S/D  Casc 2a trnspl E001-583  Annaite 300 2818 China</v>
      </c>
      <c r="Z141" s="19" t="str">
        <f t="shared" ref="Z141:Z164" si="61">CONCATENATE(I141,J141)</f>
        <v>Casc 2a trnsplReenc. MASTERCAUCHO</v>
      </c>
    </row>
    <row r="142" spans="2:26" ht="15.2" customHeight="1">
      <c r="B142" s="37"/>
      <c r="E142" s="3207">
        <v>5</v>
      </c>
      <c r="F142" s="2297" t="s">
        <v>732</v>
      </c>
      <c r="G142" s="68" t="s">
        <v>733</v>
      </c>
      <c r="H142" s="69" t="s">
        <v>847</v>
      </c>
      <c r="I142" s="2014" t="s">
        <v>744</v>
      </c>
      <c r="J142" s="70" t="s">
        <v>727</v>
      </c>
      <c r="K142" s="2305" t="s">
        <v>3984</v>
      </c>
      <c r="L142" s="72">
        <v>43801</v>
      </c>
      <c r="M142" s="2306" t="s">
        <v>19</v>
      </c>
      <c r="N142" s="74">
        <v>43808</v>
      </c>
      <c r="O142" s="75">
        <f t="shared" si="57"/>
        <v>43808</v>
      </c>
      <c r="P142" s="2765" t="s">
        <v>3999</v>
      </c>
      <c r="Q142" s="2954"/>
      <c r="R142" s="76">
        <v>0</v>
      </c>
      <c r="S142" s="1945" t="s">
        <v>731</v>
      </c>
      <c r="T142" s="77" t="s">
        <v>2753</v>
      </c>
      <c r="U142" s="1893"/>
      <c r="V142" s="2079">
        <f t="shared" si="58"/>
        <v>0</v>
      </c>
      <c r="W142" s="78">
        <f t="shared" si="59"/>
        <v>0</v>
      </c>
      <c r="X142" s="1878" t="str">
        <f t="shared" si="60"/>
        <v>5.- C Lima Caucho 1061208-OT_013923  Sacar_Banda EG01-1900 Casco pelado</v>
      </c>
      <c r="Z142" s="19" t="str">
        <f t="shared" si="61"/>
        <v>Sacar_BandaReenc. MASTERCAUCHO</v>
      </c>
    </row>
    <row r="143" spans="2:26" ht="15.2" customHeight="1">
      <c r="B143" s="37"/>
      <c r="E143" s="3207">
        <v>6</v>
      </c>
      <c r="F143" s="2297" t="s">
        <v>732</v>
      </c>
      <c r="G143" s="68" t="s">
        <v>737</v>
      </c>
      <c r="H143" s="69" t="s">
        <v>2278</v>
      </c>
      <c r="I143" s="2014" t="s">
        <v>744</v>
      </c>
      <c r="J143" s="70" t="s">
        <v>727</v>
      </c>
      <c r="K143" s="2305" t="s">
        <v>3984</v>
      </c>
      <c r="L143" s="72">
        <v>43801</v>
      </c>
      <c r="M143" s="2306" t="s">
        <v>19</v>
      </c>
      <c r="N143" s="74">
        <v>43808</v>
      </c>
      <c r="O143" s="75">
        <f t="shared" si="57"/>
        <v>43808</v>
      </c>
      <c r="P143" s="2765" t="s">
        <v>3999</v>
      </c>
      <c r="Q143" s="2954"/>
      <c r="R143" s="76">
        <v>0</v>
      </c>
      <c r="S143" s="1945" t="s">
        <v>731</v>
      </c>
      <c r="T143" s="77" t="s">
        <v>2753</v>
      </c>
      <c r="U143" s="1893"/>
      <c r="V143" s="2079">
        <f t="shared" si="58"/>
        <v>0</v>
      </c>
      <c r="W143" s="78">
        <f t="shared" si="59"/>
        <v>0</v>
      </c>
      <c r="X143" s="1878" t="str">
        <f t="shared" si="60"/>
        <v>6.- C Vikrant 0520709-OT_013923  Sacar_Banda EG01-1900 Casco pelado</v>
      </c>
      <c r="Z143" s="19" t="str">
        <f t="shared" si="61"/>
        <v>Sacar_BandaReenc. MASTERCAUCHO</v>
      </c>
    </row>
    <row r="144" spans="2:26" ht="15.2" customHeight="1">
      <c r="B144" s="37"/>
      <c r="E144" s="79">
        <v>7</v>
      </c>
      <c r="F144" s="2294" t="s">
        <v>732</v>
      </c>
      <c r="G144" s="81" t="s">
        <v>733</v>
      </c>
      <c r="H144" s="82" t="s">
        <v>1041</v>
      </c>
      <c r="I144" s="2015" t="s">
        <v>744</v>
      </c>
      <c r="J144" s="83" t="s">
        <v>727</v>
      </c>
      <c r="K144" s="2295" t="s">
        <v>3984</v>
      </c>
      <c r="L144" s="85">
        <v>43801</v>
      </c>
      <c r="M144" s="2296" t="s">
        <v>19</v>
      </c>
      <c r="N144" s="87">
        <v>43808</v>
      </c>
      <c r="O144" s="88">
        <f t="shared" si="57"/>
        <v>43808</v>
      </c>
      <c r="P144" s="2766" t="s">
        <v>3999</v>
      </c>
      <c r="Q144" s="2955"/>
      <c r="R144" s="89">
        <v>0</v>
      </c>
      <c r="S144" s="1946" t="s">
        <v>731</v>
      </c>
      <c r="T144" s="77" t="s">
        <v>2753</v>
      </c>
      <c r="U144" s="1893"/>
      <c r="V144" s="2079">
        <f t="shared" si="58"/>
        <v>0</v>
      </c>
      <c r="W144" s="78">
        <f t="shared" si="59"/>
        <v>0</v>
      </c>
      <c r="X144" s="1878" t="str">
        <f t="shared" si="60"/>
        <v>7.- C Lima Caucho 1041208-OT_013923  Sacar_Banda EG01-1900 Casco pelado</v>
      </c>
      <c r="Z144" s="19" t="str">
        <f t="shared" si="61"/>
        <v>Sacar_BandaReenc. MASTERCAUCHO</v>
      </c>
    </row>
    <row r="145" spans="2:26" ht="15.2" customHeight="1">
      <c r="B145" s="37"/>
      <c r="E145" s="3207">
        <v>1</v>
      </c>
      <c r="F145" s="2297" t="s">
        <v>723</v>
      </c>
      <c r="G145" s="68" t="s">
        <v>3953</v>
      </c>
      <c r="H145" s="69" t="s">
        <v>3963</v>
      </c>
      <c r="I145" s="2014" t="s">
        <v>726</v>
      </c>
      <c r="J145" s="70" t="s">
        <v>727</v>
      </c>
      <c r="K145" s="2305" t="s">
        <v>3965</v>
      </c>
      <c r="L145" s="72">
        <v>43777</v>
      </c>
      <c r="M145" s="2306" t="s">
        <v>19</v>
      </c>
      <c r="N145" s="74">
        <v>43788</v>
      </c>
      <c r="O145" s="75">
        <f t="shared" si="57"/>
        <v>43788</v>
      </c>
      <c r="P145" s="2765" t="s">
        <v>3976</v>
      </c>
      <c r="Q145" s="2954"/>
      <c r="R145" s="76">
        <v>279.66101694915255</v>
      </c>
      <c r="S145" s="1945" t="s">
        <v>731</v>
      </c>
      <c r="T145" s="77" t="s">
        <v>2712</v>
      </c>
      <c r="U145" s="1893"/>
      <c r="V145" s="2079">
        <f t="shared" si="58"/>
        <v>0</v>
      </c>
      <c r="W145" s="78">
        <f t="shared" si="59"/>
        <v>330</v>
      </c>
      <c r="X145" s="1878" t="str">
        <f t="shared" si="60"/>
        <v>1.- R Fesite 1121118-OT_013805  Reencauche F001-00004152 MDY-220</v>
      </c>
      <c r="Z145" s="19" t="str">
        <f t="shared" si="61"/>
        <v>ReencaucheReenc. MASTERCAUCHO</v>
      </c>
    </row>
    <row r="146" spans="2:26" ht="15.2" customHeight="1">
      <c r="B146" s="37"/>
      <c r="E146" s="3207">
        <v>2</v>
      </c>
      <c r="F146" s="2297" t="s">
        <v>723</v>
      </c>
      <c r="G146" s="68" t="s">
        <v>2551</v>
      </c>
      <c r="H146" s="69" t="s">
        <v>3964</v>
      </c>
      <c r="I146" s="2014" t="s">
        <v>726</v>
      </c>
      <c r="J146" s="70" t="s">
        <v>727</v>
      </c>
      <c r="K146" s="2305" t="s">
        <v>3965</v>
      </c>
      <c r="L146" s="72">
        <v>43777</v>
      </c>
      <c r="M146" s="73" t="s">
        <v>19</v>
      </c>
      <c r="N146" s="74">
        <v>43788</v>
      </c>
      <c r="O146" s="75">
        <v>43788</v>
      </c>
      <c r="P146" s="2765" t="s">
        <v>3976</v>
      </c>
      <c r="Q146" s="2954"/>
      <c r="R146" s="76">
        <v>288.13559322033899</v>
      </c>
      <c r="S146" s="1945" t="s">
        <v>731</v>
      </c>
      <c r="T146" s="77" t="s">
        <v>3512</v>
      </c>
      <c r="U146" s="1893"/>
      <c r="V146" s="2079">
        <f t="shared" si="58"/>
        <v>0</v>
      </c>
      <c r="W146" s="78">
        <f t="shared" si="59"/>
        <v>340</v>
      </c>
      <c r="X146" s="1878" t="str">
        <f t="shared" si="60"/>
        <v>2.- R SAILUM 8290818-OT_013805  Reencauche F001-00004152 MDY-235</v>
      </c>
      <c r="Z146" s="19" t="str">
        <f t="shared" si="61"/>
        <v>ReencaucheReenc. MASTERCAUCHO</v>
      </c>
    </row>
    <row r="147" spans="2:26" ht="15.2" customHeight="1">
      <c r="B147" s="37"/>
      <c r="E147" s="3207">
        <v>3</v>
      </c>
      <c r="F147" s="2297" t="s">
        <v>723</v>
      </c>
      <c r="G147" s="68" t="s">
        <v>757</v>
      </c>
      <c r="H147" s="69" t="s">
        <v>3079</v>
      </c>
      <c r="I147" s="2014" t="s">
        <v>726</v>
      </c>
      <c r="J147" s="70" t="s">
        <v>727</v>
      </c>
      <c r="K147" s="2305" t="s">
        <v>3965</v>
      </c>
      <c r="L147" s="72">
        <v>43777</v>
      </c>
      <c r="M147" s="73" t="s">
        <v>19</v>
      </c>
      <c r="N147" s="74">
        <v>43788</v>
      </c>
      <c r="O147" s="75">
        <v>43788</v>
      </c>
      <c r="P147" s="2765" t="s">
        <v>3976</v>
      </c>
      <c r="Q147" s="2954"/>
      <c r="R147" s="76">
        <v>288.13559322033899</v>
      </c>
      <c r="S147" s="1945" t="s">
        <v>731</v>
      </c>
      <c r="T147" s="77" t="s">
        <v>3512</v>
      </c>
      <c r="U147" s="1893"/>
      <c r="V147" s="2079">
        <f t="shared" si="58"/>
        <v>0</v>
      </c>
      <c r="W147" s="78">
        <f t="shared" si="59"/>
        <v>340</v>
      </c>
      <c r="X147" s="1878" t="str">
        <f t="shared" si="60"/>
        <v>3.- R Goodyear 8180418-OT_013805  Reencauche F001-00004152 MDY-235</v>
      </c>
      <c r="Z147" s="19" t="str">
        <f t="shared" si="61"/>
        <v>ReencaucheReenc. MASTERCAUCHO</v>
      </c>
    </row>
    <row r="148" spans="2:26" ht="15.2" customHeight="1">
      <c r="B148" s="37"/>
      <c r="E148" s="2700">
        <v>4</v>
      </c>
      <c r="F148" s="3131" t="s">
        <v>723</v>
      </c>
      <c r="G148" s="2263" t="s">
        <v>2551</v>
      </c>
      <c r="H148" s="2265">
        <v>8551119</v>
      </c>
      <c r="I148" s="3178" t="s">
        <v>3224</v>
      </c>
      <c r="J148" s="2266" t="s">
        <v>727</v>
      </c>
      <c r="K148" s="3133" t="s">
        <v>857</v>
      </c>
      <c r="L148" s="2268"/>
      <c r="M148" s="3122" t="s">
        <v>19</v>
      </c>
      <c r="N148" s="2270">
        <v>43794</v>
      </c>
      <c r="O148" s="2271">
        <f t="shared" ref="O148" si="62">+N148</f>
        <v>43794</v>
      </c>
      <c r="P148" s="2777" t="s">
        <v>3979</v>
      </c>
      <c r="Q148" s="2956"/>
      <c r="R148" s="2272">
        <v>211.86439999999999</v>
      </c>
      <c r="S148" s="2273" t="s">
        <v>731</v>
      </c>
      <c r="T148" s="2274" t="s">
        <v>3978</v>
      </c>
      <c r="U148" s="1893"/>
      <c r="V148" s="2079">
        <f t="shared" ref="V148" si="63">+Q148*(1.18)</f>
        <v>0</v>
      </c>
      <c r="W148" s="78">
        <f t="shared" ref="W148" si="64">+R148*(1.18)</f>
        <v>249.99999199999996</v>
      </c>
      <c r="X148" s="1878" t="str">
        <f t="shared" ref="X148" si="65">CONCATENATE(E148,".- ",F148," ",G148," ",H148,"-OT_",K148," "," ",I148," ",P148," ",T148)</f>
        <v>4.- R SAILUM 8551119-OT_S/D  Casc 2a trnspl F001-00004205  SAILUM s606 5016 China</v>
      </c>
      <c r="Z148" s="19" t="str">
        <f t="shared" ref="Z148" si="66">CONCATENATE(I148,J148)</f>
        <v>Casc 2a trnsplReenc. MASTERCAUCHO</v>
      </c>
    </row>
    <row r="149" spans="2:26" ht="15.2" customHeight="1">
      <c r="B149" s="37"/>
      <c r="E149" s="79">
        <v>5</v>
      </c>
      <c r="F149" s="2294" t="s">
        <v>732</v>
      </c>
      <c r="G149" s="81" t="s">
        <v>737</v>
      </c>
      <c r="H149" s="82" t="s">
        <v>999</v>
      </c>
      <c r="I149" s="2015" t="s">
        <v>744</v>
      </c>
      <c r="J149" s="83" t="s">
        <v>727</v>
      </c>
      <c r="K149" s="2295" t="s">
        <v>3965</v>
      </c>
      <c r="L149" s="85">
        <v>43777</v>
      </c>
      <c r="M149" s="2296" t="s">
        <v>19</v>
      </c>
      <c r="N149" s="87">
        <v>43794</v>
      </c>
      <c r="O149" s="88">
        <f t="shared" si="57"/>
        <v>43794</v>
      </c>
      <c r="P149" s="2766" t="s">
        <v>3980</v>
      </c>
      <c r="Q149" s="2955"/>
      <c r="R149" s="89">
        <v>0</v>
      </c>
      <c r="S149" s="1946" t="s">
        <v>731</v>
      </c>
      <c r="T149" s="77" t="s">
        <v>2753</v>
      </c>
      <c r="U149" s="1893"/>
      <c r="V149" s="2079">
        <f t="shared" si="58"/>
        <v>0</v>
      </c>
      <c r="W149" s="78">
        <f t="shared" si="59"/>
        <v>0</v>
      </c>
      <c r="X149" s="1878" t="str">
        <f t="shared" si="60"/>
        <v>5.- C Vikrant 0851007-OT_013805  Sacar_Banda T001-0000172 Casco pelado</v>
      </c>
      <c r="Z149" s="19" t="str">
        <f t="shared" si="61"/>
        <v>Sacar_BandaReenc. MASTERCAUCHO</v>
      </c>
    </row>
    <row r="150" spans="2:26" ht="15.2" customHeight="1">
      <c r="B150" s="37"/>
      <c r="E150" s="3214">
        <v>1</v>
      </c>
      <c r="F150" s="2297" t="s">
        <v>723</v>
      </c>
      <c r="G150" s="68" t="s">
        <v>737</v>
      </c>
      <c r="H150" s="69" t="s">
        <v>3954</v>
      </c>
      <c r="I150" s="2014" t="s">
        <v>726</v>
      </c>
      <c r="J150" s="70" t="s">
        <v>760</v>
      </c>
      <c r="K150" s="2305" t="s">
        <v>3961</v>
      </c>
      <c r="L150" s="72">
        <v>43774</v>
      </c>
      <c r="M150" s="2306" t="s">
        <v>19</v>
      </c>
      <c r="N150" s="74">
        <v>43780</v>
      </c>
      <c r="O150" s="75">
        <f t="shared" si="57"/>
        <v>43780</v>
      </c>
      <c r="P150" s="2765" t="s">
        <v>3975</v>
      </c>
      <c r="Q150" s="2954">
        <v>100.9</v>
      </c>
      <c r="R150" s="76"/>
      <c r="S150" s="1945" t="s">
        <v>731</v>
      </c>
      <c r="T150" s="77" t="s">
        <v>2570</v>
      </c>
      <c r="U150" s="1893"/>
      <c r="V150" s="2079">
        <f t="shared" si="58"/>
        <v>119.062</v>
      </c>
      <c r="W150" s="78">
        <f t="shared" si="59"/>
        <v>0</v>
      </c>
      <c r="X150" s="1878" t="str">
        <f t="shared" si="60"/>
        <v>1.- R Vikrant 0070118-OT_263723  Reencauche F101-00022269 IDY3-220</v>
      </c>
      <c r="Z150" s="19" t="str">
        <f t="shared" si="61"/>
        <v>ReencaucheReencauchadora RENOVA</v>
      </c>
    </row>
    <row r="151" spans="2:26" ht="15.2" customHeight="1">
      <c r="B151" s="37"/>
      <c r="E151" s="3214">
        <v>2</v>
      </c>
      <c r="F151" s="2297" t="s">
        <v>723</v>
      </c>
      <c r="G151" s="68" t="s">
        <v>737</v>
      </c>
      <c r="H151" s="69" t="s">
        <v>3955</v>
      </c>
      <c r="I151" s="2014" t="s">
        <v>726</v>
      </c>
      <c r="J151" s="70" t="s">
        <v>760</v>
      </c>
      <c r="K151" s="2305" t="s">
        <v>3961</v>
      </c>
      <c r="L151" s="72">
        <v>43774</v>
      </c>
      <c r="M151" s="2306" t="s">
        <v>19</v>
      </c>
      <c r="N151" s="74">
        <v>43780</v>
      </c>
      <c r="O151" s="75">
        <f t="shared" si="57"/>
        <v>43780</v>
      </c>
      <c r="P151" s="2765" t="s">
        <v>3975</v>
      </c>
      <c r="Q151" s="2954">
        <v>100.9</v>
      </c>
      <c r="R151" s="76"/>
      <c r="S151" s="1945" t="s">
        <v>731</v>
      </c>
      <c r="T151" s="77" t="s">
        <v>2570</v>
      </c>
      <c r="U151" s="1893"/>
      <c r="V151" s="2079">
        <f t="shared" si="58"/>
        <v>119.062</v>
      </c>
      <c r="W151" s="78">
        <f t="shared" si="59"/>
        <v>0</v>
      </c>
      <c r="X151" s="1878" t="str">
        <f t="shared" si="60"/>
        <v>2.- R Vikrant 0080118-OT_263723  Reencauche F101-00022269 IDY3-220</v>
      </c>
      <c r="Z151" s="19" t="str">
        <f t="shared" si="61"/>
        <v>ReencaucheReencauchadora RENOVA</v>
      </c>
    </row>
    <row r="152" spans="2:26" ht="15.2" customHeight="1">
      <c r="B152" s="37"/>
      <c r="E152" s="3214">
        <v>3</v>
      </c>
      <c r="F152" s="2297" t="s">
        <v>723</v>
      </c>
      <c r="G152" s="68" t="s">
        <v>737</v>
      </c>
      <c r="H152" s="69" t="s">
        <v>3956</v>
      </c>
      <c r="I152" s="2014" t="s">
        <v>726</v>
      </c>
      <c r="J152" s="70" t="s">
        <v>760</v>
      </c>
      <c r="K152" s="2305" t="s">
        <v>3961</v>
      </c>
      <c r="L152" s="72">
        <v>43774</v>
      </c>
      <c r="M152" s="3081" t="s">
        <v>19</v>
      </c>
      <c r="N152" s="74">
        <v>43780</v>
      </c>
      <c r="O152" s="75">
        <f t="shared" si="57"/>
        <v>43780</v>
      </c>
      <c r="P152" s="2765" t="s">
        <v>3975</v>
      </c>
      <c r="Q152" s="2954">
        <v>100.9</v>
      </c>
      <c r="R152" s="76"/>
      <c r="S152" s="1945" t="s">
        <v>731</v>
      </c>
      <c r="T152" s="77" t="s">
        <v>2570</v>
      </c>
      <c r="U152" s="1893"/>
      <c r="V152" s="2079">
        <f t="shared" si="58"/>
        <v>119.062</v>
      </c>
      <c r="W152" s="78">
        <f t="shared" si="59"/>
        <v>0</v>
      </c>
      <c r="X152" s="1878" t="str">
        <f t="shared" si="60"/>
        <v>3.- R Vikrant 0060118-OT_263723  Reencauche F101-00022269 IDY3-220</v>
      </c>
      <c r="Z152" s="19" t="str">
        <f t="shared" si="61"/>
        <v>ReencaucheReencauchadora RENOVA</v>
      </c>
    </row>
    <row r="153" spans="2:26" ht="15.2" customHeight="1">
      <c r="B153" s="37"/>
      <c r="E153" s="3214">
        <v>4</v>
      </c>
      <c r="F153" s="2297" t="s">
        <v>723</v>
      </c>
      <c r="G153" s="68" t="s">
        <v>737</v>
      </c>
      <c r="H153" s="69" t="s">
        <v>3957</v>
      </c>
      <c r="I153" s="2014" t="s">
        <v>726</v>
      </c>
      <c r="J153" s="70" t="s">
        <v>760</v>
      </c>
      <c r="K153" s="2305" t="s">
        <v>3961</v>
      </c>
      <c r="L153" s="72">
        <v>43774</v>
      </c>
      <c r="M153" s="2306" t="s">
        <v>19</v>
      </c>
      <c r="N153" s="74">
        <v>43780</v>
      </c>
      <c r="O153" s="75">
        <f t="shared" si="57"/>
        <v>43780</v>
      </c>
      <c r="P153" s="2765" t="s">
        <v>3975</v>
      </c>
      <c r="Q153" s="2954">
        <v>100.9</v>
      </c>
      <c r="R153" s="76"/>
      <c r="S153" s="1945" t="s">
        <v>731</v>
      </c>
      <c r="T153" s="77" t="s">
        <v>2570</v>
      </c>
      <c r="U153" s="1893"/>
      <c r="V153" s="2079">
        <f t="shared" si="58"/>
        <v>119.062</v>
      </c>
      <c r="W153" s="78">
        <f t="shared" si="59"/>
        <v>0</v>
      </c>
      <c r="X153" s="1878" t="str">
        <f t="shared" si="60"/>
        <v>4.- R Vikrant 0050118-OT_263723  Reencauche F101-00022269 IDY3-220</v>
      </c>
      <c r="Z153" s="19" t="str">
        <f t="shared" si="61"/>
        <v>ReencaucheReencauchadora RENOVA</v>
      </c>
    </row>
    <row r="154" spans="2:26" ht="15.2" customHeight="1">
      <c r="B154" s="37"/>
      <c r="E154" s="3214">
        <v>5</v>
      </c>
      <c r="F154" s="2297" t="s">
        <v>723</v>
      </c>
      <c r="G154" s="68" t="s">
        <v>3953</v>
      </c>
      <c r="H154" s="69" t="s">
        <v>3958</v>
      </c>
      <c r="I154" s="2014" t="s">
        <v>726</v>
      </c>
      <c r="J154" s="70" t="s">
        <v>760</v>
      </c>
      <c r="K154" s="2305" t="s">
        <v>3961</v>
      </c>
      <c r="L154" s="72">
        <v>43774</v>
      </c>
      <c r="M154" s="2306" t="s">
        <v>19</v>
      </c>
      <c r="N154" s="74">
        <v>43780</v>
      </c>
      <c r="O154" s="75">
        <f t="shared" si="57"/>
        <v>43780</v>
      </c>
      <c r="P154" s="2765" t="s">
        <v>3975</v>
      </c>
      <c r="Q154" s="2954">
        <v>100.9</v>
      </c>
      <c r="R154" s="76"/>
      <c r="S154" s="1945" t="s">
        <v>731</v>
      </c>
      <c r="T154" s="77" t="s">
        <v>2570</v>
      </c>
      <c r="U154" s="1893"/>
      <c r="V154" s="2079">
        <f t="shared" si="58"/>
        <v>119.062</v>
      </c>
      <c r="W154" s="78">
        <f t="shared" si="59"/>
        <v>0</v>
      </c>
      <c r="X154" s="1878" t="str">
        <f t="shared" si="60"/>
        <v>5.- R Fesite 1101118-OT_263723  Reencauche F101-00022269 IDY3-220</v>
      </c>
      <c r="Z154" s="19" t="str">
        <f t="shared" si="61"/>
        <v>ReencaucheReencauchadora RENOVA</v>
      </c>
    </row>
    <row r="155" spans="2:26" ht="15.2" customHeight="1">
      <c r="B155" s="37"/>
      <c r="E155" s="3214">
        <v>6</v>
      </c>
      <c r="F155" s="2297" t="s">
        <v>723</v>
      </c>
      <c r="G155" s="68" t="s">
        <v>3953</v>
      </c>
      <c r="H155" s="69" t="s">
        <v>3959</v>
      </c>
      <c r="I155" s="2014" t="s">
        <v>726</v>
      </c>
      <c r="J155" s="70" t="s">
        <v>760</v>
      </c>
      <c r="K155" s="2305" t="s">
        <v>3961</v>
      </c>
      <c r="L155" s="72">
        <v>43774</v>
      </c>
      <c r="M155" s="2306" t="s">
        <v>19</v>
      </c>
      <c r="N155" s="74">
        <v>43780</v>
      </c>
      <c r="O155" s="75">
        <f t="shared" si="57"/>
        <v>43780</v>
      </c>
      <c r="P155" s="2765" t="s">
        <v>3975</v>
      </c>
      <c r="Q155" s="2954">
        <v>100.9</v>
      </c>
      <c r="R155" s="76"/>
      <c r="S155" s="1945" t="s">
        <v>731</v>
      </c>
      <c r="T155" s="77" t="s">
        <v>2570</v>
      </c>
      <c r="U155" s="1893"/>
      <c r="V155" s="2079">
        <f t="shared" si="58"/>
        <v>119.062</v>
      </c>
      <c r="W155" s="78">
        <f t="shared" si="59"/>
        <v>0</v>
      </c>
      <c r="X155" s="1878" t="str">
        <f t="shared" si="60"/>
        <v>6.- R Fesite 1091118-OT_263723  Reencauche F101-00022269 IDY3-220</v>
      </c>
      <c r="Z155" s="19" t="str">
        <f t="shared" si="61"/>
        <v>ReencaucheReencauchadora RENOVA</v>
      </c>
    </row>
    <row r="156" spans="2:26" ht="15.2" customHeight="1">
      <c r="B156" s="37"/>
      <c r="E156" s="79">
        <v>7</v>
      </c>
      <c r="F156" s="2294" t="s">
        <v>723</v>
      </c>
      <c r="G156" s="81" t="s">
        <v>3953</v>
      </c>
      <c r="H156" s="82" t="s">
        <v>3960</v>
      </c>
      <c r="I156" s="2015" t="s">
        <v>726</v>
      </c>
      <c r="J156" s="83" t="s">
        <v>760</v>
      </c>
      <c r="K156" s="2295" t="s">
        <v>3961</v>
      </c>
      <c r="L156" s="85">
        <v>43774</v>
      </c>
      <c r="M156" s="2446" t="s">
        <v>19</v>
      </c>
      <c r="N156" s="87">
        <v>43780</v>
      </c>
      <c r="O156" s="88">
        <f t="shared" si="57"/>
        <v>43780</v>
      </c>
      <c r="P156" s="2766" t="s">
        <v>3975</v>
      </c>
      <c r="Q156" s="2955">
        <v>100.9</v>
      </c>
      <c r="R156" s="89"/>
      <c r="S156" s="1946" t="s">
        <v>731</v>
      </c>
      <c r="T156" s="77" t="s">
        <v>2570</v>
      </c>
      <c r="U156" s="1893"/>
      <c r="V156" s="2079">
        <f t="shared" si="58"/>
        <v>119.062</v>
      </c>
      <c r="W156" s="78">
        <f t="shared" si="59"/>
        <v>0</v>
      </c>
      <c r="X156" s="1878" t="str">
        <f t="shared" si="60"/>
        <v>7.- R Fesite 1111118-OT_263723  Reencauche F101-00022269 IDY3-220</v>
      </c>
      <c r="Z156" s="19" t="str">
        <f t="shared" si="61"/>
        <v>ReencaucheReencauchadora RENOVA</v>
      </c>
    </row>
    <row r="157" spans="2:26" ht="15.2" customHeight="1">
      <c r="B157" s="37"/>
      <c r="E157" s="3207">
        <v>1</v>
      </c>
      <c r="F157" s="2297" t="s">
        <v>723</v>
      </c>
      <c r="G157" s="68" t="s">
        <v>2958</v>
      </c>
      <c r="H157" s="69" t="s">
        <v>2964</v>
      </c>
      <c r="I157" s="2014" t="s">
        <v>726</v>
      </c>
      <c r="J157" s="70" t="s">
        <v>727</v>
      </c>
      <c r="K157" s="2305" t="s">
        <v>3962</v>
      </c>
      <c r="L157" s="72">
        <v>43773</v>
      </c>
      <c r="M157" s="2306" t="s">
        <v>19</v>
      </c>
      <c r="N157" s="74">
        <v>43777</v>
      </c>
      <c r="O157" s="75">
        <f t="shared" si="57"/>
        <v>43777</v>
      </c>
      <c r="P157" s="2765" t="s">
        <v>3974</v>
      </c>
      <c r="Q157" s="2954"/>
      <c r="R157" s="76">
        <v>279.66101694915255</v>
      </c>
      <c r="S157" s="1945" t="s">
        <v>731</v>
      </c>
      <c r="T157" s="77" t="s">
        <v>2712</v>
      </c>
      <c r="U157" s="1893"/>
      <c r="V157" s="2079">
        <f t="shared" si="58"/>
        <v>0</v>
      </c>
      <c r="W157" s="78">
        <f t="shared" si="59"/>
        <v>330</v>
      </c>
      <c r="X157" s="1878" t="str">
        <f t="shared" si="60"/>
        <v>1.- R DUNHOPE 8070318-OT_013681  Reencauche F001-00004073 MDY-220</v>
      </c>
      <c r="Z157" s="19" t="str">
        <f t="shared" si="61"/>
        <v>ReencaucheReenc. MASTERCAUCHO</v>
      </c>
    </row>
    <row r="158" spans="2:26" ht="15.2" customHeight="1">
      <c r="B158" s="37"/>
      <c r="E158" s="3207">
        <v>2</v>
      </c>
      <c r="F158" s="2297" t="s">
        <v>723</v>
      </c>
      <c r="G158" s="68" t="s">
        <v>737</v>
      </c>
      <c r="H158" s="69" t="s">
        <v>2715</v>
      </c>
      <c r="I158" s="3067" t="s">
        <v>811</v>
      </c>
      <c r="J158" s="70" t="s">
        <v>727</v>
      </c>
      <c r="K158" s="2305" t="s">
        <v>3962</v>
      </c>
      <c r="L158" s="72">
        <v>43773</v>
      </c>
      <c r="M158" s="2306" t="s">
        <v>19</v>
      </c>
      <c r="N158" s="74">
        <v>43777</v>
      </c>
      <c r="O158" s="75">
        <f t="shared" si="57"/>
        <v>43777</v>
      </c>
      <c r="P158" s="2765" t="s">
        <v>3974</v>
      </c>
      <c r="Q158" s="2954"/>
      <c r="R158" s="76">
        <v>84.745699999999999</v>
      </c>
      <c r="S158" s="1945" t="s">
        <v>731</v>
      </c>
      <c r="T158" s="77" t="s">
        <v>3829</v>
      </c>
      <c r="U158" s="1893"/>
      <c r="V158" s="2079">
        <f t="shared" si="58"/>
        <v>0</v>
      </c>
      <c r="W158" s="78">
        <f t="shared" si="59"/>
        <v>99.999925999999988</v>
      </c>
      <c r="X158" s="1878" t="str">
        <f t="shared" si="60"/>
        <v>2.- R Vikrant 0340317-OT_013681  Vulcanizado (curación) F001-00004073 REPARACION EN FLANCO</v>
      </c>
      <c r="Z158" s="19" t="str">
        <f t="shared" si="61"/>
        <v>Vulcanizado (curación)Reenc. MASTERCAUCHO</v>
      </c>
    </row>
    <row r="159" spans="2:26" ht="15.2" customHeight="1">
      <c r="B159" s="37"/>
      <c r="E159" s="79">
        <v>3</v>
      </c>
      <c r="F159" s="2294" t="s">
        <v>723</v>
      </c>
      <c r="G159" s="81" t="s">
        <v>825</v>
      </c>
      <c r="H159" s="82" t="s">
        <v>864</v>
      </c>
      <c r="I159" s="3215" t="s">
        <v>726</v>
      </c>
      <c r="J159" s="83" t="s">
        <v>727</v>
      </c>
      <c r="K159" s="2295" t="s">
        <v>3962</v>
      </c>
      <c r="L159" s="85">
        <v>43773</v>
      </c>
      <c r="M159" s="2296" t="s">
        <v>19</v>
      </c>
      <c r="N159" s="87">
        <v>43777</v>
      </c>
      <c r="O159" s="88">
        <f t="shared" si="57"/>
        <v>43777</v>
      </c>
      <c r="P159" s="2766" t="s">
        <v>3973</v>
      </c>
      <c r="Q159" s="2955"/>
      <c r="R159" s="89">
        <v>0</v>
      </c>
      <c r="S159" s="1946" t="s">
        <v>731</v>
      </c>
      <c r="T159" s="77" t="s">
        <v>3612</v>
      </c>
      <c r="U159" s="1893"/>
      <c r="V159" s="2079">
        <f t="shared" si="58"/>
        <v>0</v>
      </c>
      <c r="W159" s="78">
        <f t="shared" si="59"/>
        <v>0</v>
      </c>
      <c r="X159" s="1878" t="str">
        <f t="shared" si="60"/>
        <v>3.- R Falken 0600611-OT_013681  Reencauche T001-0000097 RECHAZO No apto para reencauche</v>
      </c>
      <c r="Z159" s="19" t="str">
        <f t="shared" si="61"/>
        <v>ReencaucheReenc. MASTERCAUCHO</v>
      </c>
    </row>
    <row r="160" spans="2:26" ht="15.2" customHeight="1">
      <c r="B160" s="37"/>
      <c r="E160" s="3207">
        <v>1</v>
      </c>
      <c r="F160" s="2297" t="s">
        <v>723</v>
      </c>
      <c r="G160" s="68" t="s">
        <v>151</v>
      </c>
      <c r="H160" s="69" t="s">
        <v>2884</v>
      </c>
      <c r="I160" s="2014" t="s">
        <v>726</v>
      </c>
      <c r="J160" s="70" t="s">
        <v>727</v>
      </c>
      <c r="K160" s="2305" t="s">
        <v>3940</v>
      </c>
      <c r="L160" s="72">
        <v>43766</v>
      </c>
      <c r="M160" s="2306" t="s">
        <v>19</v>
      </c>
      <c r="N160" s="74">
        <v>43771</v>
      </c>
      <c r="O160" s="75">
        <f t="shared" si="57"/>
        <v>43771</v>
      </c>
      <c r="P160" s="2765" t="s">
        <v>3952</v>
      </c>
      <c r="Q160" s="2954"/>
      <c r="R160" s="76">
        <v>279.66101694915255</v>
      </c>
      <c r="S160" s="1945" t="s">
        <v>731</v>
      </c>
      <c r="T160" s="77" t="s">
        <v>2712</v>
      </c>
      <c r="U160" s="1893"/>
      <c r="V160" s="2079">
        <f t="shared" si="58"/>
        <v>0</v>
      </c>
      <c r="W160" s="78">
        <f t="shared" si="59"/>
        <v>330</v>
      </c>
      <c r="X160" s="1878" t="str">
        <f t="shared" si="60"/>
        <v>1.- R WindPower 0510915-OT_013669  Reencauche F001-00004008 MDY-220</v>
      </c>
      <c r="Z160" s="19" t="str">
        <f t="shared" si="61"/>
        <v>ReencaucheReenc. MASTERCAUCHO</v>
      </c>
    </row>
    <row r="161" spans="2:26" ht="15.2" customHeight="1">
      <c r="B161" s="37"/>
      <c r="E161" s="3207">
        <v>2</v>
      </c>
      <c r="F161" s="2297" t="s">
        <v>723</v>
      </c>
      <c r="G161" s="68" t="s">
        <v>737</v>
      </c>
      <c r="H161" s="69" t="s">
        <v>3247</v>
      </c>
      <c r="I161" s="2014" t="s">
        <v>726</v>
      </c>
      <c r="J161" s="70" t="s">
        <v>727</v>
      </c>
      <c r="K161" s="2305" t="s">
        <v>3940</v>
      </c>
      <c r="L161" s="72">
        <v>43766</v>
      </c>
      <c r="M161" s="2306" t="s">
        <v>19</v>
      </c>
      <c r="N161" s="74">
        <v>43771</v>
      </c>
      <c r="O161" s="75">
        <f t="shared" si="57"/>
        <v>43771</v>
      </c>
      <c r="P161" s="2765" t="s">
        <v>3952</v>
      </c>
      <c r="Q161" s="2954"/>
      <c r="R161" s="76">
        <v>279.66101694915255</v>
      </c>
      <c r="S161" s="1945" t="s">
        <v>731</v>
      </c>
      <c r="T161" s="77" t="s">
        <v>2712</v>
      </c>
      <c r="U161" s="1893"/>
      <c r="V161" s="2079">
        <f t="shared" si="58"/>
        <v>0</v>
      </c>
      <c r="W161" s="78">
        <f t="shared" si="59"/>
        <v>330</v>
      </c>
      <c r="X161" s="1878" t="str">
        <f t="shared" si="60"/>
        <v>2.- R Vikrant 0240217-OT_013669  Reencauche F001-00004008 MDY-220</v>
      </c>
      <c r="Z161" s="19" t="str">
        <f t="shared" si="61"/>
        <v>ReencaucheReenc. MASTERCAUCHO</v>
      </c>
    </row>
    <row r="162" spans="2:26" ht="15.2" customHeight="1">
      <c r="B162" s="37"/>
      <c r="E162" s="2700">
        <v>3</v>
      </c>
      <c r="F162" s="3131" t="s">
        <v>723</v>
      </c>
      <c r="G162" s="2263" t="s">
        <v>3544</v>
      </c>
      <c r="H162" s="2265" t="s">
        <v>3941</v>
      </c>
      <c r="I162" s="3178" t="s">
        <v>3224</v>
      </c>
      <c r="J162" s="2266" t="s">
        <v>727</v>
      </c>
      <c r="K162" s="3133" t="s">
        <v>857</v>
      </c>
      <c r="L162" s="2268"/>
      <c r="M162" s="3122" t="s">
        <v>19</v>
      </c>
      <c r="N162" s="2270">
        <v>43771</v>
      </c>
      <c r="O162" s="2271">
        <f t="shared" si="57"/>
        <v>43771</v>
      </c>
      <c r="P162" s="2777" t="s">
        <v>3952</v>
      </c>
      <c r="Q162" s="2956"/>
      <c r="R162" s="2272">
        <v>211.86439999999999</v>
      </c>
      <c r="S162" s="2273" t="s">
        <v>731</v>
      </c>
      <c r="T162" s="2274" t="s">
        <v>3948</v>
      </c>
      <c r="U162" s="1893"/>
      <c r="V162" s="2079">
        <f t="shared" si="58"/>
        <v>0</v>
      </c>
      <c r="W162" s="78">
        <f t="shared" si="59"/>
        <v>249.99999199999996</v>
      </c>
      <c r="X162" s="1878" t="str">
        <f t="shared" si="60"/>
        <v>3.- R Lanvigator 8521119-OT_S/D  Casc 2a trnspl F001-00004008 Lanvigator D802 1118 China</v>
      </c>
      <c r="Z162" s="19" t="str">
        <f t="shared" si="61"/>
        <v>Casc 2a trnsplReenc. MASTERCAUCHO</v>
      </c>
    </row>
    <row r="163" spans="2:26" ht="15.2" customHeight="1">
      <c r="B163" s="37"/>
      <c r="E163" s="2700">
        <v>4</v>
      </c>
      <c r="F163" s="3131" t="s">
        <v>723</v>
      </c>
      <c r="G163" s="2263" t="s">
        <v>3544</v>
      </c>
      <c r="H163" s="2265" t="s">
        <v>3942</v>
      </c>
      <c r="I163" s="3178" t="s">
        <v>3224</v>
      </c>
      <c r="J163" s="2266" t="s">
        <v>727</v>
      </c>
      <c r="K163" s="3133" t="s">
        <v>857</v>
      </c>
      <c r="L163" s="2268"/>
      <c r="M163" s="3122" t="s">
        <v>19</v>
      </c>
      <c r="N163" s="2270">
        <v>43771</v>
      </c>
      <c r="O163" s="2271">
        <f t="shared" si="57"/>
        <v>43771</v>
      </c>
      <c r="P163" s="2777" t="s">
        <v>3952</v>
      </c>
      <c r="Q163" s="2956"/>
      <c r="R163" s="2272">
        <v>211.86439999999999</v>
      </c>
      <c r="S163" s="2273" t="s">
        <v>731</v>
      </c>
      <c r="T163" s="2274" t="s">
        <v>3948</v>
      </c>
      <c r="U163" s="1893"/>
      <c r="V163" s="2079">
        <f t="shared" si="58"/>
        <v>0</v>
      </c>
      <c r="W163" s="78">
        <f t="shared" si="59"/>
        <v>249.99999199999996</v>
      </c>
      <c r="X163" s="1878" t="str">
        <f t="shared" si="60"/>
        <v>4.- R Lanvigator 8531119-OT_S/D  Casc 2a trnspl F001-00004008 Lanvigator D802 1118 China</v>
      </c>
      <c r="Z163" s="19" t="str">
        <f t="shared" si="61"/>
        <v>Casc 2a trnsplReenc. MASTERCAUCHO</v>
      </c>
    </row>
    <row r="164" spans="2:26" ht="15.2" customHeight="1">
      <c r="B164" s="37"/>
      <c r="E164" s="2700">
        <v>5</v>
      </c>
      <c r="F164" s="3131" t="s">
        <v>723</v>
      </c>
      <c r="G164" s="2263" t="s">
        <v>3470</v>
      </c>
      <c r="H164" s="2265" t="s">
        <v>3943</v>
      </c>
      <c r="I164" s="3178" t="s">
        <v>3224</v>
      </c>
      <c r="J164" s="2266" t="s">
        <v>727</v>
      </c>
      <c r="K164" s="3133" t="s">
        <v>857</v>
      </c>
      <c r="L164" s="2268"/>
      <c r="M164" s="3122" t="s">
        <v>19</v>
      </c>
      <c r="N164" s="2270">
        <v>43771</v>
      </c>
      <c r="O164" s="2271">
        <f t="shared" si="57"/>
        <v>43771</v>
      </c>
      <c r="P164" s="2777" t="s">
        <v>3952</v>
      </c>
      <c r="Q164" s="2956"/>
      <c r="R164" s="2272">
        <v>211.86439999999999</v>
      </c>
      <c r="S164" s="2273" t="s">
        <v>731</v>
      </c>
      <c r="T164" s="2274" t="s">
        <v>3949</v>
      </c>
      <c r="U164" s="1893"/>
      <c r="V164" s="2079">
        <f t="shared" si="58"/>
        <v>0</v>
      </c>
      <c r="W164" s="78">
        <f t="shared" si="59"/>
        <v>249.99999199999996</v>
      </c>
      <c r="X164" s="1878" t="str">
        <f t="shared" si="60"/>
        <v>5.- R JINYU 8541119-OT_S/D  Casc 2a trnspl F001-00004008 JINYU JY601 0515 China</v>
      </c>
      <c r="Z164" s="19" t="str">
        <f t="shared" si="61"/>
        <v>Casc 2a trnsplReenc. MASTERCAUCHO</v>
      </c>
    </row>
    <row r="165" spans="2:26" ht="15.2" customHeight="1">
      <c r="B165" s="37"/>
      <c r="E165" s="3180">
        <v>6</v>
      </c>
      <c r="F165" s="2297" t="s">
        <v>723</v>
      </c>
      <c r="G165" s="68" t="s">
        <v>1603</v>
      </c>
      <c r="H165" s="69" t="s">
        <v>1597</v>
      </c>
      <c r="I165" s="2014" t="s">
        <v>744</v>
      </c>
      <c r="J165" s="70" t="s">
        <v>727</v>
      </c>
      <c r="K165" s="2305" t="s">
        <v>3940</v>
      </c>
      <c r="L165" s="72">
        <v>43766</v>
      </c>
      <c r="M165" s="2306" t="s">
        <v>19</v>
      </c>
      <c r="N165" s="74">
        <v>43771</v>
      </c>
      <c r="O165" s="75">
        <f t="shared" ref="O165:O188" si="67">+N165</f>
        <v>43771</v>
      </c>
      <c r="P165" s="2765" t="s">
        <v>3951</v>
      </c>
      <c r="Q165" s="2954"/>
      <c r="R165" s="76">
        <v>0</v>
      </c>
      <c r="S165" s="1945" t="s">
        <v>731</v>
      </c>
      <c r="T165" s="77" t="s">
        <v>3950</v>
      </c>
      <c r="U165" s="1893"/>
      <c r="V165" s="2079">
        <f t="shared" ref="V165:V188" si="68">+Q165*(1.18)</f>
        <v>0</v>
      </c>
      <c r="W165" s="78">
        <f t="shared" ref="W165:W188" si="69">+R165*(1.18)</f>
        <v>0</v>
      </c>
      <c r="X165" s="1878" t="str">
        <f t="shared" ref="X165:X193" si="70">CONCATENATE(E165,".- ",F165," ",G165," ",H165,"-OT_",K165," "," ",I165," ",P165," ",T165)</f>
        <v>6.- R Otani 8180616-OT_013669  Sacar_Banda T001-0000069 No apto para transplante</v>
      </c>
      <c r="Z165" s="19" t="str">
        <f t="shared" ref="Z165:Z188" si="71">CONCATENATE(I165,J165)</f>
        <v>Sacar_BandaReenc. MASTERCAUCHO</v>
      </c>
    </row>
    <row r="166" spans="2:26" ht="15.2" customHeight="1">
      <c r="B166" s="37"/>
      <c r="E166" s="3180">
        <v>7</v>
      </c>
      <c r="F166" s="2297" t="s">
        <v>732</v>
      </c>
      <c r="G166" s="68" t="s">
        <v>737</v>
      </c>
      <c r="H166" s="69" t="s">
        <v>786</v>
      </c>
      <c r="I166" s="2014" t="s">
        <v>744</v>
      </c>
      <c r="J166" s="70" t="s">
        <v>727</v>
      </c>
      <c r="K166" s="2305" t="s">
        <v>3940</v>
      </c>
      <c r="L166" s="72">
        <v>43766</v>
      </c>
      <c r="M166" s="2306" t="s">
        <v>19</v>
      </c>
      <c r="N166" s="74">
        <v>43771</v>
      </c>
      <c r="O166" s="75">
        <f t="shared" si="67"/>
        <v>43771</v>
      </c>
      <c r="P166" s="2765" t="s">
        <v>3951</v>
      </c>
      <c r="Q166" s="2954"/>
      <c r="R166" s="76">
        <v>0</v>
      </c>
      <c r="S166" s="1945" t="s">
        <v>731</v>
      </c>
      <c r="T166" s="77" t="s">
        <v>2753</v>
      </c>
      <c r="U166" s="1893"/>
      <c r="V166" s="2079">
        <f t="shared" si="68"/>
        <v>0</v>
      </c>
      <c r="W166" s="78">
        <f t="shared" si="69"/>
        <v>0</v>
      </c>
      <c r="X166" s="1878" t="str">
        <f t="shared" si="70"/>
        <v>7.- C Vikrant 0210310-OT_013669  Sacar_Banda T001-0000069 Casco pelado</v>
      </c>
      <c r="Z166" s="19" t="str">
        <f t="shared" si="71"/>
        <v>Sacar_BandaReenc. MASTERCAUCHO</v>
      </c>
    </row>
    <row r="167" spans="2:26" ht="15.2" customHeight="1">
      <c r="B167" s="37"/>
      <c r="E167" s="3180">
        <v>8</v>
      </c>
      <c r="F167" s="2297" t="s">
        <v>732</v>
      </c>
      <c r="G167" s="68" t="s">
        <v>737</v>
      </c>
      <c r="H167" s="69" t="s">
        <v>3938</v>
      </c>
      <c r="I167" s="2014" t="s">
        <v>744</v>
      </c>
      <c r="J167" s="70" t="s">
        <v>727</v>
      </c>
      <c r="K167" s="2305" t="s">
        <v>3940</v>
      </c>
      <c r="L167" s="72">
        <v>43766</v>
      </c>
      <c r="M167" s="2306" t="s">
        <v>19</v>
      </c>
      <c r="N167" s="74">
        <v>43771</v>
      </c>
      <c r="O167" s="75">
        <f t="shared" si="67"/>
        <v>43771</v>
      </c>
      <c r="P167" s="2765" t="s">
        <v>3951</v>
      </c>
      <c r="Q167" s="2954"/>
      <c r="R167" s="76">
        <v>0</v>
      </c>
      <c r="S167" s="1945" t="s">
        <v>731</v>
      </c>
      <c r="T167" s="77" t="s">
        <v>2753</v>
      </c>
      <c r="U167" s="1893"/>
      <c r="V167" s="2079">
        <f t="shared" si="68"/>
        <v>0</v>
      </c>
      <c r="W167" s="78">
        <f t="shared" si="69"/>
        <v>0</v>
      </c>
      <c r="X167" s="1878" t="str">
        <f t="shared" si="70"/>
        <v>8.- C Vikrant 0700905-OT_013669  Sacar_Banda T001-0000069 Casco pelado</v>
      </c>
      <c r="Z167" s="19" t="str">
        <f t="shared" si="71"/>
        <v>Sacar_BandaReenc. MASTERCAUCHO</v>
      </c>
    </row>
    <row r="168" spans="2:26" ht="15.2" customHeight="1">
      <c r="B168" s="37"/>
      <c r="E168" s="79">
        <v>9</v>
      </c>
      <c r="F168" s="2294" t="s">
        <v>732</v>
      </c>
      <c r="G168" s="81" t="s">
        <v>1108</v>
      </c>
      <c r="H168" s="82" t="s">
        <v>3939</v>
      </c>
      <c r="I168" s="2015" t="s">
        <v>744</v>
      </c>
      <c r="J168" s="83" t="s">
        <v>727</v>
      </c>
      <c r="K168" s="2295" t="s">
        <v>3940</v>
      </c>
      <c r="L168" s="85">
        <v>43766</v>
      </c>
      <c r="M168" s="2296" t="s">
        <v>19</v>
      </c>
      <c r="N168" s="87">
        <v>43771</v>
      </c>
      <c r="O168" s="88">
        <f t="shared" si="67"/>
        <v>43771</v>
      </c>
      <c r="P168" s="2766" t="s">
        <v>3951</v>
      </c>
      <c r="Q168" s="2955"/>
      <c r="R168" s="89">
        <v>0</v>
      </c>
      <c r="S168" s="1946" t="s">
        <v>731</v>
      </c>
      <c r="T168" s="77" t="s">
        <v>2753</v>
      </c>
      <c r="U168" s="1893"/>
      <c r="V168" s="2079">
        <f t="shared" si="68"/>
        <v>0</v>
      </c>
      <c r="W168" s="78">
        <f t="shared" si="69"/>
        <v>0</v>
      </c>
      <c r="X168" s="1878" t="str">
        <f t="shared" si="70"/>
        <v>9.- C Hankook 0380309-OT_013669  Sacar_Banda T001-0000069 Casco pelado</v>
      </c>
      <c r="Z168" s="19" t="str">
        <f t="shared" si="71"/>
        <v>Sacar_BandaReenc. MASTERCAUCHO</v>
      </c>
    </row>
    <row r="169" spans="2:26" ht="15.2" customHeight="1">
      <c r="B169" s="37"/>
      <c r="E169" s="3180">
        <v>1</v>
      </c>
      <c r="F169" s="2297" t="s">
        <v>723</v>
      </c>
      <c r="G169" s="68" t="s">
        <v>724</v>
      </c>
      <c r="H169" s="69" t="s">
        <v>14</v>
      </c>
      <c r="I169" s="2014" t="s">
        <v>726</v>
      </c>
      <c r="J169" s="70" t="s">
        <v>727</v>
      </c>
      <c r="K169" s="2305" t="s">
        <v>3910</v>
      </c>
      <c r="L169" s="72">
        <v>43754</v>
      </c>
      <c r="M169" s="2306" t="s">
        <v>19</v>
      </c>
      <c r="N169" s="74">
        <v>43762</v>
      </c>
      <c r="O169" s="75">
        <f t="shared" si="67"/>
        <v>43762</v>
      </c>
      <c r="P169" s="2765" t="s">
        <v>3935</v>
      </c>
      <c r="Q169" s="2954"/>
      <c r="R169" s="76">
        <v>279.66101694915255</v>
      </c>
      <c r="S169" s="1945" t="s">
        <v>731</v>
      </c>
      <c r="T169" s="77" t="s">
        <v>2712</v>
      </c>
      <c r="U169" s="1893"/>
      <c r="V169" s="2079">
        <f t="shared" si="68"/>
        <v>0</v>
      </c>
      <c r="W169" s="78">
        <f t="shared" si="69"/>
        <v>330</v>
      </c>
      <c r="X169" s="1878" t="str">
        <f t="shared" si="70"/>
        <v>1.- R Aeolus 0100612-OT_013565  Reencauche F001-00003940 MDY-220</v>
      </c>
      <c r="Z169" s="19" t="str">
        <f t="shared" si="71"/>
        <v>ReencaucheReenc. MASTERCAUCHO</v>
      </c>
    </row>
    <row r="170" spans="2:26" ht="15.2" customHeight="1">
      <c r="B170" s="37"/>
      <c r="E170" s="2700">
        <v>2</v>
      </c>
      <c r="F170" s="3131" t="s">
        <v>723</v>
      </c>
      <c r="G170" s="2263" t="s">
        <v>247</v>
      </c>
      <c r="H170" s="2265" t="s">
        <v>3932</v>
      </c>
      <c r="I170" s="3178" t="s">
        <v>3224</v>
      </c>
      <c r="J170" s="2266" t="s">
        <v>727</v>
      </c>
      <c r="K170" s="3133" t="s">
        <v>857</v>
      </c>
      <c r="L170" s="2268"/>
      <c r="M170" s="3122" t="s">
        <v>19</v>
      </c>
      <c r="N170" s="2270">
        <v>43762</v>
      </c>
      <c r="O170" s="2271">
        <f t="shared" si="67"/>
        <v>43762</v>
      </c>
      <c r="P170" s="2777" t="s">
        <v>3935</v>
      </c>
      <c r="Q170" s="2956"/>
      <c r="R170" s="2272">
        <v>211.86439999999999</v>
      </c>
      <c r="S170" s="2273" t="s">
        <v>731</v>
      </c>
      <c r="T170" s="2274" t="s">
        <v>3937</v>
      </c>
      <c r="U170" s="1893"/>
      <c r="V170" s="2079">
        <f t="shared" si="68"/>
        <v>0</v>
      </c>
      <c r="W170" s="78">
        <f t="shared" si="69"/>
        <v>249.99999199999996</v>
      </c>
      <c r="X170" s="1878" t="str">
        <f t="shared" si="70"/>
        <v>2.- R Double Happines 8491019-OT_S/D  Casc 2a trnspl F001-00003940 DR908 1018 China</v>
      </c>
      <c r="Z170" s="19" t="str">
        <f t="shared" si="71"/>
        <v>Casc 2a trnsplReenc. MASTERCAUCHO</v>
      </c>
    </row>
    <row r="171" spans="2:26" ht="15.2" customHeight="1">
      <c r="B171" s="37"/>
      <c r="E171" s="2700">
        <v>3</v>
      </c>
      <c r="F171" s="3131" t="s">
        <v>723</v>
      </c>
      <c r="G171" s="2263" t="s">
        <v>247</v>
      </c>
      <c r="H171" s="2265" t="s">
        <v>3933</v>
      </c>
      <c r="I171" s="3178" t="s">
        <v>3224</v>
      </c>
      <c r="J171" s="2266" t="s">
        <v>727</v>
      </c>
      <c r="K171" s="3133" t="s">
        <v>857</v>
      </c>
      <c r="L171" s="2268"/>
      <c r="M171" s="3122" t="s">
        <v>19</v>
      </c>
      <c r="N171" s="2270">
        <v>43762</v>
      </c>
      <c r="O171" s="2271">
        <f t="shared" ref="O171:O175" si="72">+N171</f>
        <v>43762</v>
      </c>
      <c r="P171" s="2777" t="s">
        <v>3935</v>
      </c>
      <c r="Q171" s="2956"/>
      <c r="R171" s="2272">
        <v>211.86439999999999</v>
      </c>
      <c r="S171" s="2273" t="s">
        <v>731</v>
      </c>
      <c r="T171" s="2274" t="s">
        <v>3937</v>
      </c>
      <c r="U171" s="1893"/>
      <c r="V171" s="2079">
        <f t="shared" ref="V171:V175" si="73">+Q171*(1.18)</f>
        <v>0</v>
      </c>
      <c r="W171" s="78">
        <f t="shared" ref="W171:W175" si="74">+R171*(1.18)</f>
        <v>249.99999199999996</v>
      </c>
      <c r="X171" s="1878" t="str">
        <f t="shared" ref="X171:X175" si="75">CONCATENATE(E171,".- ",F171," ",G171," ",H171,"-OT_",K171," "," ",I171," ",P171," ",T171)</f>
        <v>3.- R Double Happines 8501019-OT_S/D  Casc 2a trnspl F001-00003940 DR908 1018 China</v>
      </c>
      <c r="Z171" s="19" t="str">
        <f t="shared" ref="Z171:Z175" si="76">CONCATENATE(I171,J171)</f>
        <v>Casc 2a trnsplReenc. MASTERCAUCHO</v>
      </c>
    </row>
    <row r="172" spans="2:26" ht="15.2" customHeight="1">
      <c r="B172" s="37"/>
      <c r="E172" s="2700">
        <v>4</v>
      </c>
      <c r="F172" s="3131" t="s">
        <v>723</v>
      </c>
      <c r="G172" s="2263" t="s">
        <v>247</v>
      </c>
      <c r="H172" s="2265" t="s">
        <v>3934</v>
      </c>
      <c r="I172" s="3178" t="s">
        <v>3224</v>
      </c>
      <c r="J172" s="2266" t="s">
        <v>727</v>
      </c>
      <c r="K172" s="3133" t="s">
        <v>857</v>
      </c>
      <c r="L172" s="2268"/>
      <c r="M172" s="3122" t="s">
        <v>19</v>
      </c>
      <c r="N172" s="2270">
        <v>43762</v>
      </c>
      <c r="O172" s="2271">
        <f t="shared" si="72"/>
        <v>43762</v>
      </c>
      <c r="P172" s="2777" t="s">
        <v>3935</v>
      </c>
      <c r="Q172" s="2956"/>
      <c r="R172" s="2272">
        <v>211.86439999999999</v>
      </c>
      <c r="S172" s="2273" t="s">
        <v>731</v>
      </c>
      <c r="T172" s="2274" t="s">
        <v>3937</v>
      </c>
      <c r="U172" s="1893"/>
      <c r="V172" s="2079">
        <f t="shared" si="73"/>
        <v>0</v>
      </c>
      <c r="W172" s="78">
        <f t="shared" si="74"/>
        <v>249.99999199999996</v>
      </c>
      <c r="X172" s="1878" t="str">
        <f t="shared" si="75"/>
        <v>4.- R Double Happines 8511019-OT_S/D  Casc 2a trnspl F001-00003940 DR908 1018 China</v>
      </c>
      <c r="Z172" s="19" t="str">
        <f t="shared" si="76"/>
        <v>Casc 2a trnsplReenc. MASTERCAUCHO</v>
      </c>
    </row>
    <row r="173" spans="2:26" ht="15.2" customHeight="1">
      <c r="B173" s="37"/>
      <c r="E173" s="3180">
        <v>5</v>
      </c>
      <c r="F173" s="2297" t="s">
        <v>723</v>
      </c>
      <c r="G173" s="68" t="s">
        <v>247</v>
      </c>
      <c r="H173" s="69" t="s">
        <v>3822</v>
      </c>
      <c r="I173" s="2014" t="s">
        <v>726</v>
      </c>
      <c r="J173" s="70" t="s">
        <v>727</v>
      </c>
      <c r="K173" s="2305" t="s">
        <v>3910</v>
      </c>
      <c r="L173" s="72">
        <v>43754</v>
      </c>
      <c r="M173" s="2306" t="s">
        <v>19</v>
      </c>
      <c r="N173" s="74">
        <v>43762</v>
      </c>
      <c r="O173" s="75">
        <f>+N173</f>
        <v>43762</v>
      </c>
      <c r="P173" s="2765" t="s">
        <v>3936</v>
      </c>
      <c r="Q173" s="2954"/>
      <c r="R173" s="76">
        <v>0</v>
      </c>
      <c r="S173" s="1945" t="s">
        <v>731</v>
      </c>
      <c r="T173" s="77" t="s">
        <v>3612</v>
      </c>
      <c r="U173" s="1893"/>
      <c r="V173" s="2079">
        <f>+Q173*(1.18)</f>
        <v>0</v>
      </c>
      <c r="W173" s="78">
        <f>+R173*(1.18)</f>
        <v>0</v>
      </c>
      <c r="X173" s="1878" t="str">
        <f>CONCATENATE(E173,".- ",F173," ",G173," ",H173,"-OT_",K173," "," ",I173," ",P173," ",T173)</f>
        <v>5.- R Double Happines 8260819-OT_013565  Reencauche T001-0000040 RECHAZO No apto para reencauche</v>
      </c>
      <c r="Z173" s="19" t="str">
        <f>CONCATENATE(I173,J173)</f>
        <v>ReencaucheReenc. MASTERCAUCHO</v>
      </c>
    </row>
    <row r="174" spans="2:26" ht="15.2" customHeight="1">
      <c r="B174" s="37"/>
      <c r="E174" s="3180">
        <v>6</v>
      </c>
      <c r="F174" s="2297" t="s">
        <v>723</v>
      </c>
      <c r="G174" s="68" t="s">
        <v>724</v>
      </c>
      <c r="H174" s="69" t="s">
        <v>13</v>
      </c>
      <c r="I174" s="2014" t="s">
        <v>726</v>
      </c>
      <c r="J174" s="70" t="s">
        <v>727</v>
      </c>
      <c r="K174" s="2305" t="s">
        <v>3910</v>
      </c>
      <c r="L174" s="72">
        <v>43754</v>
      </c>
      <c r="M174" s="2306" t="s">
        <v>19</v>
      </c>
      <c r="N174" s="74">
        <v>43762</v>
      </c>
      <c r="O174" s="75">
        <f>+N174</f>
        <v>43762</v>
      </c>
      <c r="P174" s="2765" t="s">
        <v>3936</v>
      </c>
      <c r="Q174" s="2954"/>
      <c r="R174" s="76">
        <v>0</v>
      </c>
      <c r="S174" s="1945" t="s">
        <v>731</v>
      </c>
      <c r="T174" s="77" t="s">
        <v>3612</v>
      </c>
      <c r="U174" s="1893"/>
      <c r="V174" s="2079">
        <f>+Q174*(1.18)</f>
        <v>0</v>
      </c>
      <c r="W174" s="78">
        <f>+R174*(1.18)</f>
        <v>0</v>
      </c>
      <c r="X174" s="1878" t="str">
        <f>CONCATENATE(E174,".- ",F174," ",G174," ",H174,"-OT_",K174," "," ",I174," ",P174," ",T174)</f>
        <v>6.- R Aeolus 0250413-OT_013565  Reencauche T001-0000040 RECHAZO No apto para reencauche</v>
      </c>
      <c r="Z174" s="19" t="str">
        <f>CONCATENATE(I174,J174)</f>
        <v>ReencaucheReenc. MASTERCAUCHO</v>
      </c>
    </row>
    <row r="175" spans="2:26" ht="15.2" customHeight="1">
      <c r="B175" s="37"/>
      <c r="E175" s="3207">
        <v>7</v>
      </c>
      <c r="F175" s="2297" t="s">
        <v>732</v>
      </c>
      <c r="G175" s="68" t="s">
        <v>733</v>
      </c>
      <c r="H175" s="69" t="s">
        <v>1971</v>
      </c>
      <c r="I175" s="2014" t="s">
        <v>744</v>
      </c>
      <c r="J175" s="70" t="s">
        <v>727</v>
      </c>
      <c r="K175" s="2305" t="s">
        <v>3910</v>
      </c>
      <c r="L175" s="72">
        <v>43754</v>
      </c>
      <c r="M175" s="2306" t="s">
        <v>19</v>
      </c>
      <c r="N175" s="74">
        <v>43762</v>
      </c>
      <c r="O175" s="75">
        <f t="shared" si="72"/>
        <v>43762</v>
      </c>
      <c r="P175" s="2765" t="s">
        <v>3936</v>
      </c>
      <c r="Q175" s="2954"/>
      <c r="R175" s="76">
        <v>0</v>
      </c>
      <c r="S175" s="1945" t="s">
        <v>731</v>
      </c>
      <c r="T175" s="77" t="s">
        <v>2753</v>
      </c>
      <c r="U175" s="1893"/>
      <c r="V175" s="2079">
        <f t="shared" si="73"/>
        <v>0</v>
      </c>
      <c r="W175" s="78">
        <f t="shared" si="74"/>
        <v>0</v>
      </c>
      <c r="X175" s="1878" t="str">
        <f t="shared" si="75"/>
        <v>7.- C Lima Caucho 0230207-OT_013565  Sacar_Banda T001-0000040 Casco pelado</v>
      </c>
      <c r="Z175" s="19" t="str">
        <f t="shared" si="76"/>
        <v>Sacar_BandaReenc. MASTERCAUCHO</v>
      </c>
    </row>
    <row r="176" spans="2:26" ht="15.2" customHeight="1">
      <c r="B176" s="37"/>
      <c r="E176" s="3180">
        <v>8</v>
      </c>
      <c r="F176" s="2297" t="s">
        <v>732</v>
      </c>
      <c r="G176" s="68" t="s">
        <v>733</v>
      </c>
      <c r="H176" s="69" t="s">
        <v>1689</v>
      </c>
      <c r="I176" s="2014" t="s">
        <v>744</v>
      </c>
      <c r="J176" s="70" t="s">
        <v>727</v>
      </c>
      <c r="K176" s="2305" t="s">
        <v>3910</v>
      </c>
      <c r="L176" s="72">
        <v>43754</v>
      </c>
      <c r="M176" s="2306" t="s">
        <v>19</v>
      </c>
      <c r="N176" s="74">
        <v>43762</v>
      </c>
      <c r="O176" s="75">
        <f t="shared" si="67"/>
        <v>43762</v>
      </c>
      <c r="P176" s="2765" t="s">
        <v>3936</v>
      </c>
      <c r="Q176" s="2954"/>
      <c r="R176" s="76">
        <v>0</v>
      </c>
      <c r="S176" s="1945" t="s">
        <v>731</v>
      </c>
      <c r="T176" s="77" t="s">
        <v>2753</v>
      </c>
      <c r="U176" s="1893"/>
      <c r="V176" s="2079">
        <f t="shared" si="68"/>
        <v>0</v>
      </c>
      <c r="W176" s="78">
        <f t="shared" si="69"/>
        <v>0</v>
      </c>
      <c r="X176" s="1878" t="str">
        <f t="shared" si="70"/>
        <v>8.- C Lima Caucho 0690808-OT_013565  Sacar_Banda T001-0000040 Casco pelado</v>
      </c>
      <c r="Z176" s="19" t="str">
        <f t="shared" si="71"/>
        <v>Sacar_BandaReenc. MASTERCAUCHO</v>
      </c>
    </row>
    <row r="177" spans="2:26" ht="15.2" customHeight="1">
      <c r="B177" s="37"/>
      <c r="E177" s="79">
        <v>9</v>
      </c>
      <c r="F177" s="2294" t="s">
        <v>732</v>
      </c>
      <c r="G177" s="81" t="s">
        <v>733</v>
      </c>
      <c r="H177" s="82" t="s">
        <v>1737</v>
      </c>
      <c r="I177" s="2015" t="s">
        <v>744</v>
      </c>
      <c r="J177" s="83" t="s">
        <v>727</v>
      </c>
      <c r="K177" s="2295" t="s">
        <v>3910</v>
      </c>
      <c r="L177" s="85">
        <v>43754</v>
      </c>
      <c r="M177" s="2296" t="s">
        <v>19</v>
      </c>
      <c r="N177" s="87">
        <v>43762</v>
      </c>
      <c r="O177" s="88">
        <f t="shared" si="67"/>
        <v>43762</v>
      </c>
      <c r="P177" s="2766" t="s">
        <v>3936</v>
      </c>
      <c r="Q177" s="2955"/>
      <c r="R177" s="89">
        <v>0</v>
      </c>
      <c r="S177" s="1946" t="s">
        <v>731</v>
      </c>
      <c r="T177" s="77" t="s">
        <v>2753</v>
      </c>
      <c r="U177" s="1893"/>
      <c r="V177" s="2079">
        <f t="shared" si="68"/>
        <v>0</v>
      </c>
      <c r="W177" s="78">
        <f t="shared" si="69"/>
        <v>0</v>
      </c>
      <c r="X177" s="1878" t="str">
        <f t="shared" si="70"/>
        <v>9.- C Lima Caucho 0280507-OT_013565  Sacar_Banda T001-0000040 Casco pelado</v>
      </c>
      <c r="Z177" s="19" t="str">
        <f t="shared" si="71"/>
        <v>Sacar_BandaReenc. MASTERCAUCHO</v>
      </c>
    </row>
    <row r="178" spans="2:26" ht="15.2" customHeight="1">
      <c r="B178" s="37"/>
      <c r="E178" s="3212">
        <v>1</v>
      </c>
      <c r="F178" s="2297" t="s">
        <v>723</v>
      </c>
      <c r="G178" s="68" t="s">
        <v>724</v>
      </c>
      <c r="H178" s="69" t="s">
        <v>3929</v>
      </c>
      <c r="I178" s="2014" t="s">
        <v>726</v>
      </c>
      <c r="J178" s="70" t="s">
        <v>760</v>
      </c>
      <c r="K178" s="2305" t="s">
        <v>3928</v>
      </c>
      <c r="L178" s="72">
        <v>43754</v>
      </c>
      <c r="M178" s="73" t="s">
        <v>19</v>
      </c>
      <c r="N178" s="74">
        <v>43761</v>
      </c>
      <c r="O178" s="75">
        <v>43759</v>
      </c>
      <c r="P178" s="2765" t="s">
        <v>3931</v>
      </c>
      <c r="Q178" s="2954">
        <f>0.95*106.21</f>
        <v>100.89949999999999</v>
      </c>
      <c r="R178" s="76"/>
      <c r="S178" s="1945" t="s">
        <v>731</v>
      </c>
      <c r="T178" s="77" t="s">
        <v>2570</v>
      </c>
      <c r="U178" s="3213">
        <v>0.05</v>
      </c>
      <c r="V178" s="2079">
        <f t="shared" ref="V178:V180" si="77">+Q178*(1.18)</f>
        <v>119.06140999999998</v>
      </c>
      <c r="W178" s="78">
        <f t="shared" ref="W178:W180" si="78">+R178*(1.18)</f>
        <v>0</v>
      </c>
      <c r="X178" s="1878" t="str">
        <f t="shared" ref="X178:X180" si="79">CONCATENATE(E178,".- ",F178," ",G178," ",H178,"-OT_",K178," "," ",I178," ",P178," ",T178)</f>
        <v>1.- R Aeolus 0391114-OT_263230  Reencauche F102-00017274 IDY3-220</v>
      </c>
      <c r="Z178" s="19" t="str">
        <f t="shared" ref="Z178:Z180" si="80">CONCATENATE(I178,J178)</f>
        <v>ReencaucheReencauchadora RENOVA</v>
      </c>
    </row>
    <row r="179" spans="2:26" ht="15.2" customHeight="1">
      <c r="B179" s="37"/>
      <c r="E179" s="3212">
        <v>2</v>
      </c>
      <c r="F179" s="2297" t="s">
        <v>723</v>
      </c>
      <c r="G179" s="68" t="s">
        <v>724</v>
      </c>
      <c r="H179" s="69" t="s">
        <v>3930</v>
      </c>
      <c r="I179" s="2014" t="s">
        <v>726</v>
      </c>
      <c r="J179" s="70" t="s">
        <v>760</v>
      </c>
      <c r="K179" s="2305" t="s">
        <v>3928</v>
      </c>
      <c r="L179" s="72">
        <v>43754</v>
      </c>
      <c r="M179" s="73" t="s">
        <v>19</v>
      </c>
      <c r="N179" s="74">
        <v>43761</v>
      </c>
      <c r="O179" s="75">
        <v>43759</v>
      </c>
      <c r="P179" s="2765" t="s">
        <v>3931</v>
      </c>
      <c r="Q179" s="2954">
        <f t="shared" ref="Q179:Q180" si="81">0.95*106.21</f>
        <v>100.89949999999999</v>
      </c>
      <c r="R179" s="76"/>
      <c r="S179" s="1945" t="s">
        <v>731</v>
      </c>
      <c r="T179" s="77" t="s">
        <v>2570</v>
      </c>
      <c r="U179" s="3213">
        <v>0.05</v>
      </c>
      <c r="V179" s="2079">
        <f t="shared" si="77"/>
        <v>119.06140999999998</v>
      </c>
      <c r="W179" s="78">
        <f t="shared" si="78"/>
        <v>0</v>
      </c>
      <c r="X179" s="1878" t="str">
        <f t="shared" si="79"/>
        <v>2.- R Aeolus 0700617-OT_263230  Reencauche F102-00017274 IDY3-220</v>
      </c>
      <c r="Z179" s="19" t="str">
        <f t="shared" si="80"/>
        <v>ReencaucheReencauchadora RENOVA</v>
      </c>
    </row>
    <row r="180" spans="2:26" ht="15.2" customHeight="1">
      <c r="B180" s="37"/>
      <c r="E180" s="79">
        <v>3</v>
      </c>
      <c r="F180" s="2294" t="s">
        <v>723</v>
      </c>
      <c r="G180" s="81" t="s">
        <v>737</v>
      </c>
      <c r="H180" s="82" t="s">
        <v>2891</v>
      </c>
      <c r="I180" s="2015" t="s">
        <v>726</v>
      </c>
      <c r="J180" s="83" t="s">
        <v>760</v>
      </c>
      <c r="K180" s="2295" t="s">
        <v>3928</v>
      </c>
      <c r="L180" s="85">
        <v>43754</v>
      </c>
      <c r="M180" s="86" t="s">
        <v>19</v>
      </c>
      <c r="N180" s="87">
        <v>43761</v>
      </c>
      <c r="O180" s="88">
        <v>43759</v>
      </c>
      <c r="P180" s="2766" t="s">
        <v>3931</v>
      </c>
      <c r="Q180" s="2955">
        <f t="shared" si="81"/>
        <v>100.89949999999999</v>
      </c>
      <c r="R180" s="89"/>
      <c r="S180" s="1946" t="s">
        <v>731</v>
      </c>
      <c r="T180" s="77" t="s">
        <v>2570</v>
      </c>
      <c r="U180" s="3213">
        <v>0.05</v>
      </c>
      <c r="V180" s="2079">
        <f t="shared" si="77"/>
        <v>119.06140999999998</v>
      </c>
      <c r="W180" s="78">
        <f t="shared" si="78"/>
        <v>0</v>
      </c>
      <c r="X180" s="1878" t="str">
        <f t="shared" si="79"/>
        <v>3.- R Vikrant 0550617-OT_263230  Reencauche F102-00017274 IDY3-220</v>
      </c>
      <c r="Z180" s="19" t="str">
        <f t="shared" si="80"/>
        <v>ReencaucheReencauchadora RENOVA</v>
      </c>
    </row>
    <row r="181" spans="2:26" ht="15.2" customHeight="1">
      <c r="B181" s="37"/>
      <c r="E181" s="3180">
        <v>1</v>
      </c>
      <c r="F181" s="2297" t="s">
        <v>723</v>
      </c>
      <c r="G181" s="68" t="s">
        <v>724</v>
      </c>
      <c r="H181" s="69" t="s">
        <v>3905</v>
      </c>
      <c r="I181" s="2014" t="s">
        <v>726</v>
      </c>
      <c r="J181" s="70" t="s">
        <v>760</v>
      </c>
      <c r="K181" s="2305" t="s">
        <v>3909</v>
      </c>
      <c r="L181" s="72">
        <v>43749</v>
      </c>
      <c r="M181" s="73" t="s">
        <v>19</v>
      </c>
      <c r="N181" s="74">
        <v>43759</v>
      </c>
      <c r="O181" s="75">
        <v>43759</v>
      </c>
      <c r="P181" s="2765" t="s">
        <v>3927</v>
      </c>
      <c r="Q181" s="2954">
        <f>0.95*106.21</f>
        <v>100.89949999999999</v>
      </c>
      <c r="R181" s="76"/>
      <c r="S181" s="1945" t="s">
        <v>731</v>
      </c>
      <c r="T181" s="77" t="s">
        <v>2570</v>
      </c>
      <c r="U181" s="3213">
        <v>0.05</v>
      </c>
      <c r="V181" s="2079">
        <f t="shared" si="68"/>
        <v>119.06140999999998</v>
      </c>
      <c r="W181" s="78">
        <f t="shared" si="69"/>
        <v>0</v>
      </c>
      <c r="X181" s="1878" t="str">
        <f t="shared" si="70"/>
        <v>1.- R Aeolus 0170218-OT_263215  Reencauche F102-00017204 IDY3-220</v>
      </c>
      <c r="Z181" s="19" t="str">
        <f t="shared" si="71"/>
        <v>ReencaucheReencauchadora RENOVA</v>
      </c>
    </row>
    <row r="182" spans="2:26" ht="15.2" customHeight="1">
      <c r="B182" s="37"/>
      <c r="E182" s="3180">
        <v>2</v>
      </c>
      <c r="F182" s="2297" t="s">
        <v>723</v>
      </c>
      <c r="G182" s="68" t="s">
        <v>724</v>
      </c>
      <c r="H182" s="69" t="s">
        <v>3906</v>
      </c>
      <c r="I182" s="2014" t="s">
        <v>726</v>
      </c>
      <c r="J182" s="70" t="s">
        <v>760</v>
      </c>
      <c r="K182" s="2305" t="s">
        <v>3909</v>
      </c>
      <c r="L182" s="72">
        <v>43749</v>
      </c>
      <c r="M182" s="73" t="s">
        <v>19</v>
      </c>
      <c r="N182" s="74">
        <v>43759</v>
      </c>
      <c r="O182" s="75">
        <v>43759</v>
      </c>
      <c r="P182" s="2765" t="s">
        <v>3927</v>
      </c>
      <c r="Q182" s="2954">
        <f t="shared" ref="Q182:Q187" si="82">0.95*106.21</f>
        <v>100.89949999999999</v>
      </c>
      <c r="R182" s="76"/>
      <c r="S182" s="1945" t="s">
        <v>731</v>
      </c>
      <c r="T182" s="77" t="s">
        <v>2570</v>
      </c>
      <c r="U182" s="3213">
        <v>0.05</v>
      </c>
      <c r="V182" s="2079">
        <f t="shared" si="68"/>
        <v>119.06140999999998</v>
      </c>
      <c r="W182" s="78">
        <f t="shared" si="69"/>
        <v>0</v>
      </c>
      <c r="X182" s="1878" t="str">
        <f t="shared" si="70"/>
        <v>2.- R Aeolus 0530517-OT_263215  Reencauche F102-00017204 IDY3-220</v>
      </c>
      <c r="Z182" s="19" t="str">
        <f t="shared" si="71"/>
        <v>ReencaucheReencauchadora RENOVA</v>
      </c>
    </row>
    <row r="183" spans="2:26" ht="15.2" customHeight="1">
      <c r="B183" s="37"/>
      <c r="E183" s="3180">
        <v>3</v>
      </c>
      <c r="F183" s="2297" t="s">
        <v>723</v>
      </c>
      <c r="G183" s="68" t="s">
        <v>724</v>
      </c>
      <c r="H183" s="69" t="s">
        <v>3120</v>
      </c>
      <c r="I183" s="2014" t="s">
        <v>726</v>
      </c>
      <c r="J183" s="70" t="s">
        <v>760</v>
      </c>
      <c r="K183" s="2305" t="s">
        <v>3909</v>
      </c>
      <c r="L183" s="72">
        <v>43749</v>
      </c>
      <c r="M183" s="73" t="s">
        <v>19</v>
      </c>
      <c r="N183" s="74">
        <v>43759</v>
      </c>
      <c r="O183" s="75">
        <v>43759</v>
      </c>
      <c r="P183" s="2765" t="s">
        <v>3927</v>
      </c>
      <c r="Q183" s="2954">
        <f t="shared" si="82"/>
        <v>100.89949999999999</v>
      </c>
      <c r="R183" s="76"/>
      <c r="S183" s="1945" t="s">
        <v>731</v>
      </c>
      <c r="T183" s="77" t="s">
        <v>2570</v>
      </c>
      <c r="U183" s="3213">
        <v>0.05</v>
      </c>
      <c r="V183" s="2079">
        <f t="shared" si="68"/>
        <v>119.06140999999998</v>
      </c>
      <c r="W183" s="78">
        <f t="shared" si="69"/>
        <v>0</v>
      </c>
      <c r="X183" s="1878" t="str">
        <f t="shared" si="70"/>
        <v>3.- R Aeolus 1001216-OT_263215  Reencauche F102-00017204 IDY3-220</v>
      </c>
      <c r="Z183" s="19" t="str">
        <f t="shared" si="71"/>
        <v>ReencaucheReencauchadora RENOVA</v>
      </c>
    </row>
    <row r="184" spans="2:26" ht="15.2" customHeight="1">
      <c r="B184" s="37"/>
      <c r="E184" s="3180">
        <v>4</v>
      </c>
      <c r="F184" s="2297" t="s">
        <v>723</v>
      </c>
      <c r="G184" s="68" t="s">
        <v>737</v>
      </c>
      <c r="H184" s="69" t="s">
        <v>2662</v>
      </c>
      <c r="I184" s="2014" t="s">
        <v>726</v>
      </c>
      <c r="J184" s="70" t="s">
        <v>760</v>
      </c>
      <c r="K184" s="2305" t="s">
        <v>3909</v>
      </c>
      <c r="L184" s="72">
        <v>43749</v>
      </c>
      <c r="M184" s="73" t="s">
        <v>19</v>
      </c>
      <c r="N184" s="74">
        <v>43759</v>
      </c>
      <c r="O184" s="75">
        <v>43759</v>
      </c>
      <c r="P184" s="2765" t="s">
        <v>3927</v>
      </c>
      <c r="Q184" s="2954">
        <f t="shared" si="82"/>
        <v>100.89949999999999</v>
      </c>
      <c r="R184" s="76"/>
      <c r="S184" s="1945" t="s">
        <v>731</v>
      </c>
      <c r="T184" s="77" t="s">
        <v>2570</v>
      </c>
      <c r="U184" s="3213">
        <v>0.05</v>
      </c>
      <c r="V184" s="2079">
        <f t="shared" si="68"/>
        <v>119.06140999999998</v>
      </c>
      <c r="W184" s="78">
        <f t="shared" si="69"/>
        <v>0</v>
      </c>
      <c r="X184" s="1878" t="str">
        <f t="shared" si="70"/>
        <v>4.- R Vikrant 0110117-OT_263215  Reencauche F102-00017204 IDY3-220</v>
      </c>
      <c r="Z184" s="19" t="str">
        <f t="shared" si="71"/>
        <v>ReencaucheReencauchadora RENOVA</v>
      </c>
    </row>
    <row r="185" spans="2:26" ht="15.2" customHeight="1">
      <c r="B185" s="37"/>
      <c r="E185" s="3180">
        <v>5</v>
      </c>
      <c r="F185" s="2297" t="s">
        <v>723</v>
      </c>
      <c r="G185" s="68" t="s">
        <v>757</v>
      </c>
      <c r="H185" s="69" t="s">
        <v>6</v>
      </c>
      <c r="I185" s="2014" t="s">
        <v>726</v>
      </c>
      <c r="J185" s="70" t="s">
        <v>760</v>
      </c>
      <c r="K185" s="2305" t="s">
        <v>3909</v>
      </c>
      <c r="L185" s="72">
        <v>43749</v>
      </c>
      <c r="M185" s="73" t="s">
        <v>19</v>
      </c>
      <c r="N185" s="74">
        <v>43759</v>
      </c>
      <c r="O185" s="75">
        <v>43759</v>
      </c>
      <c r="P185" s="2765" t="s">
        <v>3927</v>
      </c>
      <c r="Q185" s="2954">
        <f t="shared" si="82"/>
        <v>100.89949999999999</v>
      </c>
      <c r="R185" s="76"/>
      <c r="S185" s="1945" t="s">
        <v>731</v>
      </c>
      <c r="T185" s="77" t="s">
        <v>2570</v>
      </c>
      <c r="U185" s="3213">
        <v>0.05</v>
      </c>
      <c r="V185" s="2079">
        <f t="shared" si="68"/>
        <v>119.06140999999998</v>
      </c>
      <c r="W185" s="78">
        <f t="shared" si="69"/>
        <v>0</v>
      </c>
      <c r="X185" s="1878" t="str">
        <f t="shared" si="70"/>
        <v>5.- R Goodyear 00240614-OT_263215  Reencauche F102-00017204 IDY3-220</v>
      </c>
      <c r="Z185" s="19" t="str">
        <f t="shared" si="71"/>
        <v>ReencaucheReencauchadora RENOVA</v>
      </c>
    </row>
    <row r="186" spans="2:26" ht="15.2" customHeight="1">
      <c r="B186" s="37"/>
      <c r="E186" s="3180">
        <v>6</v>
      </c>
      <c r="F186" s="2297" t="s">
        <v>723</v>
      </c>
      <c r="G186" s="68" t="s">
        <v>151</v>
      </c>
      <c r="H186" s="69" t="s">
        <v>3907</v>
      </c>
      <c r="I186" s="2014" t="s">
        <v>726</v>
      </c>
      <c r="J186" s="70" t="s">
        <v>760</v>
      </c>
      <c r="K186" s="2305" t="s">
        <v>3909</v>
      </c>
      <c r="L186" s="72">
        <v>43749</v>
      </c>
      <c r="M186" s="73" t="s">
        <v>19</v>
      </c>
      <c r="N186" s="74">
        <v>43759</v>
      </c>
      <c r="O186" s="75">
        <v>43759</v>
      </c>
      <c r="P186" s="2765" t="s">
        <v>3927</v>
      </c>
      <c r="Q186" s="2954">
        <f t="shared" si="82"/>
        <v>100.89949999999999</v>
      </c>
      <c r="R186" s="76"/>
      <c r="S186" s="1945" t="s">
        <v>731</v>
      </c>
      <c r="T186" s="77" t="s">
        <v>2570</v>
      </c>
      <c r="U186" s="3213">
        <v>0.05</v>
      </c>
      <c r="V186" s="2079">
        <f t="shared" si="68"/>
        <v>119.06140999999998</v>
      </c>
      <c r="W186" s="78">
        <f t="shared" si="69"/>
        <v>0</v>
      </c>
      <c r="X186" s="1878" t="str">
        <f t="shared" si="70"/>
        <v>6.- R WindPower 0130116-OT_263215  Reencauche F102-00017204 IDY3-220</v>
      </c>
      <c r="Z186" s="19" t="str">
        <f t="shared" si="71"/>
        <v>ReencaucheReencauchadora RENOVA</v>
      </c>
    </row>
    <row r="187" spans="2:26" ht="15.2" customHeight="1">
      <c r="B187" s="37"/>
      <c r="E187" s="79">
        <v>7</v>
      </c>
      <c r="F187" s="2294" t="s">
        <v>723</v>
      </c>
      <c r="G187" s="81" t="s">
        <v>737</v>
      </c>
      <c r="H187" s="82" t="s">
        <v>3908</v>
      </c>
      <c r="I187" s="2015" t="s">
        <v>726</v>
      </c>
      <c r="J187" s="83" t="s">
        <v>760</v>
      </c>
      <c r="K187" s="2295" t="s">
        <v>3909</v>
      </c>
      <c r="L187" s="85">
        <v>43749</v>
      </c>
      <c r="M187" s="2296" t="s">
        <v>19</v>
      </c>
      <c r="N187" s="87">
        <v>43759</v>
      </c>
      <c r="O187" s="88">
        <f t="shared" si="67"/>
        <v>43759</v>
      </c>
      <c r="P187" s="2766" t="s">
        <v>3927</v>
      </c>
      <c r="Q187" s="2955">
        <f t="shared" si="82"/>
        <v>100.89949999999999</v>
      </c>
      <c r="R187" s="89"/>
      <c r="S187" s="1946" t="s">
        <v>731</v>
      </c>
      <c r="T187" s="77" t="s">
        <v>2570</v>
      </c>
      <c r="U187" s="3213">
        <v>0.05</v>
      </c>
      <c r="V187" s="2079">
        <f t="shared" si="68"/>
        <v>119.06140999999998</v>
      </c>
      <c r="W187" s="78">
        <f t="shared" si="69"/>
        <v>0</v>
      </c>
      <c r="X187" s="1878" t="str">
        <f t="shared" si="70"/>
        <v>7.- R Vikrant 0280318-OT_263215  Reencauche F102-00017204 IDY3-220</v>
      </c>
      <c r="Z187" s="19" t="str">
        <f t="shared" si="71"/>
        <v>ReencaucheReencauchadora RENOVA</v>
      </c>
    </row>
    <row r="188" spans="2:26" ht="15.2" customHeight="1">
      <c r="B188" s="37"/>
      <c r="E188" s="3180">
        <v>1</v>
      </c>
      <c r="F188" s="2297" t="s">
        <v>723</v>
      </c>
      <c r="G188" s="68" t="s">
        <v>724</v>
      </c>
      <c r="H188" s="69" t="s">
        <v>7</v>
      </c>
      <c r="I188" s="2014" t="s">
        <v>726</v>
      </c>
      <c r="J188" s="70" t="s">
        <v>727</v>
      </c>
      <c r="K188" s="2305" t="s">
        <v>3904</v>
      </c>
      <c r="L188" s="72">
        <v>43742</v>
      </c>
      <c r="M188" s="2306" t="s">
        <v>19</v>
      </c>
      <c r="N188" s="74">
        <v>43754</v>
      </c>
      <c r="O188" s="75">
        <f t="shared" si="67"/>
        <v>43754</v>
      </c>
      <c r="P188" s="2765" t="s">
        <v>3923</v>
      </c>
      <c r="Q188" s="2954"/>
      <c r="R188" s="76">
        <v>279.66101694915255</v>
      </c>
      <c r="S188" s="1945" t="s">
        <v>731</v>
      </c>
      <c r="T188" s="77" t="s">
        <v>2712</v>
      </c>
      <c r="U188" s="1893"/>
      <c r="V188" s="2079">
        <f t="shared" si="68"/>
        <v>0</v>
      </c>
      <c r="W188" s="78">
        <f t="shared" si="69"/>
        <v>330</v>
      </c>
      <c r="X188" s="1878" t="str">
        <f t="shared" si="70"/>
        <v>1.- R Aeolus 0120113-OT_013522  Reencauche F001-00003853 MDY-220</v>
      </c>
      <c r="Z188" s="19" t="str">
        <f t="shared" si="71"/>
        <v>ReencaucheReenc. MASTERCAUCHO</v>
      </c>
    </row>
    <row r="189" spans="2:26" ht="15.2" customHeight="1">
      <c r="B189" s="37"/>
      <c r="E189" s="3180">
        <v>2</v>
      </c>
      <c r="F189" s="2297" t="s">
        <v>723</v>
      </c>
      <c r="G189" s="68" t="s">
        <v>724</v>
      </c>
      <c r="H189" s="69" t="s">
        <v>876</v>
      </c>
      <c r="I189" s="2014" t="s">
        <v>726</v>
      </c>
      <c r="J189" s="70" t="s">
        <v>727</v>
      </c>
      <c r="K189" s="2305" t="s">
        <v>3904</v>
      </c>
      <c r="L189" s="72">
        <v>43742</v>
      </c>
      <c r="M189" s="2306" t="s">
        <v>19</v>
      </c>
      <c r="N189" s="74">
        <v>43754</v>
      </c>
      <c r="O189" s="75">
        <f>+N189</f>
        <v>43754</v>
      </c>
      <c r="P189" s="2765" t="s">
        <v>3926</v>
      </c>
      <c r="Q189" s="2954"/>
      <c r="R189" s="76">
        <v>0</v>
      </c>
      <c r="S189" s="1945" t="s">
        <v>731</v>
      </c>
      <c r="T189" s="77" t="s">
        <v>3612</v>
      </c>
      <c r="U189" s="1893"/>
      <c r="V189" s="2079">
        <f t="shared" ref="V189:W191" si="83">+Q189*(1.18)</f>
        <v>0</v>
      </c>
      <c r="W189" s="78">
        <f t="shared" si="83"/>
        <v>0</v>
      </c>
      <c r="X189" s="1878" t="str">
        <f t="shared" si="70"/>
        <v>2.- R Aeolus 0230413-OT_013522  Reencauche EG01-1818 RECHAZO No apto para reencauche</v>
      </c>
      <c r="Z189" s="19" t="str">
        <f>CONCATENATE(I189,J189)</f>
        <v>ReencaucheReenc. MASTERCAUCHO</v>
      </c>
    </row>
    <row r="190" spans="2:26" ht="15.2" customHeight="1">
      <c r="B190" s="37"/>
      <c r="E190" s="3180">
        <v>3</v>
      </c>
      <c r="F190" s="2297" t="s">
        <v>723</v>
      </c>
      <c r="G190" s="68" t="s">
        <v>3205</v>
      </c>
      <c r="H190" s="69" t="s">
        <v>3223</v>
      </c>
      <c r="I190" s="2014" t="s">
        <v>726</v>
      </c>
      <c r="J190" s="70" t="s">
        <v>727</v>
      </c>
      <c r="K190" s="2305" t="s">
        <v>3904</v>
      </c>
      <c r="L190" s="72">
        <v>43742</v>
      </c>
      <c r="M190" s="2306" t="s">
        <v>19</v>
      </c>
      <c r="N190" s="74">
        <v>43754</v>
      </c>
      <c r="O190" s="75">
        <f>+N190</f>
        <v>43754</v>
      </c>
      <c r="P190" s="2765" t="s">
        <v>3926</v>
      </c>
      <c r="Q190" s="2954"/>
      <c r="R190" s="76">
        <v>0</v>
      </c>
      <c r="S190" s="1945" t="s">
        <v>731</v>
      </c>
      <c r="T190" s="77" t="s">
        <v>3612</v>
      </c>
      <c r="U190" s="1893"/>
      <c r="V190" s="2079">
        <f t="shared" si="83"/>
        <v>0</v>
      </c>
      <c r="W190" s="78">
        <f t="shared" si="83"/>
        <v>0</v>
      </c>
      <c r="X190" s="1878" t="str">
        <f t="shared" si="70"/>
        <v>3.- R LEAO 8270618-OT_013522  Reencauche EG01-1818 RECHAZO No apto para reencauche</v>
      </c>
      <c r="Z190" s="19" t="str">
        <f>CONCATENATE(I190,J190)</f>
        <v>ReencaucheReenc. MASTERCAUCHO</v>
      </c>
    </row>
    <row r="191" spans="2:26" ht="15.2" customHeight="1">
      <c r="B191" s="37"/>
      <c r="E191" s="3180">
        <v>4</v>
      </c>
      <c r="F191" s="2297" t="s">
        <v>723</v>
      </c>
      <c r="G191" s="68" t="s">
        <v>2533</v>
      </c>
      <c r="H191" s="69" t="s">
        <v>3600</v>
      </c>
      <c r="I191" s="2014" t="s">
        <v>726</v>
      </c>
      <c r="J191" s="70" t="s">
        <v>727</v>
      </c>
      <c r="K191" s="2305" t="s">
        <v>3904</v>
      </c>
      <c r="L191" s="72">
        <v>43742</v>
      </c>
      <c r="M191" s="2306" t="s">
        <v>19</v>
      </c>
      <c r="N191" s="74">
        <v>43754</v>
      </c>
      <c r="O191" s="75">
        <f>+N191</f>
        <v>43754</v>
      </c>
      <c r="P191" s="2765" t="s">
        <v>3926</v>
      </c>
      <c r="Q191" s="2954"/>
      <c r="R191" s="76">
        <v>0</v>
      </c>
      <c r="S191" s="1945" t="s">
        <v>731</v>
      </c>
      <c r="T191" s="77" t="s">
        <v>3612</v>
      </c>
      <c r="U191" s="1893"/>
      <c r="V191" s="2079">
        <f t="shared" si="83"/>
        <v>0</v>
      </c>
      <c r="W191" s="78">
        <f t="shared" si="83"/>
        <v>0</v>
      </c>
      <c r="X191" s="1878" t="str">
        <f t="shared" si="70"/>
        <v>4.- R Stellmark 8260517-OT_013522  Reencauche EG01-1818 RECHAZO No apto para reencauche</v>
      </c>
      <c r="Z191" s="19" t="str">
        <f>CONCATENATE(I191,J191)</f>
        <v>ReencaucheReenc. MASTERCAUCHO</v>
      </c>
    </row>
    <row r="192" spans="2:26" ht="15.2" customHeight="1">
      <c r="B192" s="37"/>
      <c r="E192" s="2700">
        <v>5</v>
      </c>
      <c r="F192" s="3131" t="s">
        <v>723</v>
      </c>
      <c r="G192" s="2263" t="s">
        <v>3922</v>
      </c>
      <c r="H192" s="2265" t="s">
        <v>3921</v>
      </c>
      <c r="I192" s="3178" t="s">
        <v>3224</v>
      </c>
      <c r="J192" s="2266" t="s">
        <v>727</v>
      </c>
      <c r="K192" s="3133" t="s">
        <v>857</v>
      </c>
      <c r="L192" s="2268"/>
      <c r="M192" s="3122" t="s">
        <v>19</v>
      </c>
      <c r="N192" s="2270">
        <v>43754</v>
      </c>
      <c r="O192" s="2271">
        <f>+N192</f>
        <v>43754</v>
      </c>
      <c r="P192" s="2777" t="s">
        <v>3923</v>
      </c>
      <c r="Q192" s="2956"/>
      <c r="R192" s="2272">
        <v>211.86439999999999</v>
      </c>
      <c r="S192" s="2273" t="s">
        <v>731</v>
      </c>
      <c r="T192" s="2274" t="s">
        <v>3925</v>
      </c>
      <c r="U192" s="1893"/>
      <c r="V192" s="2079">
        <f>+Q192*(1.18)</f>
        <v>0</v>
      </c>
      <c r="W192" s="78">
        <f>+R192*(1.18)</f>
        <v>249.99999199999996</v>
      </c>
      <c r="X192" s="1878" t="str">
        <f t="shared" si="70"/>
        <v>5.- R APLUS 8481019-OT_S/D  Casc 2a trnspl F001-00003853 APLUS D801 3816 China</v>
      </c>
      <c r="Z192" s="19" t="str">
        <f>CONCATENATE(I192,J192)</f>
        <v>Casc 2a trnsplReenc. MASTERCAUCHO</v>
      </c>
    </row>
    <row r="193" spans="2:26" ht="15.2" customHeight="1">
      <c r="B193" s="37"/>
      <c r="E193" s="79">
        <v>6</v>
      </c>
      <c r="F193" s="2294" t="s">
        <v>732</v>
      </c>
      <c r="G193" s="81" t="s">
        <v>737</v>
      </c>
      <c r="H193" s="82" t="s">
        <v>1669</v>
      </c>
      <c r="I193" s="2015" t="s">
        <v>744</v>
      </c>
      <c r="J193" s="83" t="s">
        <v>727</v>
      </c>
      <c r="K193" s="2295" t="s">
        <v>3904</v>
      </c>
      <c r="L193" s="85">
        <v>43742</v>
      </c>
      <c r="M193" s="2296" t="s">
        <v>19</v>
      </c>
      <c r="N193" s="87">
        <v>43754</v>
      </c>
      <c r="O193" s="88">
        <f t="shared" ref="O193:O212" si="84">+N193</f>
        <v>43754</v>
      </c>
      <c r="P193" s="2766" t="s">
        <v>3924</v>
      </c>
      <c r="Q193" s="2955"/>
      <c r="R193" s="89">
        <v>0</v>
      </c>
      <c r="S193" s="1946" t="s">
        <v>731</v>
      </c>
      <c r="T193" s="77" t="s">
        <v>2753</v>
      </c>
      <c r="U193" s="1893"/>
      <c r="V193" s="2079">
        <f t="shared" ref="V193:V212" si="85">+Q193*(1.18)</f>
        <v>0</v>
      </c>
      <c r="W193" s="78">
        <f t="shared" ref="W193:W212" si="86">+R193*(1.18)</f>
        <v>0</v>
      </c>
      <c r="X193" s="1878" t="str">
        <f t="shared" si="70"/>
        <v>6.- C Vikrant 0240211-OT_013522  Sacar_Banda EG01-1817 Casco pelado</v>
      </c>
      <c r="Z193" s="19" t="str">
        <f t="shared" ref="Z193:Z212" si="87">CONCATENATE(I193,J193)</f>
        <v>Sacar_BandaReenc. MASTERCAUCHO</v>
      </c>
    </row>
    <row r="194" spans="2:26" ht="15.2" customHeight="1">
      <c r="B194" s="37"/>
      <c r="E194" s="3180">
        <v>1</v>
      </c>
      <c r="F194" s="2297" t="s">
        <v>723</v>
      </c>
      <c r="G194" s="68" t="s">
        <v>3659</v>
      </c>
      <c r="H194" s="69" t="s">
        <v>3657</v>
      </c>
      <c r="I194" s="3067" t="s">
        <v>811</v>
      </c>
      <c r="J194" s="70" t="s">
        <v>727</v>
      </c>
      <c r="K194" s="2305" t="s">
        <v>3895</v>
      </c>
      <c r="L194" s="72">
        <v>43738</v>
      </c>
      <c r="M194" s="2306" t="s">
        <v>19</v>
      </c>
      <c r="N194" s="74">
        <v>43740</v>
      </c>
      <c r="O194" s="75">
        <f t="shared" si="84"/>
        <v>43740</v>
      </c>
      <c r="P194" s="2765" t="s">
        <v>3901</v>
      </c>
      <c r="Q194" s="2954"/>
      <c r="R194" s="76">
        <v>84.745699999999999</v>
      </c>
      <c r="S194" s="1945" t="s">
        <v>731</v>
      </c>
      <c r="T194" s="77" t="s">
        <v>3829</v>
      </c>
      <c r="U194" s="1893"/>
      <c r="V194" s="2079">
        <f t="shared" si="85"/>
        <v>0</v>
      </c>
      <c r="W194" s="78">
        <f t="shared" si="86"/>
        <v>99.999925999999988</v>
      </c>
      <c r="X194" s="1878" t="str">
        <f t="shared" ref="X194:X212" si="88">CONCATENATE(E194,".- ",F194," ",G194," ",H194,"-OT_",K194," "," ",I194," ",P194," ",T194)</f>
        <v>1.- R Turnpike 8120519-OT_013335  Vulcanizado (curación) F001-00003740 REPARACION EN FLANCO</v>
      </c>
      <c r="Z194" s="19" t="str">
        <f t="shared" si="87"/>
        <v>Vulcanizado (curación)Reenc. MASTERCAUCHO</v>
      </c>
    </row>
    <row r="195" spans="2:26" ht="15.2" customHeight="1">
      <c r="B195" s="37"/>
      <c r="E195" s="3180">
        <v>2</v>
      </c>
      <c r="F195" s="2297" t="s">
        <v>723</v>
      </c>
      <c r="G195" s="68" t="s">
        <v>724</v>
      </c>
      <c r="H195" s="69" t="s">
        <v>3113</v>
      </c>
      <c r="I195" s="3067" t="s">
        <v>811</v>
      </c>
      <c r="J195" s="70" t="s">
        <v>727</v>
      </c>
      <c r="K195" s="2305" t="s">
        <v>3895</v>
      </c>
      <c r="L195" s="72">
        <v>43738</v>
      </c>
      <c r="M195" s="2306" t="s">
        <v>19</v>
      </c>
      <c r="N195" s="74">
        <v>43740</v>
      </c>
      <c r="O195" s="75">
        <f t="shared" si="84"/>
        <v>43740</v>
      </c>
      <c r="P195" s="2765" t="s">
        <v>3901</v>
      </c>
      <c r="Q195" s="2954"/>
      <c r="R195" s="76">
        <v>84.745699999999999</v>
      </c>
      <c r="S195" s="1945" t="s">
        <v>731</v>
      </c>
      <c r="T195" s="77" t="s">
        <v>3829</v>
      </c>
      <c r="U195" s="1893"/>
      <c r="V195" s="2079">
        <f t="shared" si="85"/>
        <v>0</v>
      </c>
      <c r="W195" s="78">
        <f t="shared" si="86"/>
        <v>99.999925999999988</v>
      </c>
      <c r="X195" s="1878" t="str">
        <f t="shared" si="88"/>
        <v>2.- R Aeolus 0030115-OT_013335  Vulcanizado (curación) F001-00003740 REPARACION EN FLANCO</v>
      </c>
      <c r="Z195" s="19" t="str">
        <f t="shared" si="87"/>
        <v>Vulcanizado (curación)Reenc. MASTERCAUCHO</v>
      </c>
    </row>
    <row r="196" spans="2:26" ht="15.2" customHeight="1">
      <c r="B196" s="37"/>
      <c r="E196" s="3180">
        <v>3</v>
      </c>
      <c r="F196" s="2297" t="s">
        <v>723</v>
      </c>
      <c r="G196" s="68" t="s">
        <v>724</v>
      </c>
      <c r="H196" s="69" t="s">
        <v>2946</v>
      </c>
      <c r="I196" s="3067" t="s">
        <v>811</v>
      </c>
      <c r="J196" s="70" t="s">
        <v>727</v>
      </c>
      <c r="K196" s="2305" t="s">
        <v>3895</v>
      </c>
      <c r="L196" s="72">
        <v>43738</v>
      </c>
      <c r="M196" s="2306" t="s">
        <v>19</v>
      </c>
      <c r="N196" s="74">
        <v>43740</v>
      </c>
      <c r="O196" s="75">
        <f t="shared" si="84"/>
        <v>43740</v>
      </c>
      <c r="P196" s="2765" t="s">
        <v>3901</v>
      </c>
      <c r="Q196" s="2954"/>
      <c r="R196" s="76">
        <v>84.745699999999999</v>
      </c>
      <c r="S196" s="1945" t="s">
        <v>731</v>
      </c>
      <c r="T196" s="77" t="s">
        <v>3829</v>
      </c>
      <c r="U196" s="1893"/>
      <c r="V196" s="2079">
        <f t="shared" si="85"/>
        <v>0</v>
      </c>
      <c r="W196" s="78">
        <f t="shared" si="86"/>
        <v>99.999925999999988</v>
      </c>
      <c r="X196" s="1878" t="str">
        <f t="shared" si="88"/>
        <v>3.- R Aeolus 0050115-OT_013335  Vulcanizado (curación) F001-00003740 REPARACION EN FLANCO</v>
      </c>
      <c r="Z196" s="19" t="str">
        <f t="shared" si="87"/>
        <v>Vulcanizado (curación)Reenc. MASTERCAUCHO</v>
      </c>
    </row>
    <row r="197" spans="2:26" ht="15.2" customHeight="1">
      <c r="B197" s="37"/>
      <c r="E197" s="3200">
        <v>4</v>
      </c>
      <c r="F197" s="2297" t="s">
        <v>723</v>
      </c>
      <c r="G197" s="68" t="s">
        <v>151</v>
      </c>
      <c r="H197" s="69" t="s">
        <v>3114</v>
      </c>
      <c r="I197" s="3067" t="s">
        <v>811</v>
      </c>
      <c r="J197" s="70" t="s">
        <v>727</v>
      </c>
      <c r="K197" s="2305" t="s">
        <v>3895</v>
      </c>
      <c r="L197" s="72">
        <v>43738</v>
      </c>
      <c r="M197" s="2306" t="s">
        <v>19</v>
      </c>
      <c r="N197" s="74">
        <v>43740</v>
      </c>
      <c r="O197" s="75">
        <f t="shared" ref="O197:O198" si="89">+N197</f>
        <v>43740</v>
      </c>
      <c r="P197" s="2765" t="s">
        <v>3901</v>
      </c>
      <c r="Q197" s="2954"/>
      <c r="R197" s="76">
        <v>84.745699999999999</v>
      </c>
      <c r="S197" s="1945" t="s">
        <v>731</v>
      </c>
      <c r="T197" s="77" t="s">
        <v>3829</v>
      </c>
      <c r="U197" s="1893"/>
      <c r="V197" s="2079">
        <f t="shared" ref="V197:V198" si="90">+Q197*(1.18)</f>
        <v>0</v>
      </c>
      <c r="W197" s="78">
        <f t="shared" ref="W197:W198" si="91">+R197*(1.18)</f>
        <v>99.999925999999988</v>
      </c>
      <c r="X197" s="1878" t="str">
        <f t="shared" ref="X197:X198" si="92">CONCATENATE(E197,".- ",F197," ",G197," ",H197,"-OT_",K197," "," ",I197," ",P197," ",T197)</f>
        <v>4.- R WindPower 0701015-OT_013335  Vulcanizado (curación) F001-00003740 REPARACION EN FLANCO</v>
      </c>
      <c r="Z197" s="19" t="str">
        <f t="shared" ref="Z197:Z198" si="93">CONCATENATE(I197,J197)</f>
        <v>Vulcanizado (curación)Reenc. MASTERCAUCHO</v>
      </c>
    </row>
    <row r="198" spans="2:26" ht="15.2" customHeight="1">
      <c r="B198" s="37"/>
      <c r="E198" s="2700">
        <v>5</v>
      </c>
      <c r="F198" s="3131" t="s">
        <v>723</v>
      </c>
      <c r="G198" s="2263" t="s">
        <v>3482</v>
      </c>
      <c r="H198" s="2265" t="s">
        <v>3893</v>
      </c>
      <c r="I198" s="3178" t="s">
        <v>3224</v>
      </c>
      <c r="J198" s="2266" t="s">
        <v>727</v>
      </c>
      <c r="K198" s="3133" t="s">
        <v>857</v>
      </c>
      <c r="L198" s="2268"/>
      <c r="M198" s="2269"/>
      <c r="N198" s="2270">
        <v>43742</v>
      </c>
      <c r="O198" s="2271">
        <f t="shared" si="89"/>
        <v>43742</v>
      </c>
      <c r="P198" s="2777" t="s">
        <v>3902</v>
      </c>
      <c r="Q198" s="2956"/>
      <c r="R198" s="2272">
        <v>211.86439999999999</v>
      </c>
      <c r="S198" s="2273" t="s">
        <v>731</v>
      </c>
      <c r="T198" s="2274" t="s">
        <v>3899</v>
      </c>
      <c r="U198" s="1893"/>
      <c r="V198" s="2079">
        <f t="shared" si="90"/>
        <v>0</v>
      </c>
      <c r="W198" s="78">
        <f t="shared" si="91"/>
        <v>249.99999199999996</v>
      </c>
      <c r="X198" s="1878" t="str">
        <f t="shared" si="92"/>
        <v>5.- R SuperHawk 8361019-OT_S/D  Casc 2a trnspl F001-00003752 SuperHawk HK828 2615 China</v>
      </c>
      <c r="Z198" s="19" t="str">
        <f t="shared" si="93"/>
        <v>Casc 2a trnsplReenc. MASTERCAUCHO</v>
      </c>
    </row>
    <row r="199" spans="2:26" ht="15.2" customHeight="1">
      <c r="B199" s="37"/>
      <c r="E199" s="2700">
        <v>6</v>
      </c>
      <c r="F199" s="3131" t="s">
        <v>723</v>
      </c>
      <c r="G199" s="2263" t="s">
        <v>3768</v>
      </c>
      <c r="H199" s="2265" t="s">
        <v>3894</v>
      </c>
      <c r="I199" s="3178" t="s">
        <v>3224</v>
      </c>
      <c r="J199" s="2266" t="s">
        <v>727</v>
      </c>
      <c r="K199" s="3133" t="s">
        <v>857</v>
      </c>
      <c r="L199" s="2268"/>
      <c r="M199" s="2269"/>
      <c r="N199" s="2270">
        <v>43742</v>
      </c>
      <c r="O199" s="2271">
        <f t="shared" si="84"/>
        <v>43742</v>
      </c>
      <c r="P199" s="2777" t="s">
        <v>3902</v>
      </c>
      <c r="Q199" s="2956"/>
      <c r="R199" s="2272">
        <v>211.86439999999999</v>
      </c>
      <c r="S199" s="2273" t="s">
        <v>731</v>
      </c>
      <c r="T199" s="2274" t="s">
        <v>3900</v>
      </c>
      <c r="U199" s="1893"/>
      <c r="V199" s="2079">
        <f t="shared" si="85"/>
        <v>0</v>
      </c>
      <c r="W199" s="78">
        <f t="shared" si="86"/>
        <v>249.99999199999996</v>
      </c>
      <c r="X199" s="1878" t="str">
        <f t="shared" si="88"/>
        <v>6.- R Annaite 8371019-OT_S/D  Casc 2a trnspl F001-00003752 Annaite 300 3917 China</v>
      </c>
      <c r="Z199" s="19" t="str">
        <f t="shared" si="87"/>
        <v>Casc 2a trnsplReenc. MASTERCAUCHO</v>
      </c>
    </row>
    <row r="200" spans="2:26" ht="15.2" customHeight="1">
      <c r="B200" s="37"/>
      <c r="E200" s="3180">
        <v>7</v>
      </c>
      <c r="F200" s="2297" t="s">
        <v>723</v>
      </c>
      <c r="G200" s="68" t="s">
        <v>724</v>
      </c>
      <c r="H200" s="69" t="s">
        <v>3892</v>
      </c>
      <c r="I200" s="2014" t="s">
        <v>744</v>
      </c>
      <c r="J200" s="70" t="s">
        <v>727</v>
      </c>
      <c r="K200" s="2305" t="s">
        <v>3895</v>
      </c>
      <c r="L200" s="72">
        <v>43738</v>
      </c>
      <c r="M200" s="2306" t="s">
        <v>19</v>
      </c>
      <c r="N200" s="74">
        <v>43742</v>
      </c>
      <c r="O200" s="75">
        <f t="shared" si="84"/>
        <v>43742</v>
      </c>
      <c r="P200" s="2765" t="s">
        <v>3903</v>
      </c>
      <c r="Q200" s="2954"/>
      <c r="R200" s="76">
        <v>0</v>
      </c>
      <c r="S200" s="1945" t="s">
        <v>731</v>
      </c>
      <c r="T200" s="77" t="s">
        <v>2753</v>
      </c>
      <c r="U200" s="1893"/>
      <c r="V200" s="2079">
        <f t="shared" si="85"/>
        <v>0</v>
      </c>
      <c r="W200" s="78">
        <f t="shared" si="86"/>
        <v>0</v>
      </c>
      <c r="X200" s="1878" t="str">
        <f t="shared" si="88"/>
        <v>7.- R Aeolus 090612-OT_013335  Sacar_Banda EG01-1738 Casco pelado</v>
      </c>
      <c r="Z200" s="19" t="str">
        <f t="shared" si="87"/>
        <v>Sacar_BandaReenc. MASTERCAUCHO</v>
      </c>
    </row>
    <row r="201" spans="2:26" ht="15.2" customHeight="1">
      <c r="B201" s="37"/>
      <c r="E201" s="79">
        <v>8</v>
      </c>
      <c r="F201" s="2294" t="s">
        <v>723</v>
      </c>
      <c r="G201" s="81" t="s">
        <v>724</v>
      </c>
      <c r="H201" s="82" t="s">
        <v>1598</v>
      </c>
      <c r="I201" s="2015" t="s">
        <v>744</v>
      </c>
      <c r="J201" s="83" t="s">
        <v>727</v>
      </c>
      <c r="K201" s="2295" t="s">
        <v>3895</v>
      </c>
      <c r="L201" s="85">
        <v>43738</v>
      </c>
      <c r="M201" s="2296" t="s">
        <v>19</v>
      </c>
      <c r="N201" s="87">
        <v>43742</v>
      </c>
      <c r="O201" s="88">
        <f t="shared" si="84"/>
        <v>43742</v>
      </c>
      <c r="P201" s="2766" t="s">
        <v>3903</v>
      </c>
      <c r="Q201" s="2955"/>
      <c r="R201" s="89">
        <v>0</v>
      </c>
      <c r="S201" s="1946" t="s">
        <v>731</v>
      </c>
      <c r="T201" s="77" t="s">
        <v>2753</v>
      </c>
      <c r="U201" s="1893"/>
      <c r="V201" s="2079">
        <f t="shared" si="85"/>
        <v>0</v>
      </c>
      <c r="W201" s="78">
        <f t="shared" si="86"/>
        <v>0</v>
      </c>
      <c r="X201" s="1878" t="str">
        <f t="shared" si="88"/>
        <v>8.- R Aeolus 8190616-OT_013335  Sacar_Banda EG01-1738 Casco pelado</v>
      </c>
      <c r="Z201" s="19" t="str">
        <f t="shared" si="87"/>
        <v>Sacar_BandaReenc. MASTERCAUCHO</v>
      </c>
    </row>
    <row r="202" spans="2:26" ht="15.2" customHeight="1">
      <c r="B202" s="37"/>
      <c r="E202" s="3180">
        <v>1</v>
      </c>
      <c r="F202" s="2297" t="s">
        <v>723</v>
      </c>
      <c r="G202" s="68" t="s">
        <v>3029</v>
      </c>
      <c r="H202" s="69" t="s">
        <v>3042</v>
      </c>
      <c r="I202" s="2014" t="s">
        <v>726</v>
      </c>
      <c r="J202" s="70" t="s">
        <v>727</v>
      </c>
      <c r="K202" s="2305" t="s">
        <v>3877</v>
      </c>
      <c r="L202" s="72">
        <v>43726</v>
      </c>
      <c r="M202" s="73" t="s">
        <v>19</v>
      </c>
      <c r="N202" s="74">
        <v>43734</v>
      </c>
      <c r="O202" s="75">
        <f t="shared" ref="O202" si="94">+N202</f>
        <v>43734</v>
      </c>
      <c r="P202" s="2765" t="s">
        <v>3886</v>
      </c>
      <c r="Q202" s="2954"/>
      <c r="R202" s="76">
        <v>279.66101694915255</v>
      </c>
      <c r="S202" s="1945" t="s">
        <v>731</v>
      </c>
      <c r="T202" s="77" t="s">
        <v>2712</v>
      </c>
      <c r="U202" s="1893"/>
      <c r="V202" s="2079">
        <f t="shared" si="85"/>
        <v>0</v>
      </c>
      <c r="W202" s="78">
        <f t="shared" si="86"/>
        <v>330</v>
      </c>
      <c r="X202" s="1878" t="str">
        <f t="shared" si="88"/>
        <v>1.- R Triangle 8130418-OT_013104  Reencauche F001-00003664 MDY-220</v>
      </c>
      <c r="Z202" s="19" t="str">
        <f t="shared" si="87"/>
        <v>ReencaucheReenc. MASTERCAUCHO</v>
      </c>
    </row>
    <row r="203" spans="2:26" ht="15.2" customHeight="1">
      <c r="B203" s="37"/>
      <c r="E203" s="3180">
        <v>2</v>
      </c>
      <c r="F203" s="2297" t="s">
        <v>723</v>
      </c>
      <c r="G203" s="68" t="s">
        <v>724</v>
      </c>
      <c r="H203" s="69" t="s">
        <v>2854</v>
      </c>
      <c r="I203" s="2014" t="s">
        <v>726</v>
      </c>
      <c r="J203" s="70" t="s">
        <v>727</v>
      </c>
      <c r="K203" s="2305" t="s">
        <v>3877</v>
      </c>
      <c r="L203" s="72">
        <v>43726</v>
      </c>
      <c r="M203" s="73" t="s">
        <v>19</v>
      </c>
      <c r="N203" s="74">
        <v>43734</v>
      </c>
      <c r="O203" s="75">
        <f t="shared" ref="O203" si="95">+N203</f>
        <v>43734</v>
      </c>
      <c r="P203" s="2765" t="s">
        <v>3886</v>
      </c>
      <c r="Q203" s="2954"/>
      <c r="R203" s="76">
        <v>279.66101694915255</v>
      </c>
      <c r="S203" s="1945" t="s">
        <v>731</v>
      </c>
      <c r="T203" s="77" t="s">
        <v>2712</v>
      </c>
      <c r="U203" s="1893"/>
      <c r="V203" s="2079">
        <f t="shared" si="85"/>
        <v>0</v>
      </c>
      <c r="W203" s="78">
        <f t="shared" si="86"/>
        <v>330</v>
      </c>
      <c r="X203" s="1878" t="str">
        <f t="shared" si="88"/>
        <v>2.- R Aeolus 0180114-OT_013104  Reencauche F001-00003664 MDY-220</v>
      </c>
      <c r="Z203" s="19" t="str">
        <f t="shared" si="87"/>
        <v>ReencaucheReenc. MASTERCAUCHO</v>
      </c>
    </row>
    <row r="204" spans="2:26" ht="15.2" customHeight="1">
      <c r="B204" s="37"/>
      <c r="E204" s="3180">
        <v>3</v>
      </c>
      <c r="F204" s="2297" t="s">
        <v>723</v>
      </c>
      <c r="G204" s="68" t="s">
        <v>3382</v>
      </c>
      <c r="H204" s="69" t="s">
        <v>3386</v>
      </c>
      <c r="I204" s="2014" t="s">
        <v>726</v>
      </c>
      <c r="J204" s="70" t="s">
        <v>727</v>
      </c>
      <c r="K204" s="2305" t="s">
        <v>3877</v>
      </c>
      <c r="L204" s="72">
        <v>43726</v>
      </c>
      <c r="M204" s="2306" t="s">
        <v>19</v>
      </c>
      <c r="N204" s="74">
        <v>43734</v>
      </c>
      <c r="O204" s="75">
        <f t="shared" si="84"/>
        <v>43734</v>
      </c>
      <c r="P204" s="2765" t="s">
        <v>3886</v>
      </c>
      <c r="Q204" s="2954"/>
      <c r="R204" s="76">
        <v>279.66101694915255</v>
      </c>
      <c r="S204" s="1945" t="s">
        <v>731</v>
      </c>
      <c r="T204" s="77" t="s">
        <v>2712</v>
      </c>
      <c r="U204" s="1893"/>
      <c r="V204" s="2079">
        <f t="shared" si="85"/>
        <v>0</v>
      </c>
      <c r="W204" s="78">
        <f t="shared" si="86"/>
        <v>330</v>
      </c>
      <c r="X204" s="1878" t="str">
        <f t="shared" si="88"/>
        <v>3.- R Full Run 8321018-OT_013104  Reencauche F001-00003664 MDY-220</v>
      </c>
      <c r="Z204" s="19" t="str">
        <f t="shared" si="87"/>
        <v>ReencaucheReenc. MASTERCAUCHO</v>
      </c>
    </row>
    <row r="205" spans="2:26" ht="15.2" customHeight="1">
      <c r="B205" s="37"/>
      <c r="E205" s="3180">
        <v>4</v>
      </c>
      <c r="F205" s="2297" t="s">
        <v>723</v>
      </c>
      <c r="G205" s="68" t="s">
        <v>724</v>
      </c>
      <c r="H205" s="69" t="s">
        <v>3462</v>
      </c>
      <c r="I205" s="2014" t="s">
        <v>726</v>
      </c>
      <c r="J205" s="70" t="s">
        <v>727</v>
      </c>
      <c r="K205" s="2305" t="s">
        <v>3877</v>
      </c>
      <c r="L205" s="72">
        <v>43726</v>
      </c>
      <c r="M205" s="2306" t="s">
        <v>19</v>
      </c>
      <c r="N205" s="74">
        <v>43734</v>
      </c>
      <c r="O205" s="75">
        <f t="shared" si="84"/>
        <v>43734</v>
      </c>
      <c r="P205" s="2765" t="s">
        <v>3887</v>
      </c>
      <c r="Q205" s="2954"/>
      <c r="R205" s="76">
        <v>0</v>
      </c>
      <c r="S205" s="1945" t="s">
        <v>731</v>
      </c>
      <c r="T205" s="77" t="s">
        <v>3612</v>
      </c>
      <c r="U205" s="1893"/>
      <c r="V205" s="2079">
        <f t="shared" si="85"/>
        <v>0</v>
      </c>
      <c r="W205" s="78">
        <f t="shared" si="86"/>
        <v>0</v>
      </c>
      <c r="X205" s="1878" t="str">
        <f t="shared" si="88"/>
        <v>4.- R Aeolus 0310814-OT_013104  Reencauche EG01-1702 RECHAZO No apto para reencauche</v>
      </c>
      <c r="Z205" s="19" t="str">
        <f t="shared" si="87"/>
        <v>ReencaucheReenc. MASTERCAUCHO</v>
      </c>
    </row>
    <row r="206" spans="2:26" ht="15.2" customHeight="1">
      <c r="B206" s="37"/>
      <c r="E206" s="2700">
        <v>5</v>
      </c>
      <c r="F206" s="3131" t="s">
        <v>723</v>
      </c>
      <c r="G206" s="2263" t="s">
        <v>3702</v>
      </c>
      <c r="H206" s="2265" t="s">
        <v>3890</v>
      </c>
      <c r="I206" s="3178" t="s">
        <v>3224</v>
      </c>
      <c r="J206" s="2266" t="s">
        <v>727</v>
      </c>
      <c r="K206" s="3133" t="s">
        <v>857</v>
      </c>
      <c r="L206" s="2268"/>
      <c r="M206" s="2269"/>
      <c r="N206" s="2270">
        <v>43738</v>
      </c>
      <c r="O206" s="2271">
        <f t="shared" ref="O206" si="96">+N206</f>
        <v>43738</v>
      </c>
      <c r="P206" s="2777" t="s">
        <v>3891</v>
      </c>
      <c r="Q206" s="2956"/>
      <c r="R206" s="2272">
        <v>211.86439999999999</v>
      </c>
      <c r="S206" s="2273" t="s">
        <v>731</v>
      </c>
      <c r="T206" s="2274" t="s">
        <v>3889</v>
      </c>
      <c r="U206" s="1893"/>
      <c r="V206" s="2079">
        <f t="shared" ref="V206" si="97">+Q206*(1.18)</f>
        <v>0</v>
      </c>
      <c r="W206" s="78">
        <f t="shared" ref="W206" si="98">+R206*(1.18)</f>
        <v>249.99999199999996</v>
      </c>
      <c r="X206" s="1878" t="str">
        <f t="shared" ref="X206" si="99">CONCATENATE(E206,".- ",F206," ",G206," ",H206,"-OT_",K206," "," ",I206," ",P206," ",T206)</f>
        <v>5.- R Ovation  835-0919-OT_S/D  Casc 2a trnspl F001- 00003698 Ovation VI702 3618 China</v>
      </c>
      <c r="Z206" s="19" t="str">
        <f t="shared" ref="Z206" si="100">CONCATENATE(I206,J206)</f>
        <v>Casc 2a trnsplReenc. MASTERCAUCHO</v>
      </c>
    </row>
    <row r="207" spans="2:26" ht="15.2" customHeight="1">
      <c r="B207" s="37"/>
      <c r="E207" s="3160">
        <v>6</v>
      </c>
      <c r="F207" s="3161" t="s">
        <v>732</v>
      </c>
      <c r="G207" s="3162" t="s">
        <v>733</v>
      </c>
      <c r="H207" s="3163" t="s">
        <v>3876</v>
      </c>
      <c r="I207" s="3164" t="s">
        <v>744</v>
      </c>
      <c r="J207" s="3165" t="s">
        <v>727</v>
      </c>
      <c r="K207" s="3166" t="s">
        <v>3877</v>
      </c>
      <c r="L207" s="3167">
        <v>43726</v>
      </c>
      <c r="M207" s="3201"/>
      <c r="N207" s="3202">
        <v>43738</v>
      </c>
      <c r="O207" s="3203">
        <f t="shared" si="84"/>
        <v>43738</v>
      </c>
      <c r="P207" s="3204"/>
      <c r="Q207" s="3205"/>
      <c r="R207" s="3205">
        <v>0</v>
      </c>
      <c r="S207" s="3206" t="s">
        <v>722</v>
      </c>
      <c r="T207" s="77" t="s">
        <v>2753</v>
      </c>
      <c r="U207" s="1893"/>
      <c r="V207" s="2079">
        <f t="shared" si="85"/>
        <v>0</v>
      </c>
      <c r="W207" s="78">
        <f t="shared" si="86"/>
        <v>0</v>
      </c>
      <c r="X207" s="1878" t="str">
        <f t="shared" si="88"/>
        <v>6.- C Lima Caucho 0870408-OT_013104  Sacar_Banda  Casco pelado</v>
      </c>
      <c r="Z207" s="19" t="str">
        <f t="shared" si="87"/>
        <v>Sacar_BandaReenc. MASTERCAUCHO</v>
      </c>
    </row>
    <row r="208" spans="2:26" ht="15.2" customHeight="1">
      <c r="B208" s="37"/>
      <c r="E208" s="3180">
        <v>1</v>
      </c>
      <c r="F208" s="2297" t="s">
        <v>723</v>
      </c>
      <c r="G208" s="68" t="s">
        <v>151</v>
      </c>
      <c r="H208" s="69" t="s">
        <v>3862</v>
      </c>
      <c r="I208" s="2014" t="s">
        <v>726</v>
      </c>
      <c r="J208" s="70" t="s">
        <v>760</v>
      </c>
      <c r="K208" s="2305" t="s">
        <v>3866</v>
      </c>
      <c r="L208" s="72">
        <v>43719</v>
      </c>
      <c r="M208" s="73" t="s">
        <v>19</v>
      </c>
      <c r="N208" s="74">
        <v>43725</v>
      </c>
      <c r="O208" s="75">
        <v>43725</v>
      </c>
      <c r="P208" s="2765" t="s">
        <v>3879</v>
      </c>
      <c r="Q208" s="2954">
        <v>100.9</v>
      </c>
      <c r="R208" s="76"/>
      <c r="S208" s="1945" t="s">
        <v>731</v>
      </c>
      <c r="T208" s="77" t="s">
        <v>2570</v>
      </c>
      <c r="U208" s="1893"/>
      <c r="V208" s="2079">
        <f t="shared" si="85"/>
        <v>119.062</v>
      </c>
      <c r="W208" s="78">
        <f t="shared" si="86"/>
        <v>0</v>
      </c>
      <c r="X208" s="1878" t="str">
        <f t="shared" si="88"/>
        <v>1.- R WindPower 0831215-OT_262509  Reencauche F101-00021759 IDY3-220</v>
      </c>
      <c r="Z208" s="19" t="str">
        <f t="shared" si="87"/>
        <v>ReencaucheReencauchadora RENOVA</v>
      </c>
    </row>
    <row r="209" spans="2:26" ht="15.2" customHeight="1">
      <c r="B209" s="37"/>
      <c r="E209" s="3180">
        <v>2</v>
      </c>
      <c r="F209" s="2297" t="s">
        <v>723</v>
      </c>
      <c r="G209" s="68" t="s">
        <v>757</v>
      </c>
      <c r="H209" s="69" t="s">
        <v>2400</v>
      </c>
      <c r="I209" s="2014" t="s">
        <v>726</v>
      </c>
      <c r="J209" s="70" t="s">
        <v>760</v>
      </c>
      <c r="K209" s="2305" t="s">
        <v>3866</v>
      </c>
      <c r="L209" s="72">
        <v>43719</v>
      </c>
      <c r="M209" s="73" t="s">
        <v>19</v>
      </c>
      <c r="N209" s="74">
        <v>43725</v>
      </c>
      <c r="O209" s="75">
        <f t="shared" si="84"/>
        <v>43725</v>
      </c>
      <c r="P209" s="2765" t="s">
        <v>3879</v>
      </c>
      <c r="Q209" s="2954">
        <v>100.9</v>
      </c>
      <c r="R209" s="76"/>
      <c r="S209" s="1945" t="s">
        <v>731</v>
      </c>
      <c r="T209" s="77" t="s">
        <v>2570</v>
      </c>
      <c r="U209" s="1893"/>
      <c r="V209" s="2079">
        <f t="shared" si="85"/>
        <v>119.062</v>
      </c>
      <c r="W209" s="78">
        <f t="shared" si="86"/>
        <v>0</v>
      </c>
      <c r="X209" s="1878" t="str">
        <f t="shared" si="88"/>
        <v>2.- R Goodyear 00230614-OT_262509  Reencauche F101-00021759 IDY3-220</v>
      </c>
      <c r="Z209" s="19" t="str">
        <f t="shared" si="87"/>
        <v>ReencaucheReencauchadora RENOVA</v>
      </c>
    </row>
    <row r="210" spans="2:26" ht="15.2" customHeight="1">
      <c r="B210" s="37"/>
      <c r="E210" s="3180">
        <v>3</v>
      </c>
      <c r="F210" s="2297" t="s">
        <v>723</v>
      </c>
      <c r="G210" s="68" t="s">
        <v>3029</v>
      </c>
      <c r="H210" s="69" t="s">
        <v>3043</v>
      </c>
      <c r="I210" s="2014" t="s">
        <v>726</v>
      </c>
      <c r="J210" s="70" t="s">
        <v>760</v>
      </c>
      <c r="K210" s="2305" t="s">
        <v>3866</v>
      </c>
      <c r="L210" s="72">
        <v>43719</v>
      </c>
      <c r="M210" s="73" t="s">
        <v>19</v>
      </c>
      <c r="N210" s="74">
        <v>43725</v>
      </c>
      <c r="O210" s="75">
        <f t="shared" si="84"/>
        <v>43725</v>
      </c>
      <c r="P210" s="2765" t="s">
        <v>3879</v>
      </c>
      <c r="Q210" s="2954">
        <v>100.9</v>
      </c>
      <c r="R210" s="76"/>
      <c r="S210" s="1945" t="s">
        <v>731</v>
      </c>
      <c r="T210" s="77" t="s">
        <v>2570</v>
      </c>
      <c r="U210" s="1893"/>
      <c r="V210" s="2079">
        <f t="shared" si="85"/>
        <v>119.062</v>
      </c>
      <c r="W210" s="78">
        <f t="shared" si="86"/>
        <v>0</v>
      </c>
      <c r="X210" s="1878" t="str">
        <f t="shared" si="88"/>
        <v>3.- R Triangle 8140418-OT_262509  Reencauche F101-00021759 IDY3-220</v>
      </c>
      <c r="Z210" s="19" t="str">
        <f t="shared" si="87"/>
        <v>ReencaucheReencauchadora RENOVA</v>
      </c>
    </row>
    <row r="211" spans="2:26" ht="15.2" customHeight="1">
      <c r="B211" s="37"/>
      <c r="E211" s="3180">
        <v>4</v>
      </c>
      <c r="F211" s="2297" t="s">
        <v>723</v>
      </c>
      <c r="G211" s="68" t="s">
        <v>3458</v>
      </c>
      <c r="H211" s="69" t="s">
        <v>3864</v>
      </c>
      <c r="I211" s="2014" t="s">
        <v>726</v>
      </c>
      <c r="J211" s="70" t="s">
        <v>760</v>
      </c>
      <c r="K211" s="2305" t="s">
        <v>3866</v>
      </c>
      <c r="L211" s="72">
        <v>43719</v>
      </c>
      <c r="M211" s="73" t="s">
        <v>19</v>
      </c>
      <c r="N211" s="74">
        <v>43725</v>
      </c>
      <c r="O211" s="75">
        <f t="shared" si="84"/>
        <v>43725</v>
      </c>
      <c r="P211" s="2765" t="s">
        <v>3879</v>
      </c>
      <c r="Q211" s="2954">
        <v>100.9</v>
      </c>
      <c r="R211" s="76"/>
      <c r="S211" s="1945" t="s">
        <v>731</v>
      </c>
      <c r="T211" s="77" t="s">
        <v>2570</v>
      </c>
      <c r="U211" s="1893"/>
      <c r="V211" s="2079">
        <f t="shared" si="85"/>
        <v>119.062</v>
      </c>
      <c r="W211" s="78">
        <f t="shared" si="86"/>
        <v>0</v>
      </c>
      <c r="X211" s="1878" t="str">
        <f t="shared" si="88"/>
        <v>4.- R Long March 0760818-OT_262509  Reencauche F101-00021759 IDY3-220</v>
      </c>
      <c r="Z211" s="19" t="str">
        <f t="shared" si="87"/>
        <v>ReencaucheReencauchadora RENOVA</v>
      </c>
    </row>
    <row r="212" spans="2:26" ht="15.2" customHeight="1">
      <c r="B212" s="37"/>
      <c r="E212" s="3180">
        <v>5</v>
      </c>
      <c r="F212" s="2297" t="s">
        <v>723</v>
      </c>
      <c r="G212" s="68" t="s">
        <v>3458</v>
      </c>
      <c r="H212" s="69" t="s">
        <v>3865</v>
      </c>
      <c r="I212" s="2014" t="s">
        <v>726</v>
      </c>
      <c r="J212" s="70" t="s">
        <v>760</v>
      </c>
      <c r="K212" s="2305" t="s">
        <v>3866</v>
      </c>
      <c r="L212" s="72">
        <v>43719</v>
      </c>
      <c r="M212" s="73" t="s">
        <v>19</v>
      </c>
      <c r="N212" s="74">
        <v>43725</v>
      </c>
      <c r="O212" s="75">
        <f t="shared" si="84"/>
        <v>43725</v>
      </c>
      <c r="P212" s="2765" t="s">
        <v>3879</v>
      </c>
      <c r="Q212" s="2954">
        <v>100.9</v>
      </c>
      <c r="R212" s="76"/>
      <c r="S212" s="1945" t="s">
        <v>731</v>
      </c>
      <c r="T212" s="77" t="s">
        <v>2570</v>
      </c>
      <c r="U212" s="1893"/>
      <c r="V212" s="2079">
        <f t="shared" si="85"/>
        <v>119.062</v>
      </c>
      <c r="W212" s="78">
        <f t="shared" si="86"/>
        <v>0</v>
      </c>
      <c r="X212" s="1878" t="str">
        <f t="shared" si="88"/>
        <v>5.- R Long March 0750818-OT_262509  Reencauche F101-00021759 IDY3-220</v>
      </c>
      <c r="Z212" s="19" t="str">
        <f t="shared" si="87"/>
        <v>ReencaucheReencauchadora RENOVA</v>
      </c>
    </row>
    <row r="213" spans="2:26" ht="15.2" customHeight="1">
      <c r="B213" s="37"/>
      <c r="E213" s="3180">
        <v>6</v>
      </c>
      <c r="F213" s="2297" t="s">
        <v>723</v>
      </c>
      <c r="G213" s="68" t="s">
        <v>737</v>
      </c>
      <c r="H213" s="69" t="s">
        <v>2937</v>
      </c>
      <c r="I213" s="2014" t="s">
        <v>726</v>
      </c>
      <c r="J213" s="70" t="s">
        <v>760</v>
      </c>
      <c r="K213" s="2305" t="s">
        <v>3866</v>
      </c>
      <c r="L213" s="72">
        <v>43719</v>
      </c>
      <c r="M213" s="73" t="s">
        <v>19</v>
      </c>
      <c r="N213" s="74">
        <v>43725</v>
      </c>
      <c r="O213" s="75">
        <v>43725</v>
      </c>
      <c r="P213" s="2765" t="s">
        <v>3879</v>
      </c>
      <c r="Q213" s="2954">
        <v>100.9</v>
      </c>
      <c r="R213" s="76"/>
      <c r="S213" s="1945" t="s">
        <v>731</v>
      </c>
      <c r="T213" s="77" t="s">
        <v>2570</v>
      </c>
      <c r="U213" s="1893"/>
      <c r="V213" s="2079">
        <f t="shared" ref="V213:V225" si="101">+Q213*(1.18)</f>
        <v>119.062</v>
      </c>
      <c r="W213" s="78">
        <f t="shared" ref="W213:W225" si="102">+R213*(1.18)</f>
        <v>0</v>
      </c>
      <c r="X213" s="1878" t="str">
        <f t="shared" ref="X213:X225" si="103">CONCATENATE(E213,".- ",F213," ",G213," ",H213,"-OT_",K213," "," ",I213," ",P213," ",T213)</f>
        <v>6.- R Vikrant 0420317-OT_262509  Reencauche F101-00021759 IDY3-220</v>
      </c>
      <c r="Z213" s="19" t="str">
        <f t="shared" ref="Z213:Z225" si="104">CONCATENATE(I213,J213)</f>
        <v>ReencaucheReencauchadora RENOVA</v>
      </c>
    </row>
    <row r="214" spans="2:26" ht="15.2" customHeight="1">
      <c r="B214" s="37"/>
      <c r="E214" s="3180">
        <v>7</v>
      </c>
      <c r="F214" s="2297" t="s">
        <v>723</v>
      </c>
      <c r="G214" s="68" t="s">
        <v>724</v>
      </c>
      <c r="H214" s="69" t="s">
        <v>3333</v>
      </c>
      <c r="I214" s="2014" t="s">
        <v>726</v>
      </c>
      <c r="J214" s="70" t="s">
        <v>760</v>
      </c>
      <c r="K214" s="2305" t="s">
        <v>3869</v>
      </c>
      <c r="L214" s="72">
        <v>43719</v>
      </c>
      <c r="M214" s="73" t="s">
        <v>19</v>
      </c>
      <c r="N214" s="74">
        <v>43725</v>
      </c>
      <c r="O214" s="75">
        <f t="shared" ref="O214:O233" si="105">+N214</f>
        <v>43725</v>
      </c>
      <c r="P214" s="2765" t="s">
        <v>3879</v>
      </c>
      <c r="Q214" s="2954">
        <v>100.9</v>
      </c>
      <c r="R214" s="76"/>
      <c r="S214" s="1945" t="s">
        <v>731</v>
      </c>
      <c r="T214" s="77" t="s">
        <v>2570</v>
      </c>
      <c r="U214" s="1893"/>
      <c r="V214" s="2079">
        <f t="shared" si="101"/>
        <v>119.062</v>
      </c>
      <c r="W214" s="78">
        <f t="shared" si="102"/>
        <v>0</v>
      </c>
      <c r="X214" s="1878" t="str">
        <f t="shared" si="103"/>
        <v>7.- R Aeolus 8120410-OT_262508  Reencauche F101-00021759 IDY3-220</v>
      </c>
      <c r="Z214" s="19" t="str">
        <f t="shared" si="104"/>
        <v>ReencaucheReencauchadora RENOVA</v>
      </c>
    </row>
    <row r="215" spans="2:26" ht="15.2" customHeight="1">
      <c r="B215" s="37"/>
      <c r="E215" s="3180">
        <v>8</v>
      </c>
      <c r="F215" s="2297" t="s">
        <v>723</v>
      </c>
      <c r="G215" s="68" t="s">
        <v>737</v>
      </c>
      <c r="H215" s="69" t="s">
        <v>3326</v>
      </c>
      <c r="I215" s="2014" t="s">
        <v>726</v>
      </c>
      <c r="J215" s="70" t="s">
        <v>760</v>
      </c>
      <c r="K215" s="2305" t="s">
        <v>3869</v>
      </c>
      <c r="L215" s="72">
        <v>43719</v>
      </c>
      <c r="M215" s="73" t="s">
        <v>19</v>
      </c>
      <c r="N215" s="74">
        <v>43725</v>
      </c>
      <c r="O215" s="75">
        <f t="shared" si="105"/>
        <v>43725</v>
      </c>
      <c r="P215" s="2765" t="s">
        <v>3879</v>
      </c>
      <c r="Q215" s="2954">
        <v>100.9</v>
      </c>
      <c r="R215" s="76"/>
      <c r="S215" s="1945" t="s">
        <v>731</v>
      </c>
      <c r="T215" s="77" t="s">
        <v>2570</v>
      </c>
      <c r="U215" s="1893"/>
      <c r="V215" s="2079">
        <f t="shared" si="101"/>
        <v>119.062</v>
      </c>
      <c r="W215" s="78">
        <f t="shared" si="102"/>
        <v>0</v>
      </c>
      <c r="X215" s="1878" t="str">
        <f t="shared" si="103"/>
        <v>8.- R Vikrant 0240318-OT_262508  Reencauche F101-00021759 IDY3-220</v>
      </c>
      <c r="Z215" s="19" t="str">
        <f t="shared" si="104"/>
        <v>ReencaucheReencauchadora RENOVA</v>
      </c>
    </row>
    <row r="216" spans="2:26" ht="15.2" customHeight="1">
      <c r="B216" s="37"/>
      <c r="E216" s="3180">
        <v>9</v>
      </c>
      <c r="F216" s="2297" t="s">
        <v>723</v>
      </c>
      <c r="G216" s="68" t="s">
        <v>3029</v>
      </c>
      <c r="H216" s="69" t="s">
        <v>3139</v>
      </c>
      <c r="I216" s="2014" t="s">
        <v>726</v>
      </c>
      <c r="J216" s="70" t="s">
        <v>760</v>
      </c>
      <c r="K216" s="2305" t="s">
        <v>3869</v>
      </c>
      <c r="L216" s="72">
        <v>43719</v>
      </c>
      <c r="M216" s="73" t="s">
        <v>19</v>
      </c>
      <c r="N216" s="74">
        <v>43725</v>
      </c>
      <c r="O216" s="75">
        <f t="shared" si="105"/>
        <v>43725</v>
      </c>
      <c r="P216" s="2765" t="s">
        <v>3879</v>
      </c>
      <c r="Q216" s="2954">
        <v>100.9</v>
      </c>
      <c r="R216" s="76"/>
      <c r="S216" s="1945" t="s">
        <v>731</v>
      </c>
      <c r="T216" s="77" t="s">
        <v>2570</v>
      </c>
      <c r="U216" s="1893"/>
      <c r="V216" s="2079">
        <f t="shared" si="101"/>
        <v>119.062</v>
      </c>
      <c r="W216" s="78">
        <f t="shared" si="102"/>
        <v>0</v>
      </c>
      <c r="X216" s="1878" t="str">
        <f t="shared" si="103"/>
        <v>9.- R Triangle 8230518-OT_262508  Reencauche F101-00021759 IDY3-220</v>
      </c>
      <c r="Z216" s="19" t="str">
        <f t="shared" si="104"/>
        <v>ReencaucheReencauchadora RENOVA</v>
      </c>
    </row>
    <row r="217" spans="2:26" ht="15.2" customHeight="1">
      <c r="B217" s="37"/>
      <c r="E217" s="3180">
        <v>10</v>
      </c>
      <c r="F217" s="2297" t="s">
        <v>723</v>
      </c>
      <c r="G217" s="68" t="s">
        <v>724</v>
      </c>
      <c r="H217" s="69" t="s">
        <v>3373</v>
      </c>
      <c r="I217" s="2014" t="s">
        <v>726</v>
      </c>
      <c r="J217" s="70" t="s">
        <v>760</v>
      </c>
      <c r="K217" s="2305" t="s">
        <v>3869</v>
      </c>
      <c r="L217" s="72">
        <v>43719</v>
      </c>
      <c r="M217" s="2306" t="s">
        <v>19</v>
      </c>
      <c r="N217" s="74">
        <v>43725</v>
      </c>
      <c r="O217" s="75">
        <f t="shared" ref="O217" si="106">+N217</f>
        <v>43725</v>
      </c>
      <c r="P217" s="2765" t="s">
        <v>3879</v>
      </c>
      <c r="Q217" s="2954">
        <v>100.9</v>
      </c>
      <c r="R217" s="76"/>
      <c r="S217" s="1945" t="s">
        <v>731</v>
      </c>
      <c r="T217" s="77" t="s">
        <v>2570</v>
      </c>
      <c r="U217" s="1893"/>
      <c r="V217" s="2079">
        <f t="shared" si="101"/>
        <v>119.062</v>
      </c>
      <c r="W217" s="78">
        <f t="shared" si="102"/>
        <v>0</v>
      </c>
      <c r="X217" s="1878" t="str">
        <f t="shared" si="103"/>
        <v>10.- R Aeolus 0090115-OT_262508  Reencauche F101-00021759 IDY3-220</v>
      </c>
      <c r="Z217" s="19" t="str">
        <f t="shared" si="104"/>
        <v>ReencaucheReencauchadora RENOVA</v>
      </c>
    </row>
    <row r="218" spans="2:26" ht="15.2" customHeight="1">
      <c r="B218" s="37"/>
      <c r="E218" s="3181">
        <v>11</v>
      </c>
      <c r="F218" s="2297" t="s">
        <v>723</v>
      </c>
      <c r="G218" s="68" t="s">
        <v>2460</v>
      </c>
      <c r="H218" s="69" t="s">
        <v>3867</v>
      </c>
      <c r="I218" s="2014" t="s">
        <v>726</v>
      </c>
      <c r="J218" s="70" t="s">
        <v>760</v>
      </c>
      <c r="K218" s="2305" t="s">
        <v>3869</v>
      </c>
      <c r="L218" s="72">
        <v>43719</v>
      </c>
      <c r="M218" s="2306" t="s">
        <v>19</v>
      </c>
      <c r="N218" s="74">
        <v>43725</v>
      </c>
      <c r="O218" s="75">
        <f t="shared" si="105"/>
        <v>43725</v>
      </c>
      <c r="P218" s="2765" t="s">
        <v>3879</v>
      </c>
      <c r="Q218" s="2954">
        <v>105.33</v>
      </c>
      <c r="R218" s="76"/>
      <c r="S218" s="1945" t="s">
        <v>731</v>
      </c>
      <c r="T218" s="77" t="s">
        <v>2569</v>
      </c>
      <c r="U218" s="1893"/>
      <c r="V218" s="2079">
        <f t="shared" si="101"/>
        <v>124.28939999999999</v>
      </c>
      <c r="W218" s="78">
        <f t="shared" si="102"/>
        <v>0</v>
      </c>
      <c r="X218" s="1878" t="str">
        <f t="shared" si="103"/>
        <v>11.- R MICHELLIN 0381217-OT_262508  Reencauche F101-00021759 IDY3-235</v>
      </c>
      <c r="Z218" s="19" t="str">
        <f t="shared" si="104"/>
        <v>ReencaucheReencauchadora RENOVA</v>
      </c>
    </row>
    <row r="219" spans="2:26" ht="15.2" customHeight="1">
      <c r="B219" s="37"/>
      <c r="E219" s="3181">
        <v>12</v>
      </c>
      <c r="F219" s="2297" t="s">
        <v>723</v>
      </c>
      <c r="G219" s="68" t="s">
        <v>724</v>
      </c>
      <c r="H219" s="69" t="s">
        <v>3868</v>
      </c>
      <c r="I219" s="2014" t="s">
        <v>726</v>
      </c>
      <c r="J219" s="70" t="s">
        <v>760</v>
      </c>
      <c r="K219" s="2305" t="s">
        <v>3869</v>
      </c>
      <c r="L219" s="72">
        <v>43719</v>
      </c>
      <c r="M219" s="73" t="s">
        <v>19</v>
      </c>
      <c r="N219" s="74">
        <v>43725</v>
      </c>
      <c r="O219" s="75">
        <v>43725</v>
      </c>
      <c r="P219" s="2765" t="s">
        <v>3879</v>
      </c>
      <c r="Q219" s="2954">
        <v>100.9</v>
      </c>
      <c r="R219" s="76"/>
      <c r="S219" s="1945" t="s">
        <v>731</v>
      </c>
      <c r="T219" s="77" t="s">
        <v>2570</v>
      </c>
      <c r="U219" s="1893"/>
      <c r="V219" s="2079">
        <f t="shared" si="101"/>
        <v>119.062</v>
      </c>
      <c r="W219" s="78">
        <f t="shared" si="102"/>
        <v>0</v>
      </c>
      <c r="X219" s="1878" t="str">
        <f t="shared" si="103"/>
        <v>12.- R Aeolus 0721016-OT_262508  Reencauche F101-00021759 IDY3-220</v>
      </c>
      <c r="Z219" s="19" t="str">
        <f t="shared" si="104"/>
        <v>ReencaucheReencauchadora RENOVA</v>
      </c>
    </row>
    <row r="220" spans="2:26" ht="15.2" customHeight="1">
      <c r="B220" s="37"/>
      <c r="E220" s="3181">
        <v>13</v>
      </c>
      <c r="F220" s="2297" t="s">
        <v>723</v>
      </c>
      <c r="G220" s="68" t="s">
        <v>3029</v>
      </c>
      <c r="H220" s="69" t="s">
        <v>3042</v>
      </c>
      <c r="I220" s="2014" t="s">
        <v>726</v>
      </c>
      <c r="J220" s="70" t="s">
        <v>760</v>
      </c>
      <c r="K220" s="2305" t="s">
        <v>3869</v>
      </c>
      <c r="L220" s="72">
        <v>43719</v>
      </c>
      <c r="M220" s="2306" t="s">
        <v>19</v>
      </c>
      <c r="N220" s="74">
        <v>43725</v>
      </c>
      <c r="O220" s="75">
        <f>+N220</f>
        <v>43725</v>
      </c>
      <c r="P220" s="2765" t="s">
        <v>3878</v>
      </c>
      <c r="Q220" s="2954">
        <v>0</v>
      </c>
      <c r="R220" s="76"/>
      <c r="S220" s="1945" t="s">
        <v>731</v>
      </c>
      <c r="T220" s="77" t="s">
        <v>3612</v>
      </c>
      <c r="U220" s="1893"/>
      <c r="V220" s="2079">
        <f t="shared" ref="V220:W224" si="107">+Q220*(1.18)</f>
        <v>0</v>
      </c>
      <c r="W220" s="78">
        <f t="shared" si="107"/>
        <v>0</v>
      </c>
      <c r="X220" s="1878" t="str">
        <f>CONCATENATE(E220,".- ",F220," ",G220," ",H220,"-OT_",K220," "," ",I220," ",P220," ",T220)</f>
        <v>13.- R Triangle 8130418-OT_262508  Reencauche G031-0031011 RECHAZO No apto para reencauche</v>
      </c>
      <c r="Z220" s="19" t="str">
        <f>CONCATENATE(I220,J220)</f>
        <v>ReencaucheReencauchadora RENOVA</v>
      </c>
    </row>
    <row r="221" spans="2:26" ht="15.2" customHeight="1">
      <c r="B221" s="37"/>
      <c r="E221" s="3181">
        <v>14</v>
      </c>
      <c r="F221" s="2297" t="s">
        <v>723</v>
      </c>
      <c r="G221" s="68" t="s">
        <v>724</v>
      </c>
      <c r="H221" s="69" t="s">
        <v>3462</v>
      </c>
      <c r="I221" s="2014" t="s">
        <v>726</v>
      </c>
      <c r="J221" s="70" t="s">
        <v>760</v>
      </c>
      <c r="K221" s="2305" t="s">
        <v>3869</v>
      </c>
      <c r="L221" s="72">
        <v>43719</v>
      </c>
      <c r="M221" s="2306" t="s">
        <v>19</v>
      </c>
      <c r="N221" s="74">
        <v>43725</v>
      </c>
      <c r="O221" s="75">
        <f>+N221</f>
        <v>43725</v>
      </c>
      <c r="P221" s="2765" t="s">
        <v>3878</v>
      </c>
      <c r="Q221" s="2954">
        <v>0</v>
      </c>
      <c r="R221" s="76"/>
      <c r="S221" s="1945" t="s">
        <v>731</v>
      </c>
      <c r="T221" s="77" t="s">
        <v>3612</v>
      </c>
      <c r="U221" s="1893"/>
      <c r="V221" s="2079">
        <f t="shared" si="107"/>
        <v>0</v>
      </c>
      <c r="W221" s="78">
        <f t="shared" si="107"/>
        <v>0</v>
      </c>
      <c r="X221" s="1878" t="str">
        <f>CONCATENATE(E221,".- ",F221," ",G221," ",H221,"-OT_",K221," "," ",I221," ",P221," ",T221)</f>
        <v>14.- R Aeolus 0310814-OT_262508  Reencauche G031-0031011 RECHAZO No apto para reencauche</v>
      </c>
      <c r="Z221" s="19" t="str">
        <f>CONCATENATE(I221,J221)</f>
        <v>ReencaucheReencauchadora RENOVA</v>
      </c>
    </row>
    <row r="222" spans="2:26" ht="15.2" customHeight="1">
      <c r="B222" s="37"/>
      <c r="E222" s="3181">
        <v>15</v>
      </c>
      <c r="F222" s="2297" t="s">
        <v>723</v>
      </c>
      <c r="G222" s="68" t="s">
        <v>3382</v>
      </c>
      <c r="H222" s="69" t="s">
        <v>3386</v>
      </c>
      <c r="I222" s="2014" t="s">
        <v>726</v>
      </c>
      <c r="J222" s="70" t="s">
        <v>760</v>
      </c>
      <c r="K222" s="2305" t="s">
        <v>3869</v>
      </c>
      <c r="L222" s="72">
        <v>43719</v>
      </c>
      <c r="M222" s="2306" t="s">
        <v>19</v>
      </c>
      <c r="N222" s="74">
        <v>43725</v>
      </c>
      <c r="O222" s="75">
        <f>+N222</f>
        <v>43725</v>
      </c>
      <c r="P222" s="2765" t="s">
        <v>3878</v>
      </c>
      <c r="Q222" s="2954">
        <v>0</v>
      </c>
      <c r="R222" s="76"/>
      <c r="S222" s="1945" t="s">
        <v>731</v>
      </c>
      <c r="T222" s="77" t="s">
        <v>3612</v>
      </c>
      <c r="U222" s="1893"/>
      <c r="V222" s="2079">
        <f t="shared" si="107"/>
        <v>0</v>
      </c>
      <c r="W222" s="78">
        <f t="shared" si="107"/>
        <v>0</v>
      </c>
      <c r="X222" s="1878" t="str">
        <f>CONCATENATE(E222,".- ",F222," ",G222," ",H222,"-OT_",K222," "," ",I222," ",P222," ",T222)</f>
        <v>15.- R Full Run 8321018-OT_262508  Reencauche G031-0031011 RECHAZO No apto para reencauche</v>
      </c>
      <c r="Z222" s="19" t="str">
        <f>CONCATENATE(I222,J222)</f>
        <v>ReencaucheReencauchadora RENOVA</v>
      </c>
    </row>
    <row r="223" spans="2:26" ht="15.2" customHeight="1">
      <c r="B223" s="37"/>
      <c r="E223" s="3181">
        <v>16</v>
      </c>
      <c r="F223" s="2297" t="s">
        <v>723</v>
      </c>
      <c r="G223" s="68" t="s">
        <v>724</v>
      </c>
      <c r="H223" s="69" t="s">
        <v>2854</v>
      </c>
      <c r="I223" s="2014" t="s">
        <v>726</v>
      </c>
      <c r="J223" s="70" t="s">
        <v>760</v>
      </c>
      <c r="K223" s="2305" t="s">
        <v>3869</v>
      </c>
      <c r="L223" s="72">
        <v>43719</v>
      </c>
      <c r="M223" s="2306" t="s">
        <v>19</v>
      </c>
      <c r="N223" s="74">
        <v>43725</v>
      </c>
      <c r="O223" s="75">
        <f>+N223</f>
        <v>43725</v>
      </c>
      <c r="P223" s="2765" t="s">
        <v>3878</v>
      </c>
      <c r="Q223" s="2954">
        <v>0</v>
      </c>
      <c r="R223" s="76"/>
      <c r="S223" s="1945" t="s">
        <v>731</v>
      </c>
      <c r="T223" s="77" t="s">
        <v>3612</v>
      </c>
      <c r="U223" s="1893"/>
      <c r="V223" s="2079">
        <f t="shared" si="107"/>
        <v>0</v>
      </c>
      <c r="W223" s="78">
        <f t="shared" si="107"/>
        <v>0</v>
      </c>
      <c r="X223" s="1878" t="str">
        <f>CONCATENATE(E223,".- ",F223," ",G223," ",H223,"-OT_",K223," "," ",I223," ",P223," ",T223)</f>
        <v>16.- R Aeolus 0180114-OT_262508  Reencauche G031-0031011 RECHAZO No apto para reencauche</v>
      </c>
      <c r="Z223" s="19" t="str">
        <f>CONCATENATE(I223,J223)</f>
        <v>ReencaucheReencauchadora RENOVA</v>
      </c>
    </row>
    <row r="224" spans="2:26" ht="15.2" customHeight="1">
      <c r="B224" s="37"/>
      <c r="E224" s="79">
        <v>17</v>
      </c>
      <c r="F224" s="3182" t="s">
        <v>723</v>
      </c>
      <c r="G224" s="3183" t="s">
        <v>2460</v>
      </c>
      <c r="H224" s="3184" t="s">
        <v>3863</v>
      </c>
      <c r="I224" s="3185" t="s">
        <v>726</v>
      </c>
      <c r="J224" s="3186" t="s">
        <v>760</v>
      </c>
      <c r="K224" s="3187" t="s">
        <v>3866</v>
      </c>
      <c r="L224" s="3188">
        <v>43719</v>
      </c>
      <c r="M224" s="3193" t="s">
        <v>19</v>
      </c>
      <c r="N224" s="3169">
        <v>43728</v>
      </c>
      <c r="O224" s="3170">
        <f>+N224</f>
        <v>43728</v>
      </c>
      <c r="P224" s="3189" t="s">
        <v>3880</v>
      </c>
      <c r="Q224" s="3190">
        <v>0</v>
      </c>
      <c r="R224" s="3191"/>
      <c r="S224" s="3192" t="s">
        <v>731</v>
      </c>
      <c r="T224" s="77" t="s">
        <v>2753</v>
      </c>
      <c r="U224" s="1893"/>
      <c r="V224" s="2079">
        <f t="shared" si="107"/>
        <v>0</v>
      </c>
      <c r="W224" s="78"/>
      <c r="X224" s="1878" t="str">
        <f>CONCATENATE(E224,".- ",F224," ",G224," ",H224,"-OT_",K224," "," ",I224," ",P224," ",T224)</f>
        <v>17.- R MICHELLIN 8200517-OT_262509  Reencauche G030-0082756 Casco pelado</v>
      </c>
      <c r="Z224" s="19" t="str">
        <f>CONCATENATE(I224,J224)</f>
        <v>ReencaucheReencauchadora RENOVA</v>
      </c>
    </row>
    <row r="225" spans="1:26" ht="15.2" customHeight="1">
      <c r="B225" s="37"/>
      <c r="E225" s="3158">
        <v>1</v>
      </c>
      <c r="F225" s="2297" t="s">
        <v>723</v>
      </c>
      <c r="G225" s="68" t="s">
        <v>724</v>
      </c>
      <c r="H225" s="69" t="s">
        <v>3001</v>
      </c>
      <c r="I225" s="2014" t="s">
        <v>726</v>
      </c>
      <c r="J225" s="70" t="s">
        <v>727</v>
      </c>
      <c r="K225" s="2305" t="s">
        <v>3851</v>
      </c>
      <c r="L225" s="72">
        <v>43712</v>
      </c>
      <c r="M225" s="2306" t="s">
        <v>19</v>
      </c>
      <c r="N225" s="74">
        <v>43719</v>
      </c>
      <c r="O225" s="75">
        <f t="shared" si="105"/>
        <v>43719</v>
      </c>
      <c r="P225" s="2765"/>
      <c r="Q225" s="2954"/>
      <c r="R225" s="76">
        <v>279.661</v>
      </c>
      <c r="S225" s="1945" t="s">
        <v>731</v>
      </c>
      <c r="T225" s="77" t="s">
        <v>2712</v>
      </c>
      <c r="U225" s="1893"/>
      <c r="V225" s="2079">
        <f t="shared" si="101"/>
        <v>0</v>
      </c>
      <c r="W225" s="78">
        <f t="shared" si="102"/>
        <v>329.99997999999999</v>
      </c>
      <c r="X225" s="1878" t="str">
        <f t="shared" si="103"/>
        <v>1.- R Aeolus 8080418-OT_013128  Reencauche  MDY-220</v>
      </c>
      <c r="Z225" s="19" t="str">
        <f t="shared" si="104"/>
        <v>ReencaucheReenc. MASTERCAUCHO</v>
      </c>
    </row>
    <row r="226" spans="1:26" ht="15.2" customHeight="1">
      <c r="B226" s="37"/>
      <c r="E226" s="3158">
        <v>2</v>
      </c>
      <c r="F226" s="2297" t="s">
        <v>723</v>
      </c>
      <c r="G226" s="68" t="s">
        <v>2460</v>
      </c>
      <c r="H226" s="69" t="s">
        <v>2888</v>
      </c>
      <c r="I226" s="2014" t="s">
        <v>726</v>
      </c>
      <c r="J226" s="70" t="s">
        <v>727</v>
      </c>
      <c r="K226" s="2305" t="s">
        <v>3851</v>
      </c>
      <c r="L226" s="72">
        <v>43712</v>
      </c>
      <c r="M226" s="2306" t="s">
        <v>19</v>
      </c>
      <c r="N226" s="74">
        <v>43719</v>
      </c>
      <c r="O226" s="75">
        <f t="shared" si="105"/>
        <v>43719</v>
      </c>
      <c r="P226" s="2765"/>
      <c r="Q226" s="2954"/>
      <c r="R226" s="76">
        <v>279.661</v>
      </c>
      <c r="S226" s="1945" t="s">
        <v>731</v>
      </c>
      <c r="T226" s="77" t="s">
        <v>2712</v>
      </c>
      <c r="U226" s="1893"/>
      <c r="V226" s="2079">
        <f t="shared" ref="V226" si="108">+Q226*(1.18)</f>
        <v>0</v>
      </c>
      <c r="W226" s="78">
        <f t="shared" ref="W226" si="109">+R226*(1.18)</f>
        <v>329.99997999999999</v>
      </c>
      <c r="X226" s="1878" t="str">
        <f t="shared" ref="X226:X289" si="110">CONCATENATE(E226,".- ",F226," ",G226," ",H226,"-OT_",K226," "," ",I226," ",P226," ",T226)</f>
        <v>2.- R MICHELLIN 8331117-OT_013128  Reencauche  MDY-220</v>
      </c>
      <c r="Z226" s="19" t="str">
        <f t="shared" ref="Z226:Z227" si="111">CONCATENATE(I226,J226)</f>
        <v>ReencaucheReenc. MASTERCAUCHO</v>
      </c>
    </row>
    <row r="227" spans="1:26" ht="15.2" customHeight="1">
      <c r="B227" s="37"/>
      <c r="E227" s="3179">
        <v>3</v>
      </c>
      <c r="F227" s="2297" t="s">
        <v>723</v>
      </c>
      <c r="G227" s="68" t="s">
        <v>724</v>
      </c>
      <c r="H227" s="69" t="s">
        <v>3147</v>
      </c>
      <c r="I227" s="3067" t="s">
        <v>811</v>
      </c>
      <c r="J227" s="70" t="s">
        <v>727</v>
      </c>
      <c r="K227" s="2305" t="s">
        <v>3851</v>
      </c>
      <c r="L227" s="72">
        <v>43712</v>
      </c>
      <c r="M227" s="2306" t="s">
        <v>19</v>
      </c>
      <c r="N227" s="74">
        <v>43719</v>
      </c>
      <c r="O227" s="75">
        <f t="shared" si="105"/>
        <v>43719</v>
      </c>
      <c r="P227" s="2765"/>
      <c r="Q227" s="2954"/>
      <c r="R227" s="76">
        <v>84.745699999999999</v>
      </c>
      <c r="S227" s="1945" t="s">
        <v>731</v>
      </c>
      <c r="T227" s="77" t="s">
        <v>3829</v>
      </c>
      <c r="U227" s="1893"/>
      <c r="V227" s="2079">
        <f t="shared" ref="V227:V290" si="112">+Q227*(1.18)</f>
        <v>0</v>
      </c>
      <c r="W227" s="78">
        <f t="shared" ref="W227:W290" si="113">+R227*(1.18)</f>
        <v>99.999925999999988</v>
      </c>
      <c r="X227" s="1878" t="str">
        <f t="shared" si="110"/>
        <v>3.- R Aeolus 0060115-OT_013128  Vulcanizado (curación)  REPARACION EN FLANCO</v>
      </c>
      <c r="Z227" s="19" t="str">
        <f t="shared" si="111"/>
        <v>Vulcanizado (curación)Reenc. MASTERCAUCHO</v>
      </c>
    </row>
    <row r="228" spans="1:26" ht="15.2" customHeight="1">
      <c r="A228" s="3174"/>
      <c r="B228" s="3175"/>
      <c r="C228" s="3176"/>
      <c r="D228" s="3177"/>
      <c r="E228" s="2700">
        <v>4</v>
      </c>
      <c r="F228" s="3131" t="s">
        <v>723</v>
      </c>
      <c r="G228" s="2263" t="s">
        <v>3870</v>
      </c>
      <c r="H228" s="2265" t="s">
        <v>3874</v>
      </c>
      <c r="I228" s="3178" t="s">
        <v>3224</v>
      </c>
      <c r="J228" s="2266" t="s">
        <v>727</v>
      </c>
      <c r="K228" s="3133" t="s">
        <v>857</v>
      </c>
      <c r="L228" s="2268"/>
      <c r="M228" s="3122" t="s">
        <v>19</v>
      </c>
      <c r="N228" s="2270">
        <v>43722</v>
      </c>
      <c r="O228" s="2271">
        <f t="shared" ref="O228" si="114">+N228</f>
        <v>43722</v>
      </c>
      <c r="P228" s="2777"/>
      <c r="Q228" s="2956"/>
      <c r="R228" s="2272">
        <v>211.86439999999999</v>
      </c>
      <c r="S228" s="2273" t="s">
        <v>731</v>
      </c>
      <c r="T228" s="2274" t="s">
        <v>3873</v>
      </c>
      <c r="U228" s="1893"/>
      <c r="V228" s="2079">
        <f t="shared" si="112"/>
        <v>0</v>
      </c>
      <c r="W228" s="78">
        <f t="shared" si="113"/>
        <v>249.99999199999996</v>
      </c>
      <c r="X228" s="1878" t="str">
        <f t="shared" si="110"/>
        <v>4.- R DOUPRO 8340919-OT_S/D  Casc 2a trnspl  DOUPRO ST901 3218 China</v>
      </c>
      <c r="Z228" s="19" t="str">
        <f>CONCATENATE(I229,J229)</f>
        <v>Sacar_BandaReenc. MASTERCAUCHO</v>
      </c>
    </row>
    <row r="229" spans="1:26" ht="15.2" customHeight="1">
      <c r="B229" s="37"/>
      <c r="E229" s="3158">
        <v>5</v>
      </c>
      <c r="F229" s="2297" t="s">
        <v>723</v>
      </c>
      <c r="G229" s="68" t="s">
        <v>757</v>
      </c>
      <c r="H229" s="69" t="s">
        <v>531</v>
      </c>
      <c r="I229" s="2014" t="s">
        <v>744</v>
      </c>
      <c r="J229" s="70" t="s">
        <v>727</v>
      </c>
      <c r="K229" s="2305" t="s">
        <v>3851</v>
      </c>
      <c r="L229" s="72">
        <v>43712</v>
      </c>
      <c r="M229" s="2306" t="s">
        <v>19</v>
      </c>
      <c r="N229" s="74">
        <v>43722</v>
      </c>
      <c r="O229" s="75">
        <f>+N229</f>
        <v>43722</v>
      </c>
      <c r="P229" s="2765" t="s">
        <v>3875</v>
      </c>
      <c r="Q229" s="2954"/>
      <c r="R229" s="76">
        <v>0</v>
      </c>
      <c r="S229" s="1945" t="s">
        <v>731</v>
      </c>
      <c r="T229" s="77" t="s">
        <v>2753</v>
      </c>
      <c r="U229" s="1893"/>
      <c r="V229" s="2079">
        <f t="shared" si="112"/>
        <v>0</v>
      </c>
      <c r="W229" s="78">
        <f t="shared" si="113"/>
        <v>0</v>
      </c>
      <c r="X229" s="1878" t="str">
        <f t="shared" si="110"/>
        <v>5.- R Goodyear 8130516-OT_013128  Sacar_Banda EG01-1644 Casco pelado</v>
      </c>
      <c r="Z229" s="19" t="str">
        <f>CONCATENATE(I228,J228)</f>
        <v>Casc 2a trnsplReenc. MASTERCAUCHO</v>
      </c>
    </row>
    <row r="230" spans="1:26" ht="15.2" customHeight="1">
      <c r="B230" s="37"/>
      <c r="E230" s="79">
        <v>6</v>
      </c>
      <c r="F230" s="2294" t="s">
        <v>723</v>
      </c>
      <c r="G230" s="81" t="s">
        <v>247</v>
      </c>
      <c r="H230" s="82" t="s">
        <v>3818</v>
      </c>
      <c r="I230" s="2015" t="s">
        <v>726</v>
      </c>
      <c r="J230" s="83" t="s">
        <v>727</v>
      </c>
      <c r="K230" s="2295" t="s">
        <v>3851</v>
      </c>
      <c r="L230" s="85">
        <v>43712</v>
      </c>
      <c r="M230" s="2296" t="s">
        <v>19</v>
      </c>
      <c r="N230" s="87">
        <v>43719</v>
      </c>
      <c r="O230" s="88">
        <f>+N230</f>
        <v>43719</v>
      </c>
      <c r="P230" s="2766" t="s">
        <v>3856</v>
      </c>
      <c r="Q230" s="2955"/>
      <c r="R230" s="89">
        <v>0</v>
      </c>
      <c r="S230" s="1946" t="s">
        <v>731</v>
      </c>
      <c r="T230" s="77" t="s">
        <v>3612</v>
      </c>
      <c r="U230" s="1893"/>
      <c r="V230" s="2079">
        <f t="shared" si="112"/>
        <v>0</v>
      </c>
      <c r="W230" s="78">
        <f t="shared" si="113"/>
        <v>0</v>
      </c>
      <c r="X230" s="1878" t="str">
        <f t="shared" si="110"/>
        <v>6.- R Double Happines 8050319-OT_013128  Reencauche EG01-1625 RECHAZO No apto para reencauche</v>
      </c>
      <c r="Z230" s="19" t="str">
        <f>CONCATENATE(I230,J230)</f>
        <v>ReencaucheReenc. MASTERCAUCHO</v>
      </c>
    </row>
    <row r="231" spans="1:26" ht="15.2" customHeight="1">
      <c r="B231" s="37"/>
      <c r="E231" s="3158">
        <v>1</v>
      </c>
      <c r="F231" s="2297" t="s">
        <v>723</v>
      </c>
      <c r="G231" s="68" t="s">
        <v>151</v>
      </c>
      <c r="H231" s="69" t="s">
        <v>3842</v>
      </c>
      <c r="I231" s="2014" t="s">
        <v>726</v>
      </c>
      <c r="J231" s="70" t="s">
        <v>760</v>
      </c>
      <c r="K231" s="2305" t="s">
        <v>3853</v>
      </c>
      <c r="L231" s="72">
        <v>43705</v>
      </c>
      <c r="M231" s="73" t="s">
        <v>19</v>
      </c>
      <c r="N231" s="74">
        <v>43713</v>
      </c>
      <c r="O231" s="75">
        <v>43713</v>
      </c>
      <c r="P231" s="2765" t="s">
        <v>3855</v>
      </c>
      <c r="Q231" s="2954">
        <v>100.9</v>
      </c>
      <c r="R231" s="76"/>
      <c r="S231" s="1945" t="s">
        <v>731</v>
      </c>
      <c r="T231" s="77" t="s">
        <v>2570</v>
      </c>
      <c r="U231" s="1893"/>
      <c r="V231" s="2079">
        <f t="shared" si="112"/>
        <v>119.062</v>
      </c>
      <c r="W231" s="78">
        <f t="shared" si="113"/>
        <v>0</v>
      </c>
      <c r="X231" s="1878" t="str">
        <f t="shared" si="110"/>
        <v>1.- R WindPower 0290316-OT_261825  Reencauche F101-00021620 IDY3-220</v>
      </c>
      <c r="Z231" s="19" t="str">
        <f t="shared" ref="Z231:Z236" si="115">CONCATENATE(I232,J232)</f>
        <v>ReencaucheReencauchadora RENOVA</v>
      </c>
    </row>
    <row r="232" spans="1:26" ht="15.2" customHeight="1">
      <c r="B232" s="37"/>
      <c r="E232" s="3158">
        <v>2</v>
      </c>
      <c r="F232" s="2297" t="s">
        <v>723</v>
      </c>
      <c r="G232" s="68" t="s">
        <v>151</v>
      </c>
      <c r="H232" s="69" t="s">
        <v>3843</v>
      </c>
      <c r="I232" s="2014" t="s">
        <v>726</v>
      </c>
      <c r="J232" s="70" t="s">
        <v>760</v>
      </c>
      <c r="K232" s="2305" t="s">
        <v>3853</v>
      </c>
      <c r="L232" s="72">
        <v>43705</v>
      </c>
      <c r="M232" s="73" t="s">
        <v>19</v>
      </c>
      <c r="N232" s="74">
        <v>43713</v>
      </c>
      <c r="O232" s="75">
        <v>43713</v>
      </c>
      <c r="P232" s="2765" t="s">
        <v>3855</v>
      </c>
      <c r="Q232" s="2954">
        <v>100.9</v>
      </c>
      <c r="R232" s="76"/>
      <c r="S232" s="1945" t="s">
        <v>731</v>
      </c>
      <c r="T232" s="77" t="s">
        <v>2570</v>
      </c>
      <c r="U232" s="1893"/>
      <c r="V232" s="2079">
        <f t="shared" si="112"/>
        <v>119.062</v>
      </c>
      <c r="W232" s="78">
        <f t="shared" si="113"/>
        <v>0</v>
      </c>
      <c r="X232" s="1878" t="str">
        <f t="shared" si="110"/>
        <v>2.- R WindPower 0160116-OT_261825  Reencauche F101-00021620 IDY3-220</v>
      </c>
      <c r="Z232" s="19" t="str">
        <f t="shared" si="115"/>
        <v>ReencaucheReencauchadora RENOVA</v>
      </c>
    </row>
    <row r="233" spans="1:26" ht="15.2" customHeight="1">
      <c r="B233" s="37"/>
      <c r="E233" s="3158">
        <v>3</v>
      </c>
      <c r="F233" s="2297" t="s">
        <v>723</v>
      </c>
      <c r="G233" s="68" t="s">
        <v>151</v>
      </c>
      <c r="H233" s="69" t="s">
        <v>3844</v>
      </c>
      <c r="I233" s="2014" t="s">
        <v>726</v>
      </c>
      <c r="J233" s="70" t="s">
        <v>760</v>
      </c>
      <c r="K233" s="2305" t="s">
        <v>3853</v>
      </c>
      <c r="L233" s="72">
        <v>43705</v>
      </c>
      <c r="M233" s="2306" t="s">
        <v>19</v>
      </c>
      <c r="N233" s="74">
        <v>43713</v>
      </c>
      <c r="O233" s="75">
        <f t="shared" si="105"/>
        <v>43713</v>
      </c>
      <c r="P233" s="2765" t="s">
        <v>3855</v>
      </c>
      <c r="Q233" s="2954">
        <v>100.9</v>
      </c>
      <c r="R233" s="76"/>
      <c r="S233" s="1945" t="s">
        <v>731</v>
      </c>
      <c r="T233" s="77" t="s">
        <v>2570</v>
      </c>
      <c r="U233" s="1893"/>
      <c r="V233" s="2079">
        <f t="shared" si="112"/>
        <v>119.062</v>
      </c>
      <c r="W233" s="78">
        <f t="shared" si="113"/>
        <v>0</v>
      </c>
      <c r="X233" s="1878" t="str">
        <f t="shared" si="110"/>
        <v>3.- R WindPower 0140116-OT_261825  Reencauche F101-00021620 IDY3-220</v>
      </c>
      <c r="Z233" s="19" t="str">
        <f t="shared" si="115"/>
        <v>ReencaucheReencauchadora RENOVA</v>
      </c>
    </row>
    <row r="234" spans="1:26" ht="15.2" customHeight="1">
      <c r="B234" s="37"/>
      <c r="E234" s="3158">
        <v>4</v>
      </c>
      <c r="F234" s="2297" t="s">
        <v>723</v>
      </c>
      <c r="G234" s="68" t="s">
        <v>724</v>
      </c>
      <c r="H234" s="69" t="s">
        <v>2396</v>
      </c>
      <c r="I234" s="2014" t="s">
        <v>726</v>
      </c>
      <c r="J234" s="70" t="s">
        <v>760</v>
      </c>
      <c r="K234" s="2305" t="s">
        <v>3853</v>
      </c>
      <c r="L234" s="72">
        <v>43705</v>
      </c>
      <c r="M234" s="73" t="s">
        <v>19</v>
      </c>
      <c r="N234" s="74">
        <v>43713</v>
      </c>
      <c r="O234" s="75">
        <v>43713</v>
      </c>
      <c r="P234" s="2765" t="s">
        <v>3855</v>
      </c>
      <c r="Q234" s="2954">
        <v>100.9</v>
      </c>
      <c r="R234" s="76"/>
      <c r="S234" s="1945" t="s">
        <v>731</v>
      </c>
      <c r="T234" s="77" t="s">
        <v>2570</v>
      </c>
      <c r="U234" s="1893"/>
      <c r="V234" s="2079">
        <f t="shared" si="112"/>
        <v>119.062</v>
      </c>
      <c r="W234" s="78">
        <f t="shared" si="113"/>
        <v>0</v>
      </c>
      <c r="X234" s="1878" t="str">
        <f t="shared" si="110"/>
        <v>4.- R Aeolus 0200514-OT_261825  Reencauche F101-00021620 IDY3-220</v>
      </c>
      <c r="Z234" s="19" t="str">
        <f t="shared" si="115"/>
        <v>ReencaucheReencauchadora RENOVA</v>
      </c>
    </row>
    <row r="235" spans="1:26" ht="15.2" customHeight="1">
      <c r="B235" s="37"/>
      <c r="E235" s="3158">
        <v>5</v>
      </c>
      <c r="F235" s="2297" t="s">
        <v>723</v>
      </c>
      <c r="G235" s="68" t="s">
        <v>724</v>
      </c>
      <c r="H235" s="69" t="s">
        <v>3286</v>
      </c>
      <c r="I235" s="2014" t="s">
        <v>726</v>
      </c>
      <c r="J235" s="70" t="s">
        <v>760</v>
      </c>
      <c r="K235" s="2305" t="s">
        <v>3853</v>
      </c>
      <c r="L235" s="72">
        <v>43705</v>
      </c>
      <c r="M235" s="73" t="s">
        <v>19</v>
      </c>
      <c r="N235" s="74">
        <v>43713</v>
      </c>
      <c r="O235" s="75">
        <v>43713</v>
      </c>
      <c r="P235" s="2765" t="s">
        <v>3855</v>
      </c>
      <c r="Q235" s="2954">
        <v>100.9</v>
      </c>
      <c r="R235" s="76"/>
      <c r="S235" s="1945" t="s">
        <v>731</v>
      </c>
      <c r="T235" s="77" t="s">
        <v>2570</v>
      </c>
      <c r="U235" s="1893"/>
      <c r="V235" s="2079">
        <f t="shared" si="112"/>
        <v>119.062</v>
      </c>
      <c r="W235" s="78">
        <f t="shared" si="113"/>
        <v>0</v>
      </c>
      <c r="X235" s="1878" t="str">
        <f t="shared" si="110"/>
        <v>5.- R Aeolus 0300814-OT_261825  Reencauche F101-00021620 IDY3-220</v>
      </c>
      <c r="Z235" s="19" t="str">
        <f t="shared" si="115"/>
        <v>ReencaucheReencauchadora RENOVA</v>
      </c>
    </row>
    <row r="236" spans="1:26" ht="15.2" customHeight="1">
      <c r="B236" s="37"/>
      <c r="E236" s="3158">
        <v>6</v>
      </c>
      <c r="F236" s="2297" t="s">
        <v>723</v>
      </c>
      <c r="G236" s="68" t="s">
        <v>724</v>
      </c>
      <c r="H236" s="69" t="s">
        <v>3845</v>
      </c>
      <c r="I236" s="2014" t="s">
        <v>726</v>
      </c>
      <c r="J236" s="70" t="s">
        <v>760</v>
      </c>
      <c r="K236" s="2305" t="s">
        <v>3853</v>
      </c>
      <c r="L236" s="72">
        <v>43705</v>
      </c>
      <c r="M236" s="73" t="s">
        <v>19</v>
      </c>
      <c r="N236" s="74">
        <v>43713</v>
      </c>
      <c r="O236" s="75">
        <v>43713</v>
      </c>
      <c r="P236" s="2765" t="s">
        <v>3855</v>
      </c>
      <c r="Q236" s="2954">
        <v>100.9</v>
      </c>
      <c r="R236" s="76"/>
      <c r="S236" s="1945" t="s">
        <v>731</v>
      </c>
      <c r="T236" s="77" t="s">
        <v>2570</v>
      </c>
      <c r="U236" s="1893"/>
      <c r="V236" s="2079">
        <f t="shared" si="112"/>
        <v>119.062</v>
      </c>
      <c r="W236" s="78">
        <f t="shared" si="113"/>
        <v>0</v>
      </c>
      <c r="X236" s="1878" t="str">
        <f t="shared" si="110"/>
        <v>6.- R Aeolus 0360516-OT_261825  Reencauche F101-00021620 IDY3-220</v>
      </c>
      <c r="Z236" s="19" t="str">
        <f t="shared" si="115"/>
        <v>ReencaucheReencauchadora RENOVA</v>
      </c>
    </row>
    <row r="237" spans="1:26" ht="15.2" customHeight="1">
      <c r="B237" s="37"/>
      <c r="E237" s="3158">
        <v>7</v>
      </c>
      <c r="F237" s="2297" t="s">
        <v>723</v>
      </c>
      <c r="G237" s="68" t="s">
        <v>724</v>
      </c>
      <c r="H237" s="69" t="s">
        <v>3846</v>
      </c>
      <c r="I237" s="2014" t="s">
        <v>726</v>
      </c>
      <c r="J237" s="70" t="s">
        <v>760</v>
      </c>
      <c r="K237" s="2305" t="s">
        <v>3853</v>
      </c>
      <c r="L237" s="72">
        <v>43705</v>
      </c>
      <c r="M237" s="73" t="s">
        <v>19</v>
      </c>
      <c r="N237" s="74">
        <v>43713</v>
      </c>
      <c r="O237" s="75">
        <v>43713</v>
      </c>
      <c r="P237" s="2765" t="s">
        <v>3855</v>
      </c>
      <c r="Q237" s="2954">
        <v>100.9</v>
      </c>
      <c r="R237" s="76"/>
      <c r="S237" s="1945" t="s">
        <v>731</v>
      </c>
      <c r="T237" s="77" t="s">
        <v>2570</v>
      </c>
      <c r="U237" s="1893"/>
      <c r="V237" s="2079">
        <f t="shared" si="112"/>
        <v>119.062</v>
      </c>
      <c r="W237" s="78">
        <f t="shared" si="113"/>
        <v>0</v>
      </c>
      <c r="X237" s="1878" t="str">
        <f t="shared" si="110"/>
        <v>7.- R Aeolus 0260215-OT_261825  Reencauche F101-00021620 IDY3-220</v>
      </c>
      <c r="Z237" s="19" t="str">
        <f t="shared" ref="Z237:Z258" si="116">CONCATENATE(I238,J238)</f>
        <v>ReencaucheReencauchadora RENOVA</v>
      </c>
    </row>
    <row r="238" spans="1:26" ht="15.2" customHeight="1">
      <c r="B238" s="37"/>
      <c r="E238" s="3156">
        <v>8</v>
      </c>
      <c r="F238" s="2297" t="s">
        <v>723</v>
      </c>
      <c r="G238" s="68" t="s">
        <v>724</v>
      </c>
      <c r="H238" s="69" t="s">
        <v>3847</v>
      </c>
      <c r="I238" s="2014" t="s">
        <v>726</v>
      </c>
      <c r="J238" s="70" t="s">
        <v>760</v>
      </c>
      <c r="K238" s="2305" t="s">
        <v>3853</v>
      </c>
      <c r="L238" s="72">
        <v>43705</v>
      </c>
      <c r="M238" s="73" t="s">
        <v>19</v>
      </c>
      <c r="N238" s="74">
        <v>43713</v>
      </c>
      <c r="O238" s="75">
        <v>43713</v>
      </c>
      <c r="P238" s="2765" t="s">
        <v>3855</v>
      </c>
      <c r="Q238" s="2954">
        <v>100.9</v>
      </c>
      <c r="R238" s="76"/>
      <c r="S238" s="1945" t="s">
        <v>731</v>
      </c>
      <c r="T238" s="77" t="s">
        <v>2570</v>
      </c>
      <c r="U238" s="1893"/>
      <c r="V238" s="2079">
        <f t="shared" si="112"/>
        <v>119.062</v>
      </c>
      <c r="W238" s="78">
        <f t="shared" si="113"/>
        <v>0</v>
      </c>
      <c r="X238" s="1878" t="str">
        <f t="shared" si="110"/>
        <v>8.- R Aeolus 0541214-OT_261825  Reencauche F101-00021620 IDY3-220</v>
      </c>
      <c r="Z238" s="19" t="str">
        <f t="shared" si="116"/>
        <v>ReencaucheReencauchadora RENOVA</v>
      </c>
    </row>
    <row r="239" spans="1:26" ht="15.2" customHeight="1">
      <c r="B239" s="37"/>
      <c r="E239" s="3173">
        <v>9</v>
      </c>
      <c r="F239" s="2297" t="s">
        <v>723</v>
      </c>
      <c r="G239" s="68" t="s">
        <v>724</v>
      </c>
      <c r="H239" s="69" t="s">
        <v>2478</v>
      </c>
      <c r="I239" s="2014" t="s">
        <v>726</v>
      </c>
      <c r="J239" s="70" t="s">
        <v>760</v>
      </c>
      <c r="K239" s="2305" t="s">
        <v>3853</v>
      </c>
      <c r="L239" s="72">
        <v>43705</v>
      </c>
      <c r="M239" s="73" t="s">
        <v>19</v>
      </c>
      <c r="N239" s="74">
        <v>43713</v>
      </c>
      <c r="O239" s="75">
        <v>43713</v>
      </c>
      <c r="P239" s="2765" t="s">
        <v>3855</v>
      </c>
      <c r="Q239" s="2954">
        <v>100.9</v>
      </c>
      <c r="R239" s="76"/>
      <c r="S239" s="1945" t="s">
        <v>731</v>
      </c>
      <c r="T239" s="77" t="s">
        <v>2570</v>
      </c>
      <c r="U239" s="1893"/>
      <c r="V239" s="2079">
        <f t="shared" si="112"/>
        <v>119.062</v>
      </c>
      <c r="W239" s="78">
        <f t="shared" si="113"/>
        <v>0</v>
      </c>
      <c r="X239" s="1878" t="str">
        <f t="shared" si="110"/>
        <v>9.- R Aeolus 0531214-OT_261825  Reencauche F101-00021620 IDY3-220</v>
      </c>
      <c r="Z239" s="19" t="str">
        <f t="shared" si="116"/>
        <v>ReencaucheReencauchadora RENOVA</v>
      </c>
    </row>
    <row r="240" spans="1:26" ht="15.2" customHeight="1">
      <c r="B240" s="37"/>
      <c r="E240" s="3173">
        <v>10</v>
      </c>
      <c r="F240" s="2297" t="s">
        <v>723</v>
      </c>
      <c r="G240" s="68" t="s">
        <v>1602</v>
      </c>
      <c r="H240" s="69" t="s">
        <v>1595</v>
      </c>
      <c r="I240" s="2014" t="s">
        <v>726</v>
      </c>
      <c r="J240" s="70" t="s">
        <v>760</v>
      </c>
      <c r="K240" s="2305" t="s">
        <v>3852</v>
      </c>
      <c r="L240" s="72">
        <v>43705</v>
      </c>
      <c r="M240" s="73" t="s">
        <v>19</v>
      </c>
      <c r="N240" s="74">
        <v>43713</v>
      </c>
      <c r="O240" s="75">
        <v>43713</v>
      </c>
      <c r="P240" s="2765" t="s">
        <v>3855</v>
      </c>
      <c r="Q240" s="2954">
        <v>100.9</v>
      </c>
      <c r="R240" s="76"/>
      <c r="S240" s="1945" t="s">
        <v>731</v>
      </c>
      <c r="T240" s="77" t="s">
        <v>2570</v>
      </c>
      <c r="U240" s="1893"/>
      <c r="V240" s="2079">
        <f t="shared" si="112"/>
        <v>119.062</v>
      </c>
      <c r="W240" s="78">
        <f t="shared" si="113"/>
        <v>0</v>
      </c>
      <c r="X240" s="1878" t="str">
        <f t="shared" si="110"/>
        <v>10.- R Dunlop 8160616-OT_261826  Reencauche F101-00021620 IDY3-220</v>
      </c>
      <c r="Z240" s="19" t="str">
        <f t="shared" si="116"/>
        <v>ReencaucheReencauchadora RENOVA</v>
      </c>
    </row>
    <row r="241" spans="2:26" ht="15.2" customHeight="1">
      <c r="B241" s="37"/>
      <c r="E241" s="3173">
        <v>11</v>
      </c>
      <c r="F241" s="2297" t="s">
        <v>723</v>
      </c>
      <c r="G241" s="68" t="s">
        <v>737</v>
      </c>
      <c r="H241" s="69" t="s">
        <v>2663</v>
      </c>
      <c r="I241" s="2014" t="s">
        <v>726</v>
      </c>
      <c r="J241" s="70" t="s">
        <v>760</v>
      </c>
      <c r="K241" s="2305" t="s">
        <v>3852</v>
      </c>
      <c r="L241" s="72">
        <v>43705</v>
      </c>
      <c r="M241" s="73" t="s">
        <v>19</v>
      </c>
      <c r="N241" s="74">
        <v>43713</v>
      </c>
      <c r="O241" s="75">
        <v>43713</v>
      </c>
      <c r="P241" s="2765" t="s">
        <v>3855</v>
      </c>
      <c r="Q241" s="2954">
        <v>100.9</v>
      </c>
      <c r="R241" s="76"/>
      <c r="S241" s="1945" t="s">
        <v>731</v>
      </c>
      <c r="T241" s="77" t="s">
        <v>2570</v>
      </c>
      <c r="U241" s="1893"/>
      <c r="V241" s="2079">
        <f t="shared" si="112"/>
        <v>119.062</v>
      </c>
      <c r="W241" s="78">
        <f t="shared" si="113"/>
        <v>0</v>
      </c>
      <c r="X241" s="1878" t="str">
        <f t="shared" si="110"/>
        <v>11.- R Vikrant 0100117-OT_261826  Reencauche F101-00021620 IDY3-220</v>
      </c>
      <c r="Z241" s="19" t="str">
        <f t="shared" si="116"/>
        <v>ReencaucheReencauchadora RENOVA</v>
      </c>
    </row>
    <row r="242" spans="2:26" ht="15.2" customHeight="1">
      <c r="B242" s="37"/>
      <c r="E242" s="3173">
        <v>12</v>
      </c>
      <c r="F242" s="2297" t="s">
        <v>723</v>
      </c>
      <c r="G242" s="68" t="s">
        <v>737</v>
      </c>
      <c r="H242" s="69" t="s">
        <v>2869</v>
      </c>
      <c r="I242" s="2014" t="s">
        <v>726</v>
      </c>
      <c r="J242" s="70" t="s">
        <v>760</v>
      </c>
      <c r="K242" s="2305" t="s">
        <v>3852</v>
      </c>
      <c r="L242" s="72">
        <v>43705</v>
      </c>
      <c r="M242" s="73" t="s">
        <v>19</v>
      </c>
      <c r="N242" s="74">
        <v>43713</v>
      </c>
      <c r="O242" s="75">
        <v>43713</v>
      </c>
      <c r="P242" s="2765" t="s">
        <v>3855</v>
      </c>
      <c r="Q242" s="2954">
        <v>100.9</v>
      </c>
      <c r="R242" s="76"/>
      <c r="S242" s="1945" t="s">
        <v>731</v>
      </c>
      <c r="T242" s="77" t="s">
        <v>2570</v>
      </c>
      <c r="U242" s="1893"/>
      <c r="V242" s="2079">
        <f t="shared" si="112"/>
        <v>119.062</v>
      </c>
      <c r="W242" s="78">
        <f t="shared" si="113"/>
        <v>0</v>
      </c>
      <c r="X242" s="1878" t="str">
        <f t="shared" si="110"/>
        <v>12.- R Vikrant 0961216-OT_261826  Reencauche F101-00021620 IDY3-220</v>
      </c>
      <c r="Z242" s="19" t="str">
        <f>CONCATENATE(I243,J243)</f>
        <v>ReencaucheReencauchadora RENOVA</v>
      </c>
    </row>
    <row r="243" spans="2:26" ht="15.2" customHeight="1">
      <c r="B243" s="37"/>
      <c r="E243" s="79">
        <v>13</v>
      </c>
      <c r="F243" s="2843" t="s">
        <v>723</v>
      </c>
      <c r="G243" s="81" t="s">
        <v>724</v>
      </c>
      <c r="H243" s="82" t="s">
        <v>7</v>
      </c>
      <c r="I243" s="2015" t="s">
        <v>726</v>
      </c>
      <c r="J243" s="83" t="s">
        <v>760</v>
      </c>
      <c r="K243" s="2295" t="s">
        <v>3853</v>
      </c>
      <c r="L243" s="85">
        <v>43705</v>
      </c>
      <c r="M243" s="2296" t="s">
        <v>19</v>
      </c>
      <c r="N243" s="87">
        <v>43713</v>
      </c>
      <c r="O243" s="88">
        <f>+N243</f>
        <v>43713</v>
      </c>
      <c r="P243" s="2766" t="s">
        <v>3854</v>
      </c>
      <c r="Q243" s="2955">
        <v>0</v>
      </c>
      <c r="R243" s="89"/>
      <c r="S243" s="1946" t="s">
        <v>731</v>
      </c>
      <c r="T243" s="77" t="s">
        <v>3612</v>
      </c>
      <c r="U243" s="1893"/>
      <c r="V243" s="2079">
        <f t="shared" si="112"/>
        <v>0</v>
      </c>
      <c r="W243" s="78">
        <f t="shared" si="113"/>
        <v>0</v>
      </c>
      <c r="X243" s="1878" t="str">
        <f t="shared" si="110"/>
        <v>13.- R Aeolus 0120113-OT_261825  Reencauche G030-0082529 RECHAZO No apto para reencauche</v>
      </c>
      <c r="Z243" s="19" t="str">
        <f t="shared" si="116"/>
        <v>ReencaucheReencauchadora RENOVA</v>
      </c>
    </row>
    <row r="244" spans="2:26" ht="15.2" customHeight="1">
      <c r="B244" s="37"/>
      <c r="E244" s="3156">
        <v>1</v>
      </c>
      <c r="F244" s="2297" t="s">
        <v>723</v>
      </c>
      <c r="G244" s="68" t="s">
        <v>247</v>
      </c>
      <c r="H244" s="69" t="s">
        <v>3815</v>
      </c>
      <c r="I244" s="2014" t="s">
        <v>726</v>
      </c>
      <c r="J244" s="70" t="s">
        <v>760</v>
      </c>
      <c r="K244" s="2305" t="s">
        <v>3825</v>
      </c>
      <c r="L244" s="72">
        <v>43686</v>
      </c>
      <c r="M244" s="73" t="s">
        <v>19</v>
      </c>
      <c r="N244" s="74">
        <v>43691</v>
      </c>
      <c r="O244" s="75">
        <f t="shared" ref="O244" si="117">+N244</f>
        <v>43691</v>
      </c>
      <c r="P244" s="2765" t="s">
        <v>3833</v>
      </c>
      <c r="Q244" s="2954">
        <v>100.9</v>
      </c>
      <c r="R244" s="76"/>
      <c r="S244" s="1945" t="s">
        <v>731</v>
      </c>
      <c r="T244" s="77" t="s">
        <v>2570</v>
      </c>
      <c r="U244" s="1893"/>
      <c r="V244" s="2079">
        <f t="shared" si="112"/>
        <v>119.062</v>
      </c>
      <c r="W244" s="78">
        <f t="shared" si="113"/>
        <v>0</v>
      </c>
      <c r="X244" s="1878" t="str">
        <f t="shared" si="110"/>
        <v>1.- R Double Happines 8310819-OT_261139  Reencauche F101-00021307 IDY3-220</v>
      </c>
      <c r="Z244" s="19" t="str">
        <f t="shared" si="116"/>
        <v>ReencaucheReencauchadora RENOVA</v>
      </c>
    </row>
    <row r="245" spans="2:26" ht="15.2" customHeight="1">
      <c r="B245" s="37"/>
      <c r="E245" s="3156">
        <v>2</v>
      </c>
      <c r="F245" s="2297" t="s">
        <v>723</v>
      </c>
      <c r="G245" s="68" t="s">
        <v>247</v>
      </c>
      <c r="H245" s="69" t="s">
        <v>3816</v>
      </c>
      <c r="I245" s="2014" t="s">
        <v>726</v>
      </c>
      <c r="J245" s="70" t="s">
        <v>760</v>
      </c>
      <c r="K245" s="2305" t="s">
        <v>3825</v>
      </c>
      <c r="L245" s="72">
        <v>43686</v>
      </c>
      <c r="M245" s="73" t="s">
        <v>19</v>
      </c>
      <c r="N245" s="74">
        <v>43691</v>
      </c>
      <c r="O245" s="75">
        <f t="shared" ref="O245" si="118">+N245</f>
        <v>43691</v>
      </c>
      <c r="P245" s="2765" t="s">
        <v>3833</v>
      </c>
      <c r="Q245" s="2954">
        <v>100.9</v>
      </c>
      <c r="R245" s="76"/>
      <c r="S245" s="1945" t="s">
        <v>731</v>
      </c>
      <c r="T245" s="77" t="s">
        <v>2570</v>
      </c>
      <c r="U245" s="1893"/>
      <c r="V245" s="2079">
        <f t="shared" si="112"/>
        <v>119.062</v>
      </c>
      <c r="W245" s="78">
        <f t="shared" si="113"/>
        <v>0</v>
      </c>
      <c r="X245" s="1878" t="str">
        <f t="shared" si="110"/>
        <v>2.- R Double Happines 8391018-OT_261139  Reencauche F101-00021307 IDY3-220</v>
      </c>
      <c r="Z245" s="19" t="str">
        <f t="shared" si="116"/>
        <v>ReencaucheReencauchadora RENOVA</v>
      </c>
    </row>
    <row r="246" spans="2:26" ht="15.2" customHeight="1">
      <c r="B246" s="37"/>
      <c r="E246" s="3156">
        <v>3</v>
      </c>
      <c r="F246" s="2297" t="s">
        <v>723</v>
      </c>
      <c r="G246" s="68" t="s">
        <v>247</v>
      </c>
      <c r="H246" s="69" t="s">
        <v>3817</v>
      </c>
      <c r="I246" s="2014" t="s">
        <v>726</v>
      </c>
      <c r="J246" s="70" t="s">
        <v>760</v>
      </c>
      <c r="K246" s="2305" t="s">
        <v>3825</v>
      </c>
      <c r="L246" s="72">
        <v>43686</v>
      </c>
      <c r="M246" s="73" t="s">
        <v>19</v>
      </c>
      <c r="N246" s="74">
        <v>43691</v>
      </c>
      <c r="O246" s="75">
        <f t="shared" ref="O246" si="119">+N246</f>
        <v>43691</v>
      </c>
      <c r="P246" s="2765" t="s">
        <v>3833</v>
      </c>
      <c r="Q246" s="2954">
        <v>100.9</v>
      </c>
      <c r="R246" s="76"/>
      <c r="S246" s="1945" t="s">
        <v>731</v>
      </c>
      <c r="T246" s="77" t="s">
        <v>2570</v>
      </c>
      <c r="U246" s="1893"/>
      <c r="V246" s="2079">
        <f t="shared" si="112"/>
        <v>119.062</v>
      </c>
      <c r="W246" s="78">
        <f t="shared" si="113"/>
        <v>0</v>
      </c>
      <c r="X246" s="1878" t="str">
        <f t="shared" si="110"/>
        <v>3.- R Double Happines 8300819-OT_261139  Reencauche F101-00021307 IDY3-220</v>
      </c>
      <c r="Z246" s="19" t="str">
        <f t="shared" si="116"/>
        <v>ReencaucheReencauchadora RENOVA</v>
      </c>
    </row>
    <row r="247" spans="2:26" ht="15.2" customHeight="1">
      <c r="B247" s="37"/>
      <c r="E247" s="3156">
        <v>4</v>
      </c>
      <c r="F247" s="2297" t="s">
        <v>723</v>
      </c>
      <c r="G247" s="68" t="s">
        <v>247</v>
      </c>
      <c r="H247" s="69" t="s">
        <v>3819</v>
      </c>
      <c r="I247" s="2014" t="s">
        <v>726</v>
      </c>
      <c r="J247" s="70" t="s">
        <v>760</v>
      </c>
      <c r="K247" s="2305" t="s">
        <v>3825</v>
      </c>
      <c r="L247" s="72">
        <v>43686</v>
      </c>
      <c r="M247" s="73" t="s">
        <v>19</v>
      </c>
      <c r="N247" s="74">
        <v>43691</v>
      </c>
      <c r="O247" s="75">
        <f t="shared" ref="O247" si="120">+N247</f>
        <v>43691</v>
      </c>
      <c r="P247" s="2765" t="s">
        <v>3833</v>
      </c>
      <c r="Q247" s="2954">
        <v>100.9</v>
      </c>
      <c r="R247" s="76"/>
      <c r="S247" s="1945" t="s">
        <v>731</v>
      </c>
      <c r="T247" s="77" t="s">
        <v>2570</v>
      </c>
      <c r="U247" s="1893"/>
      <c r="V247" s="2079">
        <f t="shared" si="112"/>
        <v>119.062</v>
      </c>
      <c r="W247" s="78">
        <f t="shared" si="113"/>
        <v>0</v>
      </c>
      <c r="X247" s="1878" t="str">
        <f t="shared" si="110"/>
        <v>4.- R Double Happines 8431118-OT_261139  Reencauche F101-00021307 IDY3-220</v>
      </c>
      <c r="Z247" s="19" t="str">
        <f t="shared" si="116"/>
        <v>ReencaucheReencauchadora RENOVA</v>
      </c>
    </row>
    <row r="248" spans="2:26" ht="15.2" customHeight="1">
      <c r="B248" s="37"/>
      <c r="E248" s="3156">
        <v>5</v>
      </c>
      <c r="F248" s="2297" t="s">
        <v>723</v>
      </c>
      <c r="G248" s="68" t="s">
        <v>247</v>
      </c>
      <c r="H248" s="69" t="s">
        <v>3820</v>
      </c>
      <c r="I248" s="2014" t="s">
        <v>726</v>
      </c>
      <c r="J248" s="70" t="s">
        <v>760</v>
      </c>
      <c r="K248" s="2305" t="s">
        <v>3825</v>
      </c>
      <c r="L248" s="72">
        <v>43686</v>
      </c>
      <c r="M248" s="73" t="s">
        <v>19</v>
      </c>
      <c r="N248" s="74">
        <v>43691</v>
      </c>
      <c r="O248" s="75">
        <f t="shared" ref="O248" si="121">+N248</f>
        <v>43691</v>
      </c>
      <c r="P248" s="2765" t="s">
        <v>3833</v>
      </c>
      <c r="Q248" s="2954">
        <v>100.9</v>
      </c>
      <c r="R248" s="76"/>
      <c r="S248" s="1945" t="s">
        <v>731</v>
      </c>
      <c r="T248" s="77" t="s">
        <v>2570</v>
      </c>
      <c r="U248" s="1893"/>
      <c r="V248" s="2079">
        <f t="shared" si="112"/>
        <v>119.062</v>
      </c>
      <c r="W248" s="78">
        <f t="shared" si="113"/>
        <v>0</v>
      </c>
      <c r="X248" s="1878" t="str">
        <f t="shared" si="110"/>
        <v>5.- R Double Happines 8381018-OT_261139  Reencauche F101-00021307 IDY3-220</v>
      </c>
      <c r="Z248" s="19" t="str">
        <f t="shared" si="116"/>
        <v>ReencaucheReencauchadora RENOVA</v>
      </c>
    </row>
    <row r="249" spans="2:26" ht="15.2" customHeight="1">
      <c r="B249" s="37"/>
      <c r="E249" s="3156">
        <v>6</v>
      </c>
      <c r="F249" s="2297" t="s">
        <v>723</v>
      </c>
      <c r="G249" s="68" t="s">
        <v>247</v>
      </c>
      <c r="H249" s="69" t="s">
        <v>3821</v>
      </c>
      <c r="I249" s="2014" t="s">
        <v>726</v>
      </c>
      <c r="J249" s="70" t="s">
        <v>760</v>
      </c>
      <c r="K249" s="2305" t="s">
        <v>3825</v>
      </c>
      <c r="L249" s="72">
        <v>43686</v>
      </c>
      <c r="M249" s="73" t="s">
        <v>19</v>
      </c>
      <c r="N249" s="74">
        <v>43691</v>
      </c>
      <c r="O249" s="75">
        <f t="shared" ref="O249" si="122">+N249</f>
        <v>43691</v>
      </c>
      <c r="P249" s="2765" t="s">
        <v>3833</v>
      </c>
      <c r="Q249" s="2954">
        <v>100.9</v>
      </c>
      <c r="R249" s="76"/>
      <c r="S249" s="1945" t="s">
        <v>731</v>
      </c>
      <c r="T249" s="77" t="s">
        <v>2570</v>
      </c>
      <c r="U249" s="1893"/>
      <c r="V249" s="2079">
        <f t="shared" si="112"/>
        <v>119.062</v>
      </c>
      <c r="W249" s="78">
        <f t="shared" si="113"/>
        <v>0</v>
      </c>
      <c r="X249" s="1878" t="str">
        <f t="shared" si="110"/>
        <v>6.- R Double Happines 8290819-OT_261139  Reencauche F101-00021307 IDY3-220</v>
      </c>
      <c r="Z249" s="19" t="str">
        <f t="shared" si="116"/>
        <v>ReencaucheReencauchadora RENOVA</v>
      </c>
    </row>
    <row r="250" spans="2:26" ht="15.2" customHeight="1">
      <c r="B250" s="37"/>
      <c r="E250" s="3156">
        <v>7</v>
      </c>
      <c r="F250" s="2297" t="s">
        <v>723</v>
      </c>
      <c r="G250" s="68" t="s">
        <v>247</v>
      </c>
      <c r="H250" s="69" t="s">
        <v>3823</v>
      </c>
      <c r="I250" s="2014" t="s">
        <v>726</v>
      </c>
      <c r="J250" s="70" t="s">
        <v>760</v>
      </c>
      <c r="K250" s="2305" t="s">
        <v>3825</v>
      </c>
      <c r="L250" s="72">
        <v>43686</v>
      </c>
      <c r="M250" s="73" t="s">
        <v>19</v>
      </c>
      <c r="N250" s="74">
        <v>43691</v>
      </c>
      <c r="O250" s="75">
        <f t="shared" ref="O250" si="123">+N250</f>
        <v>43691</v>
      </c>
      <c r="P250" s="2765" t="s">
        <v>3833</v>
      </c>
      <c r="Q250" s="2954">
        <v>100.9</v>
      </c>
      <c r="R250" s="76"/>
      <c r="S250" s="1945" t="s">
        <v>731</v>
      </c>
      <c r="T250" s="77" t="s">
        <v>2570</v>
      </c>
      <c r="U250" s="1893"/>
      <c r="V250" s="2079">
        <f t="shared" si="112"/>
        <v>119.062</v>
      </c>
      <c r="W250" s="78">
        <f t="shared" si="113"/>
        <v>0</v>
      </c>
      <c r="X250" s="1878" t="str">
        <f t="shared" si="110"/>
        <v>7.- R Double Happines 8371018-OT_261139  Reencauche F101-00021307 IDY3-220</v>
      </c>
      <c r="Z250" s="19" t="str">
        <f t="shared" si="116"/>
        <v>ReencaucheReencauchadora RENOVA</v>
      </c>
    </row>
    <row r="251" spans="2:26" ht="15.2" customHeight="1">
      <c r="B251" s="37"/>
      <c r="E251" s="3156">
        <v>8</v>
      </c>
      <c r="F251" s="2297" t="s">
        <v>723</v>
      </c>
      <c r="G251" s="68" t="s">
        <v>724</v>
      </c>
      <c r="H251" s="69" t="s">
        <v>3824</v>
      </c>
      <c r="I251" s="2014" t="s">
        <v>726</v>
      </c>
      <c r="J251" s="70" t="s">
        <v>760</v>
      </c>
      <c r="K251" s="2305" t="s">
        <v>3826</v>
      </c>
      <c r="L251" s="72">
        <v>43686</v>
      </c>
      <c r="M251" s="73" t="s">
        <v>19</v>
      </c>
      <c r="N251" s="74">
        <v>43691</v>
      </c>
      <c r="O251" s="75">
        <f t="shared" ref="O251" si="124">+N251</f>
        <v>43691</v>
      </c>
      <c r="P251" s="2765" t="s">
        <v>3833</v>
      </c>
      <c r="Q251" s="2954">
        <v>100.9</v>
      </c>
      <c r="R251" s="76"/>
      <c r="S251" s="1945" t="s">
        <v>731</v>
      </c>
      <c r="T251" s="77" t="s">
        <v>2570</v>
      </c>
      <c r="U251" s="1893"/>
      <c r="V251" s="2079">
        <f t="shared" si="112"/>
        <v>119.062</v>
      </c>
      <c r="W251" s="78">
        <f t="shared" si="113"/>
        <v>0</v>
      </c>
      <c r="X251" s="1878" t="str">
        <f t="shared" si="110"/>
        <v>8.- R Aeolus 0390615-OT_261140  Reencauche F101-00021307 IDY3-220</v>
      </c>
      <c r="Z251" s="19" t="str">
        <f t="shared" si="116"/>
        <v>ReencaucheReencauchadora RENOVA</v>
      </c>
    </row>
    <row r="252" spans="2:26" ht="15.2" customHeight="1">
      <c r="B252" s="37"/>
      <c r="E252" s="3156">
        <v>9</v>
      </c>
      <c r="F252" s="2297" t="s">
        <v>723</v>
      </c>
      <c r="G252" s="68" t="s">
        <v>724</v>
      </c>
      <c r="H252" s="69" t="s">
        <v>762</v>
      </c>
      <c r="I252" s="2014" t="s">
        <v>726</v>
      </c>
      <c r="J252" s="70" t="s">
        <v>760</v>
      </c>
      <c r="K252" s="2305" t="s">
        <v>3826</v>
      </c>
      <c r="L252" s="72">
        <v>43686</v>
      </c>
      <c r="M252" s="73" t="s">
        <v>19</v>
      </c>
      <c r="N252" s="74">
        <v>43691</v>
      </c>
      <c r="O252" s="75">
        <f t="shared" ref="O252" si="125">+N252</f>
        <v>43691</v>
      </c>
      <c r="P252" s="2765" t="s">
        <v>3833</v>
      </c>
      <c r="Q252" s="2954">
        <v>100.9</v>
      </c>
      <c r="R252" s="76"/>
      <c r="S252" s="1945" t="s">
        <v>731</v>
      </c>
      <c r="T252" s="77" t="s">
        <v>2570</v>
      </c>
      <c r="U252" s="1893"/>
      <c r="V252" s="2079">
        <f t="shared" si="112"/>
        <v>119.062</v>
      </c>
      <c r="W252" s="78">
        <f t="shared" si="113"/>
        <v>0</v>
      </c>
      <c r="X252" s="1878" t="str">
        <f t="shared" si="110"/>
        <v>9.- R Aeolus 0270814-OT_261140  Reencauche F101-00021307 IDY3-220</v>
      </c>
      <c r="Z252" s="19" t="str">
        <f t="shared" si="116"/>
        <v>ReencaucheReencauchadora RENOVA</v>
      </c>
    </row>
    <row r="253" spans="2:26" ht="15.2" customHeight="1">
      <c r="B253" s="37"/>
      <c r="E253" s="3156">
        <v>10</v>
      </c>
      <c r="F253" s="2297" t="s">
        <v>723</v>
      </c>
      <c r="G253" s="68" t="s">
        <v>724</v>
      </c>
      <c r="H253" s="69" t="s">
        <v>3337</v>
      </c>
      <c r="I253" s="2014" t="s">
        <v>726</v>
      </c>
      <c r="J253" s="70" t="s">
        <v>760</v>
      </c>
      <c r="K253" s="2305" t="s">
        <v>3826</v>
      </c>
      <c r="L253" s="72">
        <v>43686</v>
      </c>
      <c r="M253" s="2306" t="s">
        <v>19</v>
      </c>
      <c r="N253" s="74">
        <v>43691</v>
      </c>
      <c r="O253" s="75">
        <f t="shared" ref="O253:O259" si="126">+N253</f>
        <v>43691</v>
      </c>
      <c r="P253" s="2765" t="s">
        <v>3833</v>
      </c>
      <c r="Q253" s="2954">
        <v>100.9</v>
      </c>
      <c r="R253" s="76"/>
      <c r="S253" s="1945" t="s">
        <v>731</v>
      </c>
      <c r="T253" s="77" t="s">
        <v>2570</v>
      </c>
      <c r="U253" s="1893"/>
      <c r="V253" s="2079">
        <f t="shared" si="112"/>
        <v>119.062</v>
      </c>
      <c r="W253" s="78">
        <f t="shared" si="113"/>
        <v>0</v>
      </c>
      <c r="X253" s="1878" t="str">
        <f t="shared" si="110"/>
        <v>10.- R Aeolus 0230215-OT_261140  Reencauche F101-00021307 IDY3-220</v>
      </c>
      <c r="Z253" s="19" t="str">
        <f t="shared" si="116"/>
        <v>ReencaucheReencauchadora RENOVA</v>
      </c>
    </row>
    <row r="254" spans="2:26" ht="15.2" customHeight="1">
      <c r="B254" s="37"/>
      <c r="E254" s="3171">
        <v>11</v>
      </c>
      <c r="F254" s="2297" t="s">
        <v>723</v>
      </c>
      <c r="G254" s="68" t="s">
        <v>151</v>
      </c>
      <c r="H254" s="69" t="s">
        <v>3834</v>
      </c>
      <c r="I254" s="2014" t="s">
        <v>726</v>
      </c>
      <c r="J254" s="70" t="s">
        <v>760</v>
      </c>
      <c r="K254" s="2305" t="s">
        <v>3825</v>
      </c>
      <c r="L254" s="72">
        <v>43686</v>
      </c>
      <c r="M254" s="73" t="s">
        <v>19</v>
      </c>
      <c r="N254" s="74">
        <v>43691</v>
      </c>
      <c r="O254" s="75">
        <f t="shared" ref="O254" si="127">+N254</f>
        <v>43691</v>
      </c>
      <c r="P254" s="2765" t="s">
        <v>3833</v>
      </c>
      <c r="Q254" s="2954">
        <v>100.9</v>
      </c>
      <c r="R254" s="76"/>
      <c r="S254" s="1945" t="s">
        <v>731</v>
      </c>
      <c r="T254" s="77" t="s">
        <v>2570</v>
      </c>
      <c r="U254" s="1893"/>
      <c r="V254" s="2079">
        <f t="shared" si="112"/>
        <v>119.062</v>
      </c>
      <c r="W254" s="78">
        <f t="shared" si="113"/>
        <v>0</v>
      </c>
      <c r="X254" s="1878" t="str">
        <f t="shared" si="110"/>
        <v>11.- R WindPower 0090116-OT_261139  Reencauche F101-00021307 IDY3-220</v>
      </c>
      <c r="Z254" s="19" t="str">
        <f>CONCATENATE(I255,J255)</f>
        <v>ReencaucheReencauchadora RENOVA</v>
      </c>
    </row>
    <row r="255" spans="2:26" ht="15.2" customHeight="1">
      <c r="B255" s="37"/>
      <c r="E255" s="3171">
        <v>12</v>
      </c>
      <c r="F255" s="2297" t="s">
        <v>723</v>
      </c>
      <c r="G255" s="68" t="s">
        <v>247</v>
      </c>
      <c r="H255" s="69" t="s">
        <v>3818</v>
      </c>
      <c r="I255" s="2014" t="s">
        <v>726</v>
      </c>
      <c r="J255" s="70" t="s">
        <v>760</v>
      </c>
      <c r="K255" s="2305" t="s">
        <v>3825</v>
      </c>
      <c r="L255" s="72">
        <v>43686</v>
      </c>
      <c r="M255" s="2306" t="s">
        <v>19</v>
      </c>
      <c r="N255" s="74">
        <v>43691</v>
      </c>
      <c r="O255" s="75">
        <f t="shared" ref="O255" si="128">+N255</f>
        <v>43691</v>
      </c>
      <c r="P255" s="2765" t="s">
        <v>3832</v>
      </c>
      <c r="Q255" s="2954">
        <v>0</v>
      </c>
      <c r="R255" s="76"/>
      <c r="S255" s="1945" t="s">
        <v>731</v>
      </c>
      <c r="T255" s="77" t="s">
        <v>3612</v>
      </c>
      <c r="U255" s="1893"/>
      <c r="V255" s="2079">
        <f t="shared" si="112"/>
        <v>0</v>
      </c>
      <c r="W255" s="78">
        <f t="shared" si="113"/>
        <v>0</v>
      </c>
      <c r="X255" s="1878" t="str">
        <f t="shared" si="110"/>
        <v>12.- R Double Happines 8050319-OT_261139  Reencauche G030-0082107 RECHAZO No apto para reencauche</v>
      </c>
      <c r="Z255" s="19" t="str">
        <f>CONCATENATE(I256,J256)</f>
        <v>ReencaucheReencauchadora RENOVA</v>
      </c>
    </row>
    <row r="256" spans="2:26" ht="15.2" customHeight="1">
      <c r="B256" s="37"/>
      <c r="E256" s="79">
        <v>13</v>
      </c>
      <c r="F256" s="2294" t="s">
        <v>723</v>
      </c>
      <c r="G256" s="81" t="s">
        <v>247</v>
      </c>
      <c r="H256" s="82" t="s">
        <v>3822</v>
      </c>
      <c r="I256" s="2015" t="s">
        <v>726</v>
      </c>
      <c r="J256" s="83" t="s">
        <v>760</v>
      </c>
      <c r="K256" s="2295" t="s">
        <v>3825</v>
      </c>
      <c r="L256" s="85">
        <v>43686</v>
      </c>
      <c r="M256" s="2296" t="s">
        <v>19</v>
      </c>
      <c r="N256" s="87">
        <v>43691</v>
      </c>
      <c r="O256" s="88">
        <f>+N256</f>
        <v>43691</v>
      </c>
      <c r="P256" s="2766" t="s">
        <v>3832</v>
      </c>
      <c r="Q256" s="2955">
        <v>0</v>
      </c>
      <c r="R256" s="89"/>
      <c r="S256" s="1946" t="s">
        <v>731</v>
      </c>
      <c r="T256" s="77" t="s">
        <v>3612</v>
      </c>
      <c r="U256" s="1893"/>
      <c r="V256" s="2079">
        <f t="shared" si="112"/>
        <v>0</v>
      </c>
      <c r="W256" s="78">
        <f t="shared" si="113"/>
        <v>0</v>
      </c>
      <c r="X256" s="1878" t="str">
        <f t="shared" si="110"/>
        <v>13.- R Double Happines 8260819-OT_261139  Reencauche G030-0082107 RECHAZO No apto para reencauche</v>
      </c>
      <c r="Z256" s="19" t="str">
        <f t="shared" si="116"/>
        <v>ReencaucheReenc. MASTERCAUCHO</v>
      </c>
    </row>
    <row r="257" spans="1:26" ht="15.2" customHeight="1">
      <c r="B257" s="37"/>
      <c r="E257" s="3156">
        <v>1</v>
      </c>
      <c r="F257" s="2297" t="s">
        <v>723</v>
      </c>
      <c r="G257" s="68" t="s">
        <v>151</v>
      </c>
      <c r="H257" s="69" t="s">
        <v>3808</v>
      </c>
      <c r="I257" s="2014" t="s">
        <v>726</v>
      </c>
      <c r="J257" s="70" t="s">
        <v>727</v>
      </c>
      <c r="K257" s="2305" t="s">
        <v>3809</v>
      </c>
      <c r="L257" s="72">
        <v>43679</v>
      </c>
      <c r="M257" s="2306" t="s">
        <v>19</v>
      </c>
      <c r="N257" s="74">
        <v>43686</v>
      </c>
      <c r="O257" s="75">
        <f t="shared" si="126"/>
        <v>43686</v>
      </c>
      <c r="P257" s="2765" t="s">
        <v>3830</v>
      </c>
      <c r="Q257" s="2954"/>
      <c r="R257" s="76">
        <v>279.661</v>
      </c>
      <c r="S257" s="1945" t="s">
        <v>731</v>
      </c>
      <c r="T257" s="77" t="s">
        <v>2712</v>
      </c>
      <c r="U257" s="1893"/>
      <c r="V257" s="2079">
        <f t="shared" si="112"/>
        <v>0</v>
      </c>
      <c r="W257" s="78">
        <f t="shared" si="113"/>
        <v>329.99997999999999</v>
      </c>
      <c r="X257" s="1878" t="str">
        <f t="shared" si="110"/>
        <v>1.- R WindPower 0300216-OT_012686  Reencauche F001-00003260 MDY-220</v>
      </c>
      <c r="Z257" s="19" t="str">
        <f t="shared" si="116"/>
        <v>ReencaucheReenc. MASTERCAUCHO</v>
      </c>
    </row>
    <row r="258" spans="1:26" ht="15.2" customHeight="1">
      <c r="B258" s="37"/>
      <c r="E258" s="3156">
        <v>2</v>
      </c>
      <c r="F258" s="2297" t="s">
        <v>723</v>
      </c>
      <c r="G258" s="68" t="s">
        <v>737</v>
      </c>
      <c r="H258" s="69" t="s">
        <v>2924</v>
      </c>
      <c r="I258" s="2014" t="s">
        <v>726</v>
      </c>
      <c r="J258" s="70" t="s">
        <v>727</v>
      </c>
      <c r="K258" s="2305" t="s">
        <v>3809</v>
      </c>
      <c r="L258" s="72">
        <v>43679</v>
      </c>
      <c r="M258" s="2306" t="s">
        <v>19</v>
      </c>
      <c r="N258" s="74">
        <v>43686</v>
      </c>
      <c r="O258" s="75">
        <f t="shared" si="126"/>
        <v>43686</v>
      </c>
      <c r="P258" s="2765" t="s">
        <v>3830</v>
      </c>
      <c r="Q258" s="2954"/>
      <c r="R258" s="76">
        <v>279.661</v>
      </c>
      <c r="S258" s="1945" t="s">
        <v>731</v>
      </c>
      <c r="T258" s="77" t="s">
        <v>2712</v>
      </c>
      <c r="U258" s="1893"/>
      <c r="V258" s="2079">
        <f t="shared" si="112"/>
        <v>0</v>
      </c>
      <c r="W258" s="78">
        <f t="shared" si="113"/>
        <v>329.99997999999999</v>
      </c>
      <c r="X258" s="1878" t="str">
        <f t="shared" si="110"/>
        <v>2.- R Vikrant 0230217-OT_012686  Reencauche F001-00003260 MDY-220</v>
      </c>
      <c r="Z258" s="19" t="str">
        <f t="shared" si="116"/>
        <v>ReencaucheReenc. MASTERCAUCHO</v>
      </c>
    </row>
    <row r="259" spans="1:26" ht="15.2" customHeight="1">
      <c r="B259" s="37"/>
      <c r="E259" s="3156">
        <v>3</v>
      </c>
      <c r="F259" s="2297" t="s">
        <v>723</v>
      </c>
      <c r="G259" s="68" t="s">
        <v>724</v>
      </c>
      <c r="H259" s="69" t="s">
        <v>12</v>
      </c>
      <c r="I259" s="2014" t="s">
        <v>726</v>
      </c>
      <c r="J259" s="70" t="s">
        <v>727</v>
      </c>
      <c r="K259" s="2305" t="s">
        <v>3809</v>
      </c>
      <c r="L259" s="72">
        <v>43679</v>
      </c>
      <c r="M259" s="73"/>
      <c r="N259" s="74">
        <v>43686</v>
      </c>
      <c r="O259" s="75">
        <f t="shared" si="126"/>
        <v>43686</v>
      </c>
      <c r="P259" s="2765" t="s">
        <v>3831</v>
      </c>
      <c r="Q259" s="2954"/>
      <c r="R259" s="76">
        <v>0</v>
      </c>
      <c r="S259" s="1945" t="s">
        <v>731</v>
      </c>
      <c r="T259" s="77" t="s">
        <v>3612</v>
      </c>
      <c r="U259" s="1893"/>
      <c r="V259" s="2079">
        <f t="shared" si="112"/>
        <v>0</v>
      </c>
      <c r="W259" s="78">
        <f t="shared" si="113"/>
        <v>0</v>
      </c>
      <c r="X259" s="1878" t="str">
        <f t="shared" si="110"/>
        <v>3.- R Aeolus 0260413-OT_012686  Reencauche EG01-1471 RECHAZO No apto para reencauche</v>
      </c>
      <c r="Z259" s="19" t="str">
        <f>CONCATENATE(I260,J260)</f>
        <v>Sacar_BandaReenc. MASTERCAUCHO</v>
      </c>
    </row>
    <row r="260" spans="1:26" ht="15.2" customHeight="1">
      <c r="B260" s="37"/>
      <c r="E260" s="3158">
        <v>4</v>
      </c>
      <c r="F260" s="2297" t="s">
        <v>723</v>
      </c>
      <c r="G260" s="68" t="s">
        <v>737</v>
      </c>
      <c r="H260" s="69" t="s">
        <v>1273</v>
      </c>
      <c r="I260" s="2014" t="s">
        <v>744</v>
      </c>
      <c r="J260" s="70" t="s">
        <v>727</v>
      </c>
      <c r="K260" s="2305" t="s">
        <v>3809</v>
      </c>
      <c r="L260" s="72">
        <v>43679</v>
      </c>
      <c r="M260" s="2306" t="s">
        <v>19</v>
      </c>
      <c r="N260" s="74">
        <v>43686</v>
      </c>
      <c r="O260" s="75">
        <f>+N260</f>
        <v>43686</v>
      </c>
      <c r="P260" s="2765" t="s">
        <v>3831</v>
      </c>
      <c r="Q260" s="2954"/>
      <c r="R260" s="76">
        <v>0</v>
      </c>
      <c r="S260" s="1945" t="s">
        <v>731</v>
      </c>
      <c r="T260" s="77" t="s">
        <v>2753</v>
      </c>
      <c r="U260" s="1893"/>
      <c r="V260" s="2079">
        <f t="shared" si="112"/>
        <v>0</v>
      </c>
      <c r="W260" s="78">
        <f t="shared" si="113"/>
        <v>0</v>
      </c>
      <c r="X260" s="1878" t="str">
        <f t="shared" si="110"/>
        <v>4.- R Vikrant 0370510-OT_012686  Sacar_Banda EG01-1471 Casco pelado</v>
      </c>
      <c r="Z260" s="19" t="str">
        <f t="shared" ref="Z260" si="129">CONCATENATE(I263,J263)</f>
        <v>ReencaucheReenc. MASTERCAUCHO</v>
      </c>
    </row>
    <row r="261" spans="1:26" ht="15.2" customHeight="1">
      <c r="A261" s="3174"/>
      <c r="B261" s="3175"/>
      <c r="C261" s="3176"/>
      <c r="D261" s="3177"/>
      <c r="E261" s="2700">
        <v>5</v>
      </c>
      <c r="F261" s="3131" t="s">
        <v>723</v>
      </c>
      <c r="G261" s="2263" t="s">
        <v>247</v>
      </c>
      <c r="H261" s="2265" t="s">
        <v>3839</v>
      </c>
      <c r="I261" s="3178" t="s">
        <v>3224</v>
      </c>
      <c r="J261" s="2266" t="s">
        <v>727</v>
      </c>
      <c r="K261" s="3133" t="s">
        <v>857</v>
      </c>
      <c r="L261" s="2268"/>
      <c r="M261" s="3122" t="s">
        <v>19</v>
      </c>
      <c r="N261" s="2270">
        <v>43712</v>
      </c>
      <c r="O261" s="2271">
        <f t="shared" ref="O261" si="130">+N261</f>
        <v>43712</v>
      </c>
      <c r="P261" s="2777" t="s">
        <v>3849</v>
      </c>
      <c r="Q261" s="2956"/>
      <c r="R261" s="2272">
        <v>211.86439999999999</v>
      </c>
      <c r="S261" s="2273" t="s">
        <v>731</v>
      </c>
      <c r="T261" s="2274" t="s">
        <v>3850</v>
      </c>
      <c r="U261" s="1893"/>
      <c r="V261" s="2079">
        <f t="shared" si="112"/>
        <v>0</v>
      </c>
      <c r="W261" s="78">
        <f t="shared" si="113"/>
        <v>249.99999199999996</v>
      </c>
      <c r="X261" s="1878" t="str">
        <f t="shared" si="110"/>
        <v>5.- R Double Happines 8330819-OT_S/D  Casc 2a trnspl F001-00003497 Double Happines DR928 2717 China</v>
      </c>
      <c r="Z261" s="19" t="str">
        <f t="shared" ref="Z261" si="131">CONCATENATE(I264,J264)</f>
        <v>ReencaucheReencauchadora RENOVA</v>
      </c>
    </row>
    <row r="262" spans="1:26" ht="15.2" customHeight="1">
      <c r="B262" s="37"/>
      <c r="E262" s="3172">
        <v>6</v>
      </c>
      <c r="F262" s="2297" t="s">
        <v>723</v>
      </c>
      <c r="G262" s="68" t="s">
        <v>247</v>
      </c>
      <c r="H262" s="69" t="s">
        <v>3838</v>
      </c>
      <c r="I262" s="68" t="s">
        <v>101</v>
      </c>
      <c r="J262" s="70" t="s">
        <v>727</v>
      </c>
      <c r="K262" s="2305" t="s">
        <v>857</v>
      </c>
      <c r="L262" s="72"/>
      <c r="M262" s="2306" t="s">
        <v>19</v>
      </c>
      <c r="N262" s="74">
        <v>43703</v>
      </c>
      <c r="O262" s="75">
        <f t="shared" ref="O262" si="132">+N262</f>
        <v>43703</v>
      </c>
      <c r="P262" s="2765" t="s">
        <v>3840</v>
      </c>
      <c r="Q262" s="2954"/>
      <c r="R262" s="76">
        <v>364.4067</v>
      </c>
      <c r="S262" s="1945" t="s">
        <v>731</v>
      </c>
      <c r="T262" s="77" t="s">
        <v>3841</v>
      </c>
      <c r="U262" s="1893"/>
      <c r="V262" s="2079">
        <f t="shared" si="112"/>
        <v>0</v>
      </c>
      <c r="W262" s="78">
        <f t="shared" si="113"/>
        <v>429.99990599999995</v>
      </c>
      <c r="X262" s="1878" t="str">
        <f t="shared" si="110"/>
        <v>6.- R Double Happines 8320819-OT_S/D  Llanta de 2da Reenc F001-00003418 Double Happines DR908 1018 China MDY-220</v>
      </c>
      <c r="Z262" s="19" t="str">
        <f t="shared" ref="Z262:Z281" si="133">CONCATENATE(I263,J263)</f>
        <v>ReencaucheReenc. MASTERCAUCHO</v>
      </c>
    </row>
    <row r="263" spans="1:26" ht="15.2" customHeight="1">
      <c r="B263" s="37"/>
      <c r="E263" s="3160">
        <v>7</v>
      </c>
      <c r="F263" s="3161" t="s">
        <v>723</v>
      </c>
      <c r="G263" s="3162" t="s">
        <v>724</v>
      </c>
      <c r="H263" s="3163" t="s">
        <v>3783</v>
      </c>
      <c r="I263" s="3164" t="s">
        <v>726</v>
      </c>
      <c r="J263" s="3165" t="s">
        <v>727</v>
      </c>
      <c r="K263" s="3166" t="s">
        <v>3809</v>
      </c>
      <c r="L263" s="3167">
        <v>43679</v>
      </c>
      <c r="M263" s="3168" t="s">
        <v>19</v>
      </c>
      <c r="N263" s="3169">
        <v>43703</v>
      </c>
      <c r="O263" s="3170">
        <f t="shared" ref="O263:O282" si="134">+N263</f>
        <v>43703</v>
      </c>
      <c r="P263" s="2766" t="s">
        <v>3840</v>
      </c>
      <c r="Q263" s="2955"/>
      <c r="R263" s="89">
        <v>279.661</v>
      </c>
      <c r="S263" s="1946" t="s">
        <v>731</v>
      </c>
      <c r="T263" s="77" t="s">
        <v>2712</v>
      </c>
      <c r="U263" s="1893"/>
      <c r="V263" s="2079">
        <f t="shared" si="112"/>
        <v>0</v>
      </c>
      <c r="W263" s="78">
        <f t="shared" si="113"/>
        <v>329.99997999999999</v>
      </c>
      <c r="X263" s="1878" t="str">
        <f t="shared" si="110"/>
        <v>7.- R Aeolus 0160218-OT_012686  Reencauche F001-00003418 MDY-220</v>
      </c>
      <c r="Z263" s="19" t="str">
        <f>CONCATENATE(I264,J264)</f>
        <v>ReencaucheReencauchadora RENOVA</v>
      </c>
    </row>
    <row r="264" spans="1:26" ht="15.2" customHeight="1">
      <c r="B264" s="37"/>
      <c r="E264" s="3119">
        <v>1</v>
      </c>
      <c r="F264" s="2297" t="s">
        <v>723</v>
      </c>
      <c r="G264" s="68" t="s">
        <v>737</v>
      </c>
      <c r="H264" s="69" t="s">
        <v>2889</v>
      </c>
      <c r="I264" s="2014" t="s">
        <v>726</v>
      </c>
      <c r="J264" s="70" t="s">
        <v>760</v>
      </c>
      <c r="K264" s="2305" t="s">
        <v>3803</v>
      </c>
      <c r="L264" s="72">
        <v>43677</v>
      </c>
      <c r="M264" s="2306" t="s">
        <v>19</v>
      </c>
      <c r="N264" s="74">
        <v>43686</v>
      </c>
      <c r="O264" s="75">
        <f>+N264</f>
        <v>43686</v>
      </c>
      <c r="P264" s="2765" t="s">
        <v>3828</v>
      </c>
      <c r="Q264" s="2954">
        <v>106.21</v>
      </c>
      <c r="R264" s="76"/>
      <c r="S264" s="1945" t="s">
        <v>731</v>
      </c>
      <c r="T264" s="77" t="s">
        <v>2570</v>
      </c>
      <c r="U264" s="1893"/>
      <c r="V264" s="2079">
        <f t="shared" si="112"/>
        <v>125.32779999999998</v>
      </c>
      <c r="W264" s="78">
        <f t="shared" si="113"/>
        <v>0</v>
      </c>
      <c r="X264" s="1878" t="str">
        <f t="shared" si="110"/>
        <v>1.- R Vikrant 0560617-OT_261126  Reencauche F101-000212329 IDY3-220</v>
      </c>
      <c r="Z264" s="19" t="str">
        <f>CONCATENATE(I265,J265)</f>
        <v>ReencaucheReencauchadora RENOVA</v>
      </c>
    </row>
    <row r="265" spans="1:26" ht="15.2" customHeight="1">
      <c r="B265" s="37"/>
      <c r="E265" s="3119">
        <v>2</v>
      </c>
      <c r="F265" s="2297" t="s">
        <v>723</v>
      </c>
      <c r="G265" s="68" t="s">
        <v>724</v>
      </c>
      <c r="H265" s="69" t="s">
        <v>2098</v>
      </c>
      <c r="I265" s="2014" t="s">
        <v>726</v>
      </c>
      <c r="J265" s="70" t="s">
        <v>760</v>
      </c>
      <c r="K265" s="2305" t="s">
        <v>3803</v>
      </c>
      <c r="L265" s="72">
        <v>43677</v>
      </c>
      <c r="M265" s="2306" t="s">
        <v>19</v>
      </c>
      <c r="N265" s="74">
        <v>43686</v>
      </c>
      <c r="O265" s="75">
        <f t="shared" ref="O265:O267" si="135">+N265</f>
        <v>43686</v>
      </c>
      <c r="P265" s="2765" t="s">
        <v>3828</v>
      </c>
      <c r="Q265" s="2954">
        <v>106.21</v>
      </c>
      <c r="R265" s="76"/>
      <c r="S265" s="1945" t="s">
        <v>731</v>
      </c>
      <c r="T265" s="77" t="s">
        <v>2570</v>
      </c>
      <c r="U265" s="1893"/>
      <c r="V265" s="2079">
        <f t="shared" si="112"/>
        <v>125.32779999999998</v>
      </c>
      <c r="W265" s="78">
        <f t="shared" si="113"/>
        <v>0</v>
      </c>
      <c r="X265" s="1878" t="str">
        <f t="shared" si="110"/>
        <v>2.- R Aeolus 0360814-OT_261126  Reencauche F101-000212329 IDY3-220</v>
      </c>
      <c r="Z265" s="19" t="str">
        <f>CONCATENATE(I266,J266)</f>
        <v>ReencaucheReencauchadora RENOVA</v>
      </c>
    </row>
    <row r="266" spans="1:26" ht="15.2" customHeight="1">
      <c r="B266" s="37"/>
      <c r="E266" s="3119">
        <v>3</v>
      </c>
      <c r="F266" s="2297" t="s">
        <v>723</v>
      </c>
      <c r="G266" s="68" t="s">
        <v>724</v>
      </c>
      <c r="H266" s="69" t="s">
        <v>3801</v>
      </c>
      <c r="I266" s="2014" t="s">
        <v>726</v>
      </c>
      <c r="J266" s="70" t="s">
        <v>760</v>
      </c>
      <c r="K266" s="2305" t="s">
        <v>3803</v>
      </c>
      <c r="L266" s="72">
        <v>43677</v>
      </c>
      <c r="M266" s="2306" t="s">
        <v>19</v>
      </c>
      <c r="N266" s="74">
        <v>43686</v>
      </c>
      <c r="O266" s="75">
        <f t="shared" si="135"/>
        <v>43686</v>
      </c>
      <c r="P266" s="2765" t="s">
        <v>3828</v>
      </c>
      <c r="Q266" s="2954">
        <v>106.21</v>
      </c>
      <c r="R266" s="76"/>
      <c r="S266" s="1945" t="s">
        <v>731</v>
      </c>
      <c r="T266" s="77" t="s">
        <v>2570</v>
      </c>
      <c r="U266" s="1893"/>
      <c r="V266" s="2079">
        <f t="shared" si="112"/>
        <v>125.32779999999998</v>
      </c>
      <c r="W266" s="78">
        <f t="shared" si="113"/>
        <v>0</v>
      </c>
      <c r="X266" s="1878" t="str">
        <f t="shared" si="110"/>
        <v>3.- R Aeolus 0330615-OT_261126  Reencauche F101-000212329 IDY3-220</v>
      </c>
      <c r="Z266" s="19" t="str">
        <f>CONCATENATE(I267,J267)</f>
        <v>ReencaucheReencauchadora RENOVA</v>
      </c>
    </row>
    <row r="267" spans="1:26" ht="15.2" customHeight="1">
      <c r="B267" s="37"/>
      <c r="E267" s="3158">
        <v>4</v>
      </c>
      <c r="F267" s="2297" t="s">
        <v>723</v>
      </c>
      <c r="G267" s="68" t="s">
        <v>724</v>
      </c>
      <c r="H267" s="69" t="s">
        <v>3802</v>
      </c>
      <c r="I267" s="2014" t="s">
        <v>726</v>
      </c>
      <c r="J267" s="70" t="s">
        <v>760</v>
      </c>
      <c r="K267" s="2305" t="s">
        <v>3803</v>
      </c>
      <c r="L267" s="72">
        <v>43677</v>
      </c>
      <c r="M267" s="2306" t="s">
        <v>19</v>
      </c>
      <c r="N267" s="74">
        <v>43686</v>
      </c>
      <c r="O267" s="75">
        <f t="shared" si="135"/>
        <v>43686</v>
      </c>
      <c r="P267" s="2765" t="s">
        <v>3828</v>
      </c>
      <c r="Q267" s="2954">
        <v>106.21</v>
      </c>
      <c r="R267" s="76"/>
      <c r="S267" s="1945" t="s">
        <v>731</v>
      </c>
      <c r="T267" s="77" t="s">
        <v>2570</v>
      </c>
      <c r="U267" s="1893"/>
      <c r="V267" s="2079">
        <f t="shared" si="112"/>
        <v>125.32779999999998</v>
      </c>
      <c r="W267" s="78">
        <f t="shared" si="113"/>
        <v>0</v>
      </c>
      <c r="X267" s="1878" t="str">
        <f t="shared" si="110"/>
        <v>4.- R Aeolus 0510616-OT_261126  Reencauche F101-000212329 IDY3-220</v>
      </c>
      <c r="Z267" s="19" t="str">
        <f>CONCATENATE(I268,J268)</f>
        <v>Vulcanizado (curación)Reencauchadora RENOVA</v>
      </c>
    </row>
    <row r="268" spans="1:26" ht="15.2" customHeight="1">
      <c r="B268" s="37"/>
      <c r="E268" s="3158">
        <v>1</v>
      </c>
      <c r="F268" s="2297" t="s">
        <v>723</v>
      </c>
      <c r="G268" s="68" t="s">
        <v>3458</v>
      </c>
      <c r="H268" s="69" t="s">
        <v>3795</v>
      </c>
      <c r="I268" s="3159" t="s">
        <v>811</v>
      </c>
      <c r="J268" s="70" t="s">
        <v>760</v>
      </c>
      <c r="K268" s="2305" t="s">
        <v>3800</v>
      </c>
      <c r="L268" s="72">
        <v>43671</v>
      </c>
      <c r="M268" s="2306" t="s">
        <v>19</v>
      </c>
      <c r="N268" s="74">
        <v>43686</v>
      </c>
      <c r="O268" s="75">
        <f>+N268</f>
        <v>43686</v>
      </c>
      <c r="P268" s="2765" t="s">
        <v>3828</v>
      </c>
      <c r="Q268" s="2954">
        <v>25</v>
      </c>
      <c r="R268" s="76"/>
      <c r="S268" s="1945" t="s">
        <v>731</v>
      </c>
      <c r="T268" s="77" t="s">
        <v>3829</v>
      </c>
      <c r="U268" s="1893"/>
      <c r="V268" s="2079">
        <f t="shared" si="112"/>
        <v>29.5</v>
      </c>
      <c r="W268" s="78">
        <f t="shared" si="113"/>
        <v>0</v>
      </c>
      <c r="X268" s="1878" t="str">
        <f t="shared" si="110"/>
        <v>1.- R Long March 0640718-OT_261124  Vulcanizado (curación) F101-000212329 REPARACION EN FLANCO</v>
      </c>
      <c r="Z268" s="19" t="str">
        <f t="shared" si="133"/>
        <v>ReencaucheReencauchadora RENOVA</v>
      </c>
    </row>
    <row r="269" spans="1:26" ht="15.2" customHeight="1">
      <c r="B269" s="37"/>
      <c r="E269" s="3119">
        <v>5</v>
      </c>
      <c r="F269" s="2297" t="s">
        <v>723</v>
      </c>
      <c r="G269" s="68" t="s">
        <v>2533</v>
      </c>
      <c r="H269" s="69" t="s">
        <v>3600</v>
      </c>
      <c r="I269" s="2014" t="s">
        <v>726</v>
      </c>
      <c r="J269" s="70" t="s">
        <v>760</v>
      </c>
      <c r="K269" s="2305" t="s">
        <v>3803</v>
      </c>
      <c r="L269" s="72">
        <v>43677</v>
      </c>
      <c r="M269" s="73" t="s">
        <v>19</v>
      </c>
      <c r="N269" s="74">
        <v>43686</v>
      </c>
      <c r="O269" s="75">
        <f t="shared" si="134"/>
        <v>43686</v>
      </c>
      <c r="P269" s="2765" t="s">
        <v>3827</v>
      </c>
      <c r="Q269" s="2954">
        <v>0</v>
      </c>
      <c r="R269" s="76"/>
      <c r="S269" s="1945" t="s">
        <v>731</v>
      </c>
      <c r="T269" s="77" t="s">
        <v>3612</v>
      </c>
      <c r="U269" s="1893"/>
      <c r="V269" s="2079">
        <f t="shared" si="112"/>
        <v>0</v>
      </c>
      <c r="W269" s="78">
        <f t="shared" si="113"/>
        <v>0</v>
      </c>
      <c r="X269" s="1878" t="str">
        <f t="shared" si="110"/>
        <v>5.- R Stellmark 8260517-OT_261126  Reencauche G030-0081936 RECHAZO No apto para reencauche</v>
      </c>
      <c r="Z269" s="19" t="str">
        <f t="shared" si="133"/>
        <v>ReencaucheReencauchadora RENOVA</v>
      </c>
    </row>
    <row r="270" spans="1:26" ht="15.2" customHeight="1">
      <c r="B270" s="37"/>
      <c r="E270" s="3119">
        <v>6</v>
      </c>
      <c r="F270" s="2297" t="s">
        <v>723</v>
      </c>
      <c r="G270" s="68" t="s">
        <v>737</v>
      </c>
      <c r="H270" s="69" t="s">
        <v>3247</v>
      </c>
      <c r="I270" s="2014" t="s">
        <v>726</v>
      </c>
      <c r="J270" s="70" t="s">
        <v>760</v>
      </c>
      <c r="K270" s="2305" t="s">
        <v>3803</v>
      </c>
      <c r="L270" s="72">
        <v>43677</v>
      </c>
      <c r="M270" s="73" t="s">
        <v>19</v>
      </c>
      <c r="N270" s="74">
        <v>43686</v>
      </c>
      <c r="O270" s="75">
        <f t="shared" si="134"/>
        <v>43686</v>
      </c>
      <c r="P270" s="2765" t="s">
        <v>3827</v>
      </c>
      <c r="Q270" s="2954">
        <v>0</v>
      </c>
      <c r="R270" s="76"/>
      <c r="S270" s="1945" t="s">
        <v>731</v>
      </c>
      <c r="T270" s="77" t="s">
        <v>3612</v>
      </c>
      <c r="U270" s="1893"/>
      <c r="V270" s="2079">
        <f t="shared" si="112"/>
        <v>0</v>
      </c>
      <c r="W270" s="78">
        <f t="shared" si="113"/>
        <v>0</v>
      </c>
      <c r="X270" s="1878" t="str">
        <f t="shared" si="110"/>
        <v>6.- R Vikrant 0240217-OT_261126  Reencauche G030-0081936 RECHAZO No apto para reencauche</v>
      </c>
      <c r="Z270" s="19" t="str">
        <f t="shared" si="133"/>
        <v>ReencaucheReencauchadora RENOVA</v>
      </c>
    </row>
    <row r="271" spans="1:26" ht="15.2" customHeight="1">
      <c r="B271" s="37"/>
      <c r="E271" s="3119">
        <v>7</v>
      </c>
      <c r="F271" s="2297" t="s">
        <v>723</v>
      </c>
      <c r="G271" s="68" t="s">
        <v>2460</v>
      </c>
      <c r="H271" s="69" t="s">
        <v>2888</v>
      </c>
      <c r="I271" s="2014" t="s">
        <v>726</v>
      </c>
      <c r="J271" s="70" t="s">
        <v>760</v>
      </c>
      <c r="K271" s="2305" t="s">
        <v>3803</v>
      </c>
      <c r="L271" s="72">
        <v>43677</v>
      </c>
      <c r="M271" s="2306" t="s">
        <v>19</v>
      </c>
      <c r="N271" s="74">
        <v>43686</v>
      </c>
      <c r="O271" s="75">
        <f t="shared" si="134"/>
        <v>43686</v>
      </c>
      <c r="P271" s="2765" t="s">
        <v>3827</v>
      </c>
      <c r="Q271" s="2954">
        <v>0</v>
      </c>
      <c r="R271" s="76"/>
      <c r="S271" s="1945" t="s">
        <v>731</v>
      </c>
      <c r="T271" s="77" t="s">
        <v>3612</v>
      </c>
      <c r="U271" s="1893"/>
      <c r="V271" s="2079">
        <f t="shared" si="112"/>
        <v>0</v>
      </c>
      <c r="W271" s="78">
        <f t="shared" si="113"/>
        <v>0</v>
      </c>
      <c r="X271" s="1878" t="str">
        <f t="shared" si="110"/>
        <v>7.- R MICHELLIN 8331117-OT_261126  Reencauche G030-0081936 RECHAZO No apto para reencauche</v>
      </c>
      <c r="Z271" s="19" t="str">
        <f t="shared" si="133"/>
        <v>ReencaucheReencauchadora RENOVA</v>
      </c>
    </row>
    <row r="272" spans="1:26" ht="15.2" customHeight="1">
      <c r="B272" s="37"/>
      <c r="E272" s="79">
        <v>8</v>
      </c>
      <c r="F272" s="2294" t="s">
        <v>723</v>
      </c>
      <c r="G272" s="81" t="s">
        <v>2958</v>
      </c>
      <c r="H272" s="82" t="s">
        <v>2964</v>
      </c>
      <c r="I272" s="2015" t="s">
        <v>726</v>
      </c>
      <c r="J272" s="83" t="s">
        <v>760</v>
      </c>
      <c r="K272" s="2295" t="s">
        <v>3803</v>
      </c>
      <c r="L272" s="85">
        <v>43677</v>
      </c>
      <c r="M272" s="2296" t="s">
        <v>19</v>
      </c>
      <c r="N272" s="87">
        <v>43686</v>
      </c>
      <c r="O272" s="88">
        <f t="shared" ref="O272" si="136">+N272</f>
        <v>43686</v>
      </c>
      <c r="P272" s="2766" t="s">
        <v>3827</v>
      </c>
      <c r="Q272" s="2955">
        <v>0</v>
      </c>
      <c r="R272" s="89"/>
      <c r="S272" s="1946" t="s">
        <v>731</v>
      </c>
      <c r="T272" s="77" t="s">
        <v>3612</v>
      </c>
      <c r="U272" s="1893"/>
      <c r="V272" s="2079">
        <f t="shared" si="112"/>
        <v>0</v>
      </c>
      <c r="W272" s="78">
        <f t="shared" si="113"/>
        <v>0</v>
      </c>
      <c r="X272" s="1878" t="str">
        <f t="shared" si="110"/>
        <v>8.- R DUNHOPE 8070318-OT_261126  Reencauche G030-0081936 RECHAZO No apto para reencauche</v>
      </c>
      <c r="Z272" s="19" t="str">
        <f t="shared" si="133"/>
        <v>ReencaucheReencauchadora RENOVA</v>
      </c>
    </row>
    <row r="273" spans="2:26" ht="15.2" customHeight="1">
      <c r="B273" s="37"/>
      <c r="E273" s="3119">
        <v>1</v>
      </c>
      <c r="F273" s="2297" t="s">
        <v>723</v>
      </c>
      <c r="G273" s="68" t="s">
        <v>724</v>
      </c>
      <c r="H273" s="69" t="s">
        <v>3798</v>
      </c>
      <c r="I273" s="2014" t="s">
        <v>726</v>
      </c>
      <c r="J273" s="70" t="s">
        <v>760</v>
      </c>
      <c r="K273" s="2305" t="s">
        <v>3799</v>
      </c>
      <c r="L273" s="72">
        <v>43670</v>
      </c>
      <c r="M273" s="2306" t="s">
        <v>19</v>
      </c>
      <c r="N273" s="74">
        <v>43677</v>
      </c>
      <c r="O273" s="75">
        <f t="shared" si="134"/>
        <v>43677</v>
      </c>
      <c r="P273" s="2765" t="s">
        <v>3804</v>
      </c>
      <c r="Q273" s="2954">
        <v>100.9</v>
      </c>
      <c r="R273" s="76"/>
      <c r="S273" s="1945" t="s">
        <v>731</v>
      </c>
      <c r="T273" s="77" t="s">
        <v>2570</v>
      </c>
      <c r="U273" s="1893"/>
      <c r="V273" s="2079">
        <f t="shared" si="112"/>
        <v>119.062</v>
      </c>
      <c r="W273" s="78">
        <f t="shared" si="113"/>
        <v>0</v>
      </c>
      <c r="X273" s="1878" t="str">
        <f t="shared" si="110"/>
        <v>1.- R Aeolus 0710617-OT_261120  Reencauche F101-00021128 IDY3-220</v>
      </c>
      <c r="Z273" s="19" t="str">
        <f t="shared" si="133"/>
        <v>ReencaucheReencauchadora RENOVA</v>
      </c>
    </row>
    <row r="274" spans="2:26" ht="15.2" customHeight="1">
      <c r="B274" s="37"/>
      <c r="E274" s="3119">
        <v>2</v>
      </c>
      <c r="F274" s="2297" t="s">
        <v>723</v>
      </c>
      <c r="G274" s="68" t="s">
        <v>737</v>
      </c>
      <c r="H274" s="69" t="s">
        <v>3797</v>
      </c>
      <c r="I274" s="2014" t="s">
        <v>726</v>
      </c>
      <c r="J274" s="70" t="s">
        <v>760</v>
      </c>
      <c r="K274" s="2305" t="s">
        <v>3799</v>
      </c>
      <c r="L274" s="72">
        <v>43670</v>
      </c>
      <c r="M274" s="2306" t="s">
        <v>19</v>
      </c>
      <c r="N274" s="74">
        <v>43677</v>
      </c>
      <c r="O274" s="75">
        <f t="shared" ref="O274:O277" si="137">+N274</f>
        <v>43677</v>
      </c>
      <c r="P274" s="2765" t="s">
        <v>3804</v>
      </c>
      <c r="Q274" s="2954">
        <v>100.9</v>
      </c>
      <c r="R274" s="76"/>
      <c r="S274" s="1945" t="s">
        <v>731</v>
      </c>
      <c r="T274" s="77" t="s">
        <v>2570</v>
      </c>
      <c r="U274" s="1893"/>
      <c r="V274" s="2079">
        <f t="shared" si="112"/>
        <v>119.062</v>
      </c>
      <c r="W274" s="78">
        <f t="shared" si="113"/>
        <v>0</v>
      </c>
      <c r="X274" s="1878" t="str">
        <f t="shared" si="110"/>
        <v>2.- R Vikrant 0921216-OT_261120  Reencauche F101-00021128 IDY3-220</v>
      </c>
      <c r="Z274" s="19" t="str">
        <f t="shared" si="133"/>
        <v>ReencaucheReencauchadora RENOVA</v>
      </c>
    </row>
    <row r="275" spans="2:26" ht="15.2" customHeight="1">
      <c r="B275" s="37"/>
      <c r="E275" s="3119">
        <v>3</v>
      </c>
      <c r="F275" s="2297" t="s">
        <v>723</v>
      </c>
      <c r="G275" s="68" t="s">
        <v>3458</v>
      </c>
      <c r="H275" s="69" t="s">
        <v>3796</v>
      </c>
      <c r="I275" s="2014" t="s">
        <v>726</v>
      </c>
      <c r="J275" s="70" t="s">
        <v>760</v>
      </c>
      <c r="K275" s="2305" t="s">
        <v>3799</v>
      </c>
      <c r="L275" s="72">
        <v>43670</v>
      </c>
      <c r="M275" s="2306" t="s">
        <v>19</v>
      </c>
      <c r="N275" s="74">
        <v>43677</v>
      </c>
      <c r="O275" s="75">
        <f t="shared" si="137"/>
        <v>43677</v>
      </c>
      <c r="P275" s="2765" t="s">
        <v>3804</v>
      </c>
      <c r="Q275" s="2954">
        <v>100.9</v>
      </c>
      <c r="R275" s="76"/>
      <c r="S275" s="1945" t="s">
        <v>731</v>
      </c>
      <c r="T275" s="77" t="s">
        <v>2570</v>
      </c>
      <c r="U275" s="1893"/>
      <c r="V275" s="2079">
        <f t="shared" si="112"/>
        <v>119.062</v>
      </c>
      <c r="W275" s="78">
        <f t="shared" si="113"/>
        <v>0</v>
      </c>
      <c r="X275" s="1878" t="str">
        <f t="shared" si="110"/>
        <v>3.- R Long March 0620718-OT_261120  Reencauche F101-00021128 IDY3-220</v>
      </c>
      <c r="Z275" s="19" t="str">
        <f t="shared" si="133"/>
        <v>ReencaucheReencauchadora RENOVA</v>
      </c>
    </row>
    <row r="276" spans="2:26" ht="15.2" customHeight="1">
      <c r="B276" s="37"/>
      <c r="E276" s="3119">
        <v>4</v>
      </c>
      <c r="F276" s="2297" t="s">
        <v>723</v>
      </c>
      <c r="G276" s="68" t="s">
        <v>3458</v>
      </c>
      <c r="H276" s="69" t="s">
        <v>3795</v>
      </c>
      <c r="I276" s="2014" t="s">
        <v>726</v>
      </c>
      <c r="J276" s="70" t="s">
        <v>760</v>
      </c>
      <c r="K276" s="2305" t="s">
        <v>3799</v>
      </c>
      <c r="L276" s="72">
        <v>43670</v>
      </c>
      <c r="M276" s="2306" t="s">
        <v>19</v>
      </c>
      <c r="N276" s="74">
        <v>43677</v>
      </c>
      <c r="O276" s="75">
        <f t="shared" si="137"/>
        <v>43677</v>
      </c>
      <c r="P276" s="2765" t="s">
        <v>3804</v>
      </c>
      <c r="Q276" s="2954">
        <v>100.9</v>
      </c>
      <c r="R276" s="76"/>
      <c r="S276" s="1945" t="s">
        <v>731</v>
      </c>
      <c r="T276" s="77" t="s">
        <v>2570</v>
      </c>
      <c r="U276" s="1893"/>
      <c r="V276" s="2079">
        <f t="shared" si="112"/>
        <v>119.062</v>
      </c>
      <c r="W276" s="78">
        <f t="shared" si="113"/>
        <v>0</v>
      </c>
      <c r="X276" s="1878" t="str">
        <f t="shared" si="110"/>
        <v>4.- R Long March 0640718-OT_261120  Reencauche F101-00021128 IDY3-220</v>
      </c>
      <c r="Z276" s="19" t="str">
        <f t="shared" si="133"/>
        <v>ReencaucheReencauchadora RENOVA</v>
      </c>
    </row>
    <row r="277" spans="2:26" ht="15.2" customHeight="1">
      <c r="B277" s="37"/>
      <c r="E277" s="79">
        <v>5</v>
      </c>
      <c r="F277" s="2294" t="s">
        <v>723</v>
      </c>
      <c r="G277" s="81" t="s">
        <v>3458</v>
      </c>
      <c r="H277" s="82" t="s">
        <v>3794</v>
      </c>
      <c r="I277" s="2015" t="s">
        <v>726</v>
      </c>
      <c r="J277" s="83" t="s">
        <v>760</v>
      </c>
      <c r="K277" s="2295" t="s">
        <v>3799</v>
      </c>
      <c r="L277" s="85">
        <v>43670</v>
      </c>
      <c r="M277" s="2296" t="s">
        <v>19</v>
      </c>
      <c r="N277" s="87">
        <v>43677</v>
      </c>
      <c r="O277" s="88">
        <f t="shared" si="137"/>
        <v>43677</v>
      </c>
      <c r="P277" s="2766" t="s">
        <v>3804</v>
      </c>
      <c r="Q277" s="2955">
        <v>100.9</v>
      </c>
      <c r="R277" s="89"/>
      <c r="S277" s="1946" t="s">
        <v>731</v>
      </c>
      <c r="T277" s="77" t="s">
        <v>2570</v>
      </c>
      <c r="U277" s="1893"/>
      <c r="V277" s="2079">
        <f t="shared" si="112"/>
        <v>119.062</v>
      </c>
      <c r="W277" s="78">
        <f t="shared" si="113"/>
        <v>0</v>
      </c>
      <c r="X277" s="1878" t="str">
        <f t="shared" si="110"/>
        <v>5.- R Long March 0630718-OT_261120  Reencauche F101-00021128 IDY3-220</v>
      </c>
      <c r="Z277" s="19" t="str">
        <f t="shared" si="133"/>
        <v>ReencaucheReenc. MASTERCAUCHO</v>
      </c>
    </row>
    <row r="278" spans="2:26" ht="15.2" customHeight="1">
      <c r="B278" s="37"/>
      <c r="E278" s="3119">
        <v>1</v>
      </c>
      <c r="F278" s="2297" t="s">
        <v>723</v>
      </c>
      <c r="G278" s="68" t="s">
        <v>724</v>
      </c>
      <c r="H278" s="69" t="s">
        <v>870</v>
      </c>
      <c r="I278" s="2014" t="s">
        <v>726</v>
      </c>
      <c r="J278" s="70" t="s">
        <v>727</v>
      </c>
      <c r="K278" s="2305" t="s">
        <v>3789</v>
      </c>
      <c r="L278" s="72">
        <v>43668</v>
      </c>
      <c r="M278" s="2306" t="s">
        <v>19</v>
      </c>
      <c r="N278" s="74">
        <v>43679</v>
      </c>
      <c r="O278" s="75">
        <f t="shared" si="134"/>
        <v>43679</v>
      </c>
      <c r="P278" s="2765" t="s">
        <v>3807</v>
      </c>
      <c r="Q278" s="2954"/>
      <c r="R278" s="76">
        <v>279.661</v>
      </c>
      <c r="S278" s="1945" t="s">
        <v>731</v>
      </c>
      <c r="T278" s="77" t="s">
        <v>2712</v>
      </c>
      <c r="U278" s="1893"/>
      <c r="V278" s="2079">
        <f t="shared" si="112"/>
        <v>0</v>
      </c>
      <c r="W278" s="78">
        <f t="shared" si="113"/>
        <v>329.99997999999999</v>
      </c>
      <c r="X278" s="1878" t="str">
        <f t="shared" si="110"/>
        <v>1.- R Aeolus 0240413-OT_012709  Reencauche F001-00002174 MDY-220</v>
      </c>
      <c r="Z278" s="19" t="str">
        <f t="shared" ref="Z278:Z279" si="138">CONCATENATE(I281,J281)</f>
        <v>ReencaucheReenc. MASTERCAUCHO</v>
      </c>
    </row>
    <row r="279" spans="2:26" ht="15.2" customHeight="1">
      <c r="B279" s="37"/>
      <c r="E279" s="3157">
        <v>2</v>
      </c>
      <c r="F279" s="2297" t="s">
        <v>723</v>
      </c>
      <c r="G279" s="2141" t="s">
        <v>247</v>
      </c>
      <c r="H279" s="69">
        <v>8270819</v>
      </c>
      <c r="I279" s="2014" t="s">
        <v>3224</v>
      </c>
      <c r="J279" s="70" t="s">
        <v>727</v>
      </c>
      <c r="K279" s="2305" t="s">
        <v>857</v>
      </c>
      <c r="L279" s="72"/>
      <c r="M279" s="2306" t="s">
        <v>19</v>
      </c>
      <c r="N279" s="74">
        <v>43679</v>
      </c>
      <c r="O279" s="75">
        <f t="shared" si="134"/>
        <v>43679</v>
      </c>
      <c r="P279" s="2765" t="s">
        <v>3807</v>
      </c>
      <c r="Q279" s="2954"/>
      <c r="R279" s="76">
        <v>211.86439999999999</v>
      </c>
      <c r="S279" s="1945" t="s">
        <v>731</v>
      </c>
      <c r="T279" s="77" t="s">
        <v>3791</v>
      </c>
      <c r="U279" s="1893"/>
      <c r="V279" s="2079">
        <f t="shared" si="112"/>
        <v>0</v>
      </c>
      <c r="W279" s="78">
        <f t="shared" si="113"/>
        <v>249.99999199999996</v>
      </c>
      <c r="X279" s="1878" t="str">
        <f t="shared" si="110"/>
        <v>2.- R Double Happines 8270819-OT_S/D  Casc 2a trnspl F001-00002174 Double Happines DR928 4417 China</v>
      </c>
      <c r="Z279" s="19" t="str">
        <f t="shared" si="138"/>
        <v>Sacar_BandaReenc. MASTERCAUCHO</v>
      </c>
    </row>
    <row r="280" spans="2:26" ht="15.2" customHeight="1">
      <c r="B280" s="37"/>
      <c r="E280" s="3157">
        <v>3</v>
      </c>
      <c r="F280" s="2297" t="s">
        <v>723</v>
      </c>
      <c r="G280" s="2141" t="s">
        <v>247</v>
      </c>
      <c r="H280" s="69">
        <v>8280819</v>
      </c>
      <c r="I280" s="2014" t="s">
        <v>3224</v>
      </c>
      <c r="J280" s="70" t="s">
        <v>727</v>
      </c>
      <c r="K280" s="2305" t="s">
        <v>857</v>
      </c>
      <c r="L280" s="72"/>
      <c r="M280" s="2306" t="s">
        <v>19</v>
      </c>
      <c r="N280" s="74">
        <v>43679</v>
      </c>
      <c r="O280" s="75">
        <f t="shared" si="134"/>
        <v>43679</v>
      </c>
      <c r="P280" s="2765" t="s">
        <v>3807</v>
      </c>
      <c r="Q280" s="2954"/>
      <c r="R280" s="76">
        <v>211.86439999999999</v>
      </c>
      <c r="S280" s="1945" t="s">
        <v>731</v>
      </c>
      <c r="T280" s="77" t="s">
        <v>3791</v>
      </c>
      <c r="U280" s="1893"/>
      <c r="V280" s="2079">
        <f t="shared" si="112"/>
        <v>0</v>
      </c>
      <c r="W280" s="78">
        <f t="shared" si="113"/>
        <v>249.99999199999996</v>
      </c>
      <c r="X280" s="1878" t="str">
        <f t="shared" si="110"/>
        <v>3.- R Double Happines 8280819-OT_S/D  Casc 2a trnspl F001-00002174 Double Happines DR928 4417 China</v>
      </c>
      <c r="Z280" s="19" t="str">
        <f t="shared" si="133"/>
        <v>ReencaucheReenc. MASTERCAUCHO</v>
      </c>
    </row>
    <row r="281" spans="2:26" ht="15.2" customHeight="1">
      <c r="B281" s="37"/>
      <c r="E281" s="3119">
        <v>4</v>
      </c>
      <c r="F281" s="2297" t="s">
        <v>723</v>
      </c>
      <c r="G281" s="68" t="s">
        <v>724</v>
      </c>
      <c r="H281" s="69" t="s">
        <v>2203</v>
      </c>
      <c r="I281" s="2014" t="s">
        <v>726</v>
      </c>
      <c r="J281" s="70" t="s">
        <v>727</v>
      </c>
      <c r="K281" s="2305" t="s">
        <v>3789</v>
      </c>
      <c r="L281" s="72">
        <v>43668</v>
      </c>
      <c r="M281" s="73" t="s">
        <v>19</v>
      </c>
      <c r="N281" s="74">
        <v>43679</v>
      </c>
      <c r="O281" s="75">
        <f t="shared" ref="O281" si="139">+N281</f>
        <v>43679</v>
      </c>
      <c r="P281" s="2765" t="s">
        <v>3806</v>
      </c>
      <c r="Q281" s="2954"/>
      <c r="R281" s="76"/>
      <c r="S281" s="1945" t="s">
        <v>731</v>
      </c>
      <c r="T281" s="77" t="s">
        <v>3612</v>
      </c>
      <c r="U281" s="1893"/>
      <c r="V281" s="2079">
        <f t="shared" si="112"/>
        <v>0</v>
      </c>
      <c r="W281" s="78">
        <f t="shared" si="113"/>
        <v>0</v>
      </c>
      <c r="X281" s="1878" t="str">
        <f t="shared" si="110"/>
        <v>4.- R Aeolus 0110113-OT_012709  Reencauche EG01-1421 RECHAZO No apto para reencauche</v>
      </c>
      <c r="Z281" s="19" t="str">
        <f t="shared" si="133"/>
        <v>Sacar_BandaReenc. MASTERCAUCHO</v>
      </c>
    </row>
    <row r="282" spans="2:26" ht="15.2" customHeight="1">
      <c r="B282" s="37"/>
      <c r="E282" s="3119">
        <v>5</v>
      </c>
      <c r="F282" s="2297" t="s">
        <v>723</v>
      </c>
      <c r="G282" s="68" t="s">
        <v>737</v>
      </c>
      <c r="H282" s="69" t="s">
        <v>3788</v>
      </c>
      <c r="I282" s="2014" t="s">
        <v>744</v>
      </c>
      <c r="J282" s="70" t="s">
        <v>727</v>
      </c>
      <c r="K282" s="2305" t="s">
        <v>3789</v>
      </c>
      <c r="L282" s="72">
        <v>43668</v>
      </c>
      <c r="M282" s="2306" t="s">
        <v>19</v>
      </c>
      <c r="N282" s="74">
        <v>43679</v>
      </c>
      <c r="O282" s="75">
        <f t="shared" si="134"/>
        <v>43679</v>
      </c>
      <c r="P282" s="2765" t="s">
        <v>3806</v>
      </c>
      <c r="Q282" s="2954"/>
      <c r="R282" s="76"/>
      <c r="S282" s="1945" t="s">
        <v>731</v>
      </c>
      <c r="T282" s="77" t="s">
        <v>2753</v>
      </c>
      <c r="U282" s="1893"/>
      <c r="V282" s="2079">
        <f t="shared" si="112"/>
        <v>0</v>
      </c>
      <c r="W282" s="78">
        <f t="shared" si="113"/>
        <v>0</v>
      </c>
      <c r="X282" s="1878" t="str">
        <f t="shared" si="110"/>
        <v>5.- R Vikrant 0101217-OT_012709  Sacar_Banda EG01-1421 Casco pelado</v>
      </c>
      <c r="Z282" s="19" t="str">
        <f t="shared" ref="Z282:Z290" si="140">CONCATENATE(I283,J283)</f>
        <v>Sacar_BandaReenc. MASTERCAUCHO</v>
      </c>
    </row>
    <row r="283" spans="2:26" ht="15.2" customHeight="1">
      <c r="B283" s="37"/>
      <c r="E283" s="79">
        <v>6</v>
      </c>
      <c r="F283" s="2294" t="s">
        <v>732</v>
      </c>
      <c r="G283" s="81" t="s">
        <v>733</v>
      </c>
      <c r="H283" s="82" t="s">
        <v>1519</v>
      </c>
      <c r="I283" s="2015" t="s">
        <v>744</v>
      </c>
      <c r="J283" s="83" t="s">
        <v>727</v>
      </c>
      <c r="K283" s="2295" t="s">
        <v>3789</v>
      </c>
      <c r="L283" s="85">
        <v>43668</v>
      </c>
      <c r="M283" s="86" t="s">
        <v>19</v>
      </c>
      <c r="N283" s="87">
        <v>43679</v>
      </c>
      <c r="O283" s="88">
        <f t="shared" ref="O283" si="141">+N283</f>
        <v>43679</v>
      </c>
      <c r="P283" s="2766" t="s">
        <v>3806</v>
      </c>
      <c r="Q283" s="2955"/>
      <c r="R283" s="89"/>
      <c r="S283" s="1946" t="s">
        <v>731</v>
      </c>
      <c r="T283" s="77" t="s">
        <v>2753</v>
      </c>
      <c r="U283" s="1893"/>
      <c r="V283" s="2079">
        <f t="shared" si="112"/>
        <v>0</v>
      </c>
      <c r="W283" s="78">
        <f t="shared" si="113"/>
        <v>0</v>
      </c>
      <c r="X283" s="1878" t="str">
        <f t="shared" si="110"/>
        <v>6.- C Lima Caucho 0630907-OT_012709  Sacar_Banda EG01-1421 Casco pelado</v>
      </c>
      <c r="Z283" s="19" t="str">
        <f t="shared" si="140"/>
        <v>ReencaucheReencauchadora RENOVA</v>
      </c>
    </row>
    <row r="284" spans="2:26" ht="15.2" customHeight="1">
      <c r="B284" s="37"/>
      <c r="E284" s="3089">
        <v>1</v>
      </c>
      <c r="F284" s="2297" t="s">
        <v>723</v>
      </c>
      <c r="G284" s="68" t="s">
        <v>724</v>
      </c>
      <c r="H284" s="69" t="s">
        <v>3784</v>
      </c>
      <c r="I284" s="2014" t="s">
        <v>726</v>
      </c>
      <c r="J284" s="70" t="s">
        <v>760</v>
      </c>
      <c r="K284" s="2305" t="s">
        <v>3785</v>
      </c>
      <c r="L284" s="72">
        <v>43657</v>
      </c>
      <c r="M284" s="73" t="s">
        <v>19</v>
      </c>
      <c r="N284" s="74">
        <v>43663</v>
      </c>
      <c r="O284" s="75">
        <v>43663</v>
      </c>
      <c r="P284" s="2765" t="s">
        <v>3787</v>
      </c>
      <c r="Q284" s="2954">
        <v>100.9</v>
      </c>
      <c r="R284" s="76"/>
      <c r="S284" s="1945" t="s">
        <v>731</v>
      </c>
      <c r="T284" s="77" t="s">
        <v>2570</v>
      </c>
      <c r="U284" s="1893"/>
      <c r="V284" s="2079">
        <f t="shared" si="112"/>
        <v>119.062</v>
      </c>
      <c r="W284" s="78">
        <f t="shared" si="113"/>
        <v>0</v>
      </c>
      <c r="X284" s="1878" t="str">
        <f t="shared" si="110"/>
        <v>1.- R Aeolus 0150218-OT_260790  Reencauche F101-00020941 IDY3-220</v>
      </c>
      <c r="Z284" s="19" t="str">
        <f t="shared" si="140"/>
        <v>ReencaucheReencauchadora RENOVA</v>
      </c>
    </row>
    <row r="285" spans="2:26" ht="15.2" customHeight="1">
      <c r="B285" s="37"/>
      <c r="E285" s="3089">
        <v>2</v>
      </c>
      <c r="F285" s="2297" t="s">
        <v>723</v>
      </c>
      <c r="G285" s="68" t="s">
        <v>724</v>
      </c>
      <c r="H285" s="69" t="s">
        <v>3782</v>
      </c>
      <c r="I285" s="2014" t="s">
        <v>726</v>
      </c>
      <c r="J285" s="70" t="s">
        <v>760</v>
      </c>
      <c r="K285" s="2305" t="s">
        <v>3785</v>
      </c>
      <c r="L285" s="72">
        <v>43657</v>
      </c>
      <c r="M285" s="73" t="s">
        <v>19</v>
      </c>
      <c r="N285" s="74">
        <v>43663</v>
      </c>
      <c r="O285" s="75">
        <v>43663</v>
      </c>
      <c r="P285" s="2765" t="s">
        <v>3787</v>
      </c>
      <c r="Q285" s="2954">
        <v>100.9</v>
      </c>
      <c r="R285" s="76"/>
      <c r="S285" s="1945" t="s">
        <v>731</v>
      </c>
      <c r="T285" s="77" t="s">
        <v>2570</v>
      </c>
      <c r="U285" s="1893"/>
      <c r="V285" s="2079">
        <f t="shared" si="112"/>
        <v>119.062</v>
      </c>
      <c r="W285" s="78">
        <f t="shared" si="113"/>
        <v>0</v>
      </c>
      <c r="X285" s="1878" t="str">
        <f t="shared" si="110"/>
        <v>2.- R Aeolus 0390516-OT_260790  Reencauche F101-00020941 IDY3-220</v>
      </c>
      <c r="Z285" s="19" t="str">
        <f t="shared" si="140"/>
        <v>ReencaucheReencauchadora RENOVA</v>
      </c>
    </row>
    <row r="286" spans="2:26" ht="15.2" customHeight="1">
      <c r="B286" s="37"/>
      <c r="E286" s="3089">
        <v>3</v>
      </c>
      <c r="F286" s="2297" t="s">
        <v>723</v>
      </c>
      <c r="G286" s="68" t="s">
        <v>757</v>
      </c>
      <c r="H286" s="69" t="s">
        <v>3781</v>
      </c>
      <c r="I286" s="2014" t="s">
        <v>726</v>
      </c>
      <c r="J286" s="70" t="s">
        <v>760</v>
      </c>
      <c r="K286" s="2305" t="s">
        <v>3785</v>
      </c>
      <c r="L286" s="72">
        <v>43657</v>
      </c>
      <c r="M286" s="73" t="s">
        <v>19</v>
      </c>
      <c r="N286" s="74">
        <v>43663</v>
      </c>
      <c r="O286" s="75">
        <v>43663</v>
      </c>
      <c r="P286" s="2765" t="s">
        <v>3787</v>
      </c>
      <c r="Q286" s="2954">
        <v>100.9</v>
      </c>
      <c r="R286" s="76"/>
      <c r="S286" s="1945" t="s">
        <v>731</v>
      </c>
      <c r="T286" s="77" t="s">
        <v>2570</v>
      </c>
      <c r="U286" s="1893"/>
      <c r="V286" s="2079">
        <f t="shared" si="112"/>
        <v>119.062</v>
      </c>
      <c r="W286" s="78">
        <f t="shared" si="113"/>
        <v>0</v>
      </c>
      <c r="X286" s="1878" t="str">
        <f t="shared" si="110"/>
        <v>3.- R Goodyear 8220618-OT_260790  Reencauche F101-00020941 IDY3-220</v>
      </c>
      <c r="Z286" s="19" t="str">
        <f t="shared" si="140"/>
        <v>ReencaucheReencauchadora RENOVA</v>
      </c>
    </row>
    <row r="287" spans="2:26" ht="15.2" customHeight="1">
      <c r="B287" s="37"/>
      <c r="E287" s="3154">
        <v>4</v>
      </c>
      <c r="F287" s="2297" t="s">
        <v>723</v>
      </c>
      <c r="G287" s="68" t="s">
        <v>724</v>
      </c>
      <c r="H287" s="69" t="s">
        <v>3780</v>
      </c>
      <c r="I287" s="2014" t="s">
        <v>726</v>
      </c>
      <c r="J287" s="70" t="s">
        <v>760</v>
      </c>
      <c r="K287" s="2305" t="s">
        <v>3785</v>
      </c>
      <c r="L287" s="72">
        <v>43657</v>
      </c>
      <c r="M287" s="2306" t="s">
        <v>19</v>
      </c>
      <c r="N287" s="74">
        <v>43663</v>
      </c>
      <c r="O287" s="75">
        <f t="shared" si="4"/>
        <v>43663</v>
      </c>
      <c r="P287" s="2765" t="s">
        <v>3787</v>
      </c>
      <c r="Q287" s="2954">
        <v>100.9</v>
      </c>
      <c r="R287" s="76"/>
      <c r="S287" s="1945" t="s">
        <v>731</v>
      </c>
      <c r="T287" s="77" t="s">
        <v>2570</v>
      </c>
      <c r="U287" s="1893"/>
      <c r="V287" s="2079">
        <f t="shared" si="112"/>
        <v>119.062</v>
      </c>
      <c r="W287" s="78">
        <f t="shared" si="113"/>
        <v>0</v>
      </c>
      <c r="X287" s="1878" t="str">
        <f t="shared" si="110"/>
        <v>4.- R Aeolus 031912-OT_260790  Reencauche F101-00020941 IDY3-220</v>
      </c>
      <c r="Z287" s="19" t="str">
        <f t="shared" si="140"/>
        <v>ReencaucheReencauchadora RENOVA</v>
      </c>
    </row>
    <row r="288" spans="2:26" ht="15.2" customHeight="1">
      <c r="B288" s="37"/>
      <c r="E288" s="3154">
        <v>5</v>
      </c>
      <c r="F288" s="2297" t="s">
        <v>723</v>
      </c>
      <c r="G288" s="68" t="s">
        <v>3205</v>
      </c>
      <c r="H288" s="69" t="s">
        <v>3223</v>
      </c>
      <c r="I288" s="2014" t="s">
        <v>726</v>
      </c>
      <c r="J288" s="70" t="s">
        <v>760</v>
      </c>
      <c r="K288" s="2305" t="s">
        <v>3785</v>
      </c>
      <c r="L288" s="72">
        <v>43657</v>
      </c>
      <c r="M288" s="2306" t="s">
        <v>19</v>
      </c>
      <c r="N288" s="74">
        <v>43663</v>
      </c>
      <c r="O288" s="75">
        <f>+N288</f>
        <v>43663</v>
      </c>
      <c r="P288" s="2765" t="s">
        <v>3786</v>
      </c>
      <c r="Q288" s="2954">
        <v>0</v>
      </c>
      <c r="R288" s="76"/>
      <c r="S288" s="1945" t="s">
        <v>731</v>
      </c>
      <c r="T288" s="77" t="s">
        <v>3612</v>
      </c>
      <c r="U288" s="1893"/>
      <c r="V288" s="2079">
        <f t="shared" si="112"/>
        <v>0</v>
      </c>
      <c r="W288" s="78">
        <f t="shared" si="113"/>
        <v>0</v>
      </c>
      <c r="X288" s="1878" t="str">
        <f t="shared" si="110"/>
        <v>5.- R LEAO 8270618-OT_260790  Reencauche G030-0081578 RECHAZO No apto para reencauche</v>
      </c>
      <c r="Z288" s="19" t="str">
        <f t="shared" si="140"/>
        <v>ReencaucheReencauchadora RENOVA</v>
      </c>
    </row>
    <row r="289" spans="2:26" ht="15.2" customHeight="1">
      <c r="B289" s="37"/>
      <c r="E289" s="79">
        <v>6</v>
      </c>
      <c r="F289" s="2294" t="s">
        <v>723</v>
      </c>
      <c r="G289" s="81" t="s">
        <v>724</v>
      </c>
      <c r="H289" s="82" t="s">
        <v>3783</v>
      </c>
      <c r="I289" s="2015" t="s">
        <v>726</v>
      </c>
      <c r="J289" s="83" t="s">
        <v>760</v>
      </c>
      <c r="K289" s="2295" t="s">
        <v>3785</v>
      </c>
      <c r="L289" s="85">
        <v>43657</v>
      </c>
      <c r="M289" s="86" t="s">
        <v>19</v>
      </c>
      <c r="N289" s="87">
        <v>43663</v>
      </c>
      <c r="O289" s="88">
        <v>43663</v>
      </c>
      <c r="P289" s="2766" t="s">
        <v>3786</v>
      </c>
      <c r="Q289" s="2955">
        <v>0</v>
      </c>
      <c r="R289" s="89"/>
      <c r="S289" s="1946" t="s">
        <v>731</v>
      </c>
      <c r="T289" s="77" t="s">
        <v>3612</v>
      </c>
      <c r="U289" s="1893"/>
      <c r="V289" s="2079">
        <f t="shared" si="112"/>
        <v>0</v>
      </c>
      <c r="W289" s="78">
        <f t="shared" si="113"/>
        <v>0</v>
      </c>
      <c r="X289" s="1878" t="str">
        <f t="shared" si="110"/>
        <v>6.- R Aeolus 0160218-OT_260790  Reencauche G030-0081578 RECHAZO No apto para reencauche</v>
      </c>
      <c r="Z289" s="19" t="str">
        <f t="shared" si="140"/>
        <v>ReencaucheReenc. MASTERCAUCHO</v>
      </c>
    </row>
    <row r="290" spans="2:26" ht="15.2" customHeight="1">
      <c r="B290" s="37"/>
      <c r="E290" s="3089">
        <v>1</v>
      </c>
      <c r="F290" s="2297" t="s">
        <v>723</v>
      </c>
      <c r="G290" s="68" t="s">
        <v>724</v>
      </c>
      <c r="H290" s="69" t="s">
        <v>763</v>
      </c>
      <c r="I290" s="2014" t="s">
        <v>726</v>
      </c>
      <c r="J290" s="70" t="s">
        <v>727</v>
      </c>
      <c r="K290" s="2305" t="s">
        <v>3779</v>
      </c>
      <c r="L290" s="72">
        <v>43657</v>
      </c>
      <c r="M290" s="73"/>
      <c r="N290" s="74">
        <v>43668</v>
      </c>
      <c r="O290" s="75">
        <f t="shared" si="4"/>
        <v>43668</v>
      </c>
      <c r="P290" s="2765" t="s">
        <v>3792</v>
      </c>
      <c r="Q290" s="2954"/>
      <c r="R290" s="76">
        <v>279.661</v>
      </c>
      <c r="S290" s="1945" t="s">
        <v>731</v>
      </c>
      <c r="T290" s="77" t="s">
        <v>2712</v>
      </c>
      <c r="U290" s="1893"/>
      <c r="V290" s="2079">
        <f t="shared" si="112"/>
        <v>0</v>
      </c>
      <c r="W290" s="78">
        <f t="shared" si="113"/>
        <v>329.99997999999999</v>
      </c>
      <c r="X290" s="1878" t="str">
        <f t="shared" ref="X290:X353" si="142">CONCATENATE(E290,".- ",F290," ",G290," ",H290,"-OT_",K290," "," ",I290," ",P290," ",T290)</f>
        <v>1.- R Aeolus 0431114-OT_012675  Reencauche F001-00003092 MDY-220</v>
      </c>
      <c r="Z290" s="19" t="str">
        <f t="shared" si="140"/>
        <v>ReencaucheReenc. MASTERCAUCHO</v>
      </c>
    </row>
    <row r="291" spans="2:26" ht="15.2" customHeight="1">
      <c r="B291" s="37"/>
      <c r="E291" s="3089">
        <v>2</v>
      </c>
      <c r="F291" s="2297" t="s">
        <v>723</v>
      </c>
      <c r="G291" s="68" t="s">
        <v>724</v>
      </c>
      <c r="H291" s="69" t="s">
        <v>1348</v>
      </c>
      <c r="I291" s="2014" t="s">
        <v>726</v>
      </c>
      <c r="J291" s="70" t="s">
        <v>727</v>
      </c>
      <c r="K291" s="2305" t="s">
        <v>3779</v>
      </c>
      <c r="L291" s="72">
        <v>43657</v>
      </c>
      <c r="M291" s="73"/>
      <c r="N291" s="74">
        <v>43668</v>
      </c>
      <c r="O291" s="75">
        <f t="shared" si="4"/>
        <v>43668</v>
      </c>
      <c r="P291" s="2765" t="s">
        <v>3792</v>
      </c>
      <c r="Q291" s="2954"/>
      <c r="R291" s="76">
        <v>279.661</v>
      </c>
      <c r="S291" s="1945" t="s">
        <v>731</v>
      </c>
      <c r="T291" s="77" t="s">
        <v>2712</v>
      </c>
      <c r="U291" s="1893"/>
      <c r="V291" s="2079">
        <f t="shared" ref="V291:V354" si="143">+Q291*(1.18)</f>
        <v>0</v>
      </c>
      <c r="W291" s="78">
        <f t="shared" ref="W291:W354" si="144">+R291*(1.18)</f>
        <v>329.99997999999999</v>
      </c>
      <c r="X291" s="1878" t="str">
        <f t="shared" si="142"/>
        <v>2.- R Aeolus 0220614-OT_012675  Reencauche F001-00003092 MDY-220</v>
      </c>
      <c r="Z291" s="19" t="str">
        <f t="shared" ref="Z291:Z301" si="145">CONCATENATE(I294,J294)</f>
        <v>Sacar_BandaReenc. MASTERCAUCHO</v>
      </c>
    </row>
    <row r="292" spans="2:26" ht="15.2" customHeight="1">
      <c r="B292" s="37"/>
      <c r="E292" s="3155">
        <v>3</v>
      </c>
      <c r="F292" s="2297" t="s">
        <v>723</v>
      </c>
      <c r="G292" s="2141" t="s">
        <v>247</v>
      </c>
      <c r="H292" s="69">
        <v>8240719</v>
      </c>
      <c r="I292" s="2014" t="s">
        <v>3224</v>
      </c>
      <c r="J292" s="70" t="s">
        <v>727</v>
      </c>
      <c r="K292" s="2305" t="s">
        <v>857</v>
      </c>
      <c r="L292" s="72"/>
      <c r="M292" s="2306"/>
      <c r="N292" s="74">
        <v>43668</v>
      </c>
      <c r="O292" s="75">
        <f t="shared" si="4"/>
        <v>43668</v>
      </c>
      <c r="P292" s="2765" t="s">
        <v>3792</v>
      </c>
      <c r="Q292" s="2954"/>
      <c r="R292" s="76">
        <v>211.86439999999999</v>
      </c>
      <c r="S292" s="1945" t="s">
        <v>731</v>
      </c>
      <c r="T292" s="77" t="s">
        <v>3791</v>
      </c>
      <c r="U292" s="1893"/>
      <c r="V292" s="2079">
        <f t="shared" si="143"/>
        <v>0</v>
      </c>
      <c r="W292" s="78">
        <f t="shared" si="144"/>
        <v>249.99999199999996</v>
      </c>
      <c r="X292" s="1878" t="str">
        <f t="shared" si="142"/>
        <v>3.- R Double Happines 8240719-OT_S/D  Casc 2a trnspl F001-00003092 Double Happines DR928 4417 China</v>
      </c>
      <c r="Z292" s="19" t="str">
        <f t="shared" si="145"/>
        <v>Sacar_BandaReenc. MASTERCAUCHO</v>
      </c>
    </row>
    <row r="293" spans="2:26" ht="15.2" customHeight="1">
      <c r="B293" s="37"/>
      <c r="E293" s="3155">
        <v>4</v>
      </c>
      <c r="F293" s="2297" t="s">
        <v>723</v>
      </c>
      <c r="G293" s="2141" t="s">
        <v>247</v>
      </c>
      <c r="H293" s="69">
        <v>8250719</v>
      </c>
      <c r="I293" s="2014" t="s">
        <v>3224</v>
      </c>
      <c r="J293" s="70" t="s">
        <v>727</v>
      </c>
      <c r="K293" s="2305" t="s">
        <v>857</v>
      </c>
      <c r="L293" s="72"/>
      <c r="M293" s="2306"/>
      <c r="N293" s="74">
        <v>43668</v>
      </c>
      <c r="O293" s="75">
        <f t="shared" si="4"/>
        <v>43668</v>
      </c>
      <c r="P293" s="2765" t="s">
        <v>3792</v>
      </c>
      <c r="Q293" s="2954"/>
      <c r="R293" s="76">
        <v>211.86439999999999</v>
      </c>
      <c r="S293" s="1945" t="s">
        <v>731</v>
      </c>
      <c r="T293" s="77" t="s">
        <v>3791</v>
      </c>
      <c r="U293" s="1893"/>
      <c r="V293" s="2079">
        <f t="shared" si="143"/>
        <v>0</v>
      </c>
      <c r="W293" s="78">
        <f t="shared" si="144"/>
        <v>249.99999199999996</v>
      </c>
      <c r="X293" s="1878" t="str">
        <f t="shared" si="142"/>
        <v>4.- R Double Happines 8250719-OT_S/D  Casc 2a trnspl F001-00003092 Double Happines DR928 4417 China</v>
      </c>
      <c r="Z293" s="19" t="str">
        <f t="shared" si="145"/>
        <v>ReencaucheReencauchadora RENOVA</v>
      </c>
    </row>
    <row r="294" spans="2:26" ht="15.2" customHeight="1">
      <c r="B294" s="37"/>
      <c r="E294" s="3089">
        <v>5</v>
      </c>
      <c r="F294" s="2297" t="s">
        <v>723</v>
      </c>
      <c r="G294" s="68" t="s">
        <v>724</v>
      </c>
      <c r="H294" s="69" t="s">
        <v>2927</v>
      </c>
      <c r="I294" s="2014" t="s">
        <v>744</v>
      </c>
      <c r="J294" s="70" t="s">
        <v>727</v>
      </c>
      <c r="K294" s="2305" t="s">
        <v>3779</v>
      </c>
      <c r="L294" s="72">
        <v>43657</v>
      </c>
      <c r="M294" s="73"/>
      <c r="N294" s="74">
        <v>43668</v>
      </c>
      <c r="O294" s="75">
        <f t="shared" si="4"/>
        <v>43668</v>
      </c>
      <c r="P294" s="2765" t="s">
        <v>3793</v>
      </c>
      <c r="Q294" s="2954"/>
      <c r="R294" s="76">
        <v>0</v>
      </c>
      <c r="S294" s="1945" t="s">
        <v>731</v>
      </c>
      <c r="T294" s="77" t="s">
        <v>2753</v>
      </c>
      <c r="U294" s="1893"/>
      <c r="V294" s="2079">
        <f t="shared" si="143"/>
        <v>0</v>
      </c>
      <c r="W294" s="78">
        <f t="shared" si="144"/>
        <v>0</v>
      </c>
      <c r="X294" s="1878" t="str">
        <f t="shared" si="142"/>
        <v>5.- R Aeolus 0660617-OT_012675  Sacar_Banda EG01-1386 Casco pelado</v>
      </c>
      <c r="Z294" s="19" t="str">
        <f t="shared" si="145"/>
        <v>ReencaucheReencauchadora RENOVA</v>
      </c>
    </row>
    <row r="295" spans="2:26" ht="15.2" customHeight="1">
      <c r="B295" s="37"/>
      <c r="E295" s="79">
        <v>6</v>
      </c>
      <c r="F295" s="2294" t="s">
        <v>723</v>
      </c>
      <c r="G295" s="81" t="s">
        <v>724</v>
      </c>
      <c r="H295" s="82" t="s">
        <v>11</v>
      </c>
      <c r="I295" s="2015" t="s">
        <v>744</v>
      </c>
      <c r="J295" s="83" t="s">
        <v>727</v>
      </c>
      <c r="K295" s="2295" t="s">
        <v>3779</v>
      </c>
      <c r="L295" s="85">
        <v>43657</v>
      </c>
      <c r="M295" s="86"/>
      <c r="N295" s="87">
        <v>43668</v>
      </c>
      <c r="O295" s="88">
        <f t="shared" si="4"/>
        <v>43668</v>
      </c>
      <c r="P295" s="2766" t="s">
        <v>3793</v>
      </c>
      <c r="Q295" s="2955"/>
      <c r="R295" s="89">
        <v>0</v>
      </c>
      <c r="S295" s="1946" t="s">
        <v>731</v>
      </c>
      <c r="T295" s="77" t="s">
        <v>2753</v>
      </c>
      <c r="U295" s="1893"/>
      <c r="V295" s="2079">
        <f t="shared" si="143"/>
        <v>0</v>
      </c>
      <c r="W295" s="78">
        <f t="shared" si="144"/>
        <v>0</v>
      </c>
      <c r="X295" s="1878" t="str">
        <f t="shared" si="142"/>
        <v>6.- R Aeolus 033912-OT_012675  Sacar_Banda EG01-1386 Casco pelado</v>
      </c>
      <c r="Z295" s="19" t="str">
        <f t="shared" si="145"/>
        <v>ReencaucheReencauchadora RENOVA</v>
      </c>
    </row>
    <row r="296" spans="2:26" ht="15.2" customHeight="1">
      <c r="B296" s="37"/>
      <c r="E296" s="3089">
        <v>1</v>
      </c>
      <c r="F296" s="2297" t="s">
        <v>723</v>
      </c>
      <c r="G296" s="68" t="s">
        <v>724</v>
      </c>
      <c r="H296" s="69" t="s">
        <v>3460</v>
      </c>
      <c r="I296" s="2014" t="s">
        <v>726</v>
      </c>
      <c r="J296" s="70" t="s">
        <v>760</v>
      </c>
      <c r="K296" s="2305" t="s">
        <v>3765</v>
      </c>
      <c r="L296" s="72">
        <v>43649</v>
      </c>
      <c r="M296" s="73" t="s">
        <v>19</v>
      </c>
      <c r="N296" s="74">
        <v>43657</v>
      </c>
      <c r="O296" s="75">
        <v>43657</v>
      </c>
      <c r="P296" s="2765" t="s">
        <v>3776</v>
      </c>
      <c r="Q296" s="2954">
        <v>100.9</v>
      </c>
      <c r="R296" s="76"/>
      <c r="S296" s="1945" t="s">
        <v>731</v>
      </c>
      <c r="T296" s="77" t="s">
        <v>2570</v>
      </c>
      <c r="U296" s="1893"/>
      <c r="V296" s="2079">
        <f t="shared" si="143"/>
        <v>119.062</v>
      </c>
      <c r="W296" s="78">
        <f t="shared" si="144"/>
        <v>0</v>
      </c>
      <c r="X296" s="1878" t="str">
        <f t="shared" si="142"/>
        <v>1.- R Aeolus 0340516-OT_260761  Reencauche F101-00020862 IDY3-220</v>
      </c>
      <c r="Z296" s="19" t="str">
        <f t="shared" si="145"/>
        <v>ReencaucheReencauchadora RENOVA</v>
      </c>
    </row>
    <row r="297" spans="2:26" ht="15.2" customHeight="1">
      <c r="B297" s="37"/>
      <c r="E297" s="3089">
        <v>2</v>
      </c>
      <c r="F297" s="2297" t="s">
        <v>723</v>
      </c>
      <c r="G297" s="68" t="s">
        <v>724</v>
      </c>
      <c r="H297" s="69" t="s">
        <v>1411</v>
      </c>
      <c r="I297" s="2014" t="s">
        <v>726</v>
      </c>
      <c r="J297" s="70" t="s">
        <v>760</v>
      </c>
      <c r="K297" s="2305" t="s">
        <v>3765</v>
      </c>
      <c r="L297" s="72">
        <v>43649</v>
      </c>
      <c r="M297" s="73" t="s">
        <v>19</v>
      </c>
      <c r="N297" s="74">
        <v>43657</v>
      </c>
      <c r="O297" s="75">
        <v>43657</v>
      </c>
      <c r="P297" s="2765" t="s">
        <v>3776</v>
      </c>
      <c r="Q297" s="2954">
        <v>100.9</v>
      </c>
      <c r="R297" s="76"/>
      <c r="S297" s="1945" t="s">
        <v>731</v>
      </c>
      <c r="T297" s="77" t="s">
        <v>2570</v>
      </c>
      <c r="U297" s="1893"/>
      <c r="V297" s="2079">
        <f t="shared" si="143"/>
        <v>119.062</v>
      </c>
      <c r="W297" s="78">
        <f t="shared" si="144"/>
        <v>0</v>
      </c>
      <c r="X297" s="1878" t="str">
        <f t="shared" si="142"/>
        <v>2.- R Aeolus 0090114-OT_260761  Reencauche F101-00020862 IDY3-220</v>
      </c>
      <c r="Z297" s="19" t="str">
        <f t="shared" si="145"/>
        <v>ReencaucheReencauchadora RENOVA</v>
      </c>
    </row>
    <row r="298" spans="2:26" ht="15.2" customHeight="1">
      <c r="B298" s="37"/>
      <c r="E298" s="3089">
        <v>3</v>
      </c>
      <c r="F298" s="2297" t="s">
        <v>723</v>
      </c>
      <c r="G298" s="68" t="s">
        <v>724</v>
      </c>
      <c r="H298" s="69" t="s">
        <v>3777</v>
      </c>
      <c r="I298" s="2014" t="s">
        <v>726</v>
      </c>
      <c r="J298" s="70" t="s">
        <v>760</v>
      </c>
      <c r="K298" s="2305" t="s">
        <v>3765</v>
      </c>
      <c r="L298" s="72">
        <v>43649</v>
      </c>
      <c r="M298" s="73" t="s">
        <v>19</v>
      </c>
      <c r="N298" s="74">
        <v>43657</v>
      </c>
      <c r="O298" s="75">
        <v>43657</v>
      </c>
      <c r="P298" s="2765" t="s">
        <v>3776</v>
      </c>
      <c r="Q298" s="2954">
        <v>100.9</v>
      </c>
      <c r="R298" s="76"/>
      <c r="S298" s="1945" t="s">
        <v>731</v>
      </c>
      <c r="T298" s="77" t="s">
        <v>2570</v>
      </c>
      <c r="U298" s="1893"/>
      <c r="V298" s="2079">
        <f t="shared" si="143"/>
        <v>119.062</v>
      </c>
      <c r="W298" s="78">
        <f t="shared" si="144"/>
        <v>0</v>
      </c>
      <c r="X298" s="1878" t="str">
        <f t="shared" si="142"/>
        <v>3.- R Aeolus 0080115-OT_260761  Reencauche F101-00020862 IDY3-220</v>
      </c>
      <c r="Z298" s="19" t="str">
        <f t="shared" si="145"/>
        <v>ReencaucheReencauchadora RENOVA</v>
      </c>
    </row>
    <row r="299" spans="2:26" ht="15.2" customHeight="1">
      <c r="B299" s="37"/>
      <c r="E299" s="3089">
        <v>4</v>
      </c>
      <c r="F299" s="2297" t="s">
        <v>723</v>
      </c>
      <c r="G299" s="68" t="s">
        <v>724</v>
      </c>
      <c r="H299" s="69" t="s">
        <v>3761</v>
      </c>
      <c r="I299" s="2014" t="s">
        <v>726</v>
      </c>
      <c r="J299" s="70" t="s">
        <v>760</v>
      </c>
      <c r="K299" s="2305" t="s">
        <v>3765</v>
      </c>
      <c r="L299" s="72">
        <v>43649</v>
      </c>
      <c r="M299" s="73" t="s">
        <v>19</v>
      </c>
      <c r="N299" s="74">
        <v>43657</v>
      </c>
      <c r="O299" s="75">
        <v>43657</v>
      </c>
      <c r="P299" s="2765" t="s">
        <v>3776</v>
      </c>
      <c r="Q299" s="2954">
        <v>100.9</v>
      </c>
      <c r="R299" s="76"/>
      <c r="S299" s="1945" t="s">
        <v>731</v>
      </c>
      <c r="T299" s="77" t="s">
        <v>2570</v>
      </c>
      <c r="U299" s="1893"/>
      <c r="V299" s="2079">
        <f t="shared" si="143"/>
        <v>119.062</v>
      </c>
      <c r="W299" s="78">
        <f t="shared" si="144"/>
        <v>0</v>
      </c>
      <c r="X299" s="1878" t="str">
        <f t="shared" si="142"/>
        <v>4.- R Aeolus 0400518-OT_260761  Reencauche F101-00020862 IDY3-220</v>
      </c>
      <c r="Z299" s="19" t="str">
        <f t="shared" si="145"/>
        <v>ReencaucheReencauchadora RENOVA</v>
      </c>
    </row>
    <row r="300" spans="2:26" ht="15.2" customHeight="1">
      <c r="B300" s="37"/>
      <c r="E300" s="3089">
        <v>5</v>
      </c>
      <c r="F300" s="2297" t="s">
        <v>723</v>
      </c>
      <c r="G300" s="68" t="s">
        <v>724</v>
      </c>
      <c r="H300" s="69" t="s">
        <v>3762</v>
      </c>
      <c r="I300" s="2014" t="s">
        <v>726</v>
      </c>
      <c r="J300" s="70" t="s">
        <v>760</v>
      </c>
      <c r="K300" s="2305" t="s">
        <v>3765</v>
      </c>
      <c r="L300" s="72">
        <v>43649</v>
      </c>
      <c r="M300" s="73" t="s">
        <v>19</v>
      </c>
      <c r="N300" s="74">
        <v>43657</v>
      </c>
      <c r="O300" s="75">
        <v>43657</v>
      </c>
      <c r="P300" s="2765" t="s">
        <v>3776</v>
      </c>
      <c r="Q300" s="2954">
        <v>100.9</v>
      </c>
      <c r="R300" s="76"/>
      <c r="S300" s="1945" t="s">
        <v>731</v>
      </c>
      <c r="T300" s="77" t="s">
        <v>2570</v>
      </c>
      <c r="U300" s="1893"/>
      <c r="V300" s="2079">
        <f t="shared" si="143"/>
        <v>119.062</v>
      </c>
      <c r="W300" s="78">
        <f t="shared" si="144"/>
        <v>0</v>
      </c>
      <c r="X300" s="1878" t="str">
        <f t="shared" si="142"/>
        <v>5.- R Aeolus 0471214-OT_260761  Reencauche F101-00020862 IDY3-220</v>
      </c>
      <c r="Z300" s="19" t="str">
        <f t="shared" si="145"/>
        <v>ReencaucheReencauchadora RENOVA</v>
      </c>
    </row>
    <row r="301" spans="2:26" ht="15.2" customHeight="1">
      <c r="B301" s="37"/>
      <c r="E301" s="66">
        <v>6</v>
      </c>
      <c r="F301" s="2297" t="s">
        <v>723</v>
      </c>
      <c r="G301" s="68" t="s">
        <v>724</v>
      </c>
      <c r="H301" s="69" t="s">
        <v>2395</v>
      </c>
      <c r="I301" s="2014" t="s">
        <v>726</v>
      </c>
      <c r="J301" s="70" t="s">
        <v>760</v>
      </c>
      <c r="K301" s="2305" t="s">
        <v>3765</v>
      </c>
      <c r="L301" s="72">
        <v>43649</v>
      </c>
      <c r="M301" s="73" t="s">
        <v>19</v>
      </c>
      <c r="N301" s="74">
        <v>43657</v>
      </c>
      <c r="O301" s="75">
        <v>43657</v>
      </c>
      <c r="P301" s="2765" t="s">
        <v>3776</v>
      </c>
      <c r="Q301" s="2954">
        <v>100.9</v>
      </c>
      <c r="R301" s="76"/>
      <c r="S301" s="1945" t="s">
        <v>731</v>
      </c>
      <c r="T301" s="77" t="s">
        <v>2570</v>
      </c>
      <c r="U301" s="1893"/>
      <c r="V301" s="2079">
        <f t="shared" si="143"/>
        <v>119.062</v>
      </c>
      <c r="W301" s="78">
        <f t="shared" si="144"/>
        <v>0</v>
      </c>
      <c r="X301" s="1878" t="str">
        <f t="shared" si="142"/>
        <v>6.- R Aeolus 0380814-OT_260761  Reencauche F101-00020862 IDY3-220</v>
      </c>
      <c r="Z301" s="19" t="str">
        <f t="shared" si="145"/>
        <v>ReencaucheReencauchadora RENOVA</v>
      </c>
    </row>
    <row r="302" spans="2:26" ht="15.2" customHeight="1">
      <c r="B302" s="37"/>
      <c r="E302" s="2949">
        <v>7</v>
      </c>
      <c r="F302" s="2297" t="s">
        <v>723</v>
      </c>
      <c r="G302" s="68" t="s">
        <v>151</v>
      </c>
      <c r="H302" s="69" t="s">
        <v>3763</v>
      </c>
      <c r="I302" s="2014" t="s">
        <v>726</v>
      </c>
      <c r="J302" s="70" t="s">
        <v>760</v>
      </c>
      <c r="K302" s="2305" t="s">
        <v>3765</v>
      </c>
      <c r="L302" s="72">
        <v>43649</v>
      </c>
      <c r="M302" s="73" t="s">
        <v>19</v>
      </c>
      <c r="N302" s="74">
        <v>43657</v>
      </c>
      <c r="O302" s="75">
        <v>43657</v>
      </c>
      <c r="P302" s="2765" t="s">
        <v>3776</v>
      </c>
      <c r="Q302" s="2954">
        <v>100.9</v>
      </c>
      <c r="R302" s="76"/>
      <c r="S302" s="1945" t="s">
        <v>731</v>
      </c>
      <c r="T302" s="77" t="s">
        <v>2570</v>
      </c>
      <c r="U302" s="1893"/>
      <c r="V302" s="2079">
        <f t="shared" si="143"/>
        <v>119.062</v>
      </c>
      <c r="W302" s="78">
        <f t="shared" si="144"/>
        <v>0</v>
      </c>
      <c r="X302" s="1878" t="str">
        <f t="shared" si="142"/>
        <v>7.- R WindPower 0170116-OT_260761  Reencauche F101-00020862 IDY3-220</v>
      </c>
      <c r="Z302" s="19" t="str">
        <f t="shared" ref="Z302" si="146">CONCATENATE(I305,J305)</f>
        <v>ReencaucheReenc. MASTERCAUCHO</v>
      </c>
    </row>
    <row r="303" spans="2:26" ht="15.2" customHeight="1">
      <c r="B303" s="37"/>
      <c r="E303" s="3119">
        <v>8</v>
      </c>
      <c r="F303" s="2297" t="s">
        <v>723</v>
      </c>
      <c r="G303" s="68" t="s">
        <v>737</v>
      </c>
      <c r="H303" s="69" t="s">
        <v>3764</v>
      </c>
      <c r="I303" s="2014" t="s">
        <v>726</v>
      </c>
      <c r="J303" s="70" t="s">
        <v>760</v>
      </c>
      <c r="K303" s="2305" t="s">
        <v>3765</v>
      </c>
      <c r="L303" s="72">
        <v>43649</v>
      </c>
      <c r="M303" s="2306" t="s">
        <v>19</v>
      </c>
      <c r="N303" s="74">
        <v>43657</v>
      </c>
      <c r="O303" s="75">
        <f t="shared" si="0"/>
        <v>43657</v>
      </c>
      <c r="P303" s="2765" t="s">
        <v>3776</v>
      </c>
      <c r="Q303" s="2954">
        <f>100.9</f>
        <v>100.9</v>
      </c>
      <c r="R303" s="76"/>
      <c r="S303" s="1945" t="s">
        <v>731</v>
      </c>
      <c r="T303" s="77" t="s">
        <v>2570</v>
      </c>
      <c r="U303" s="1893"/>
      <c r="V303" s="2079">
        <f t="shared" si="143"/>
        <v>119.062</v>
      </c>
      <c r="W303" s="78">
        <f t="shared" si="144"/>
        <v>0</v>
      </c>
      <c r="X303" s="1878" t="str">
        <f t="shared" si="142"/>
        <v>8.- R Vikrant 0260217-OT_260761  Reencauche F101-00020862 IDY3-220</v>
      </c>
      <c r="Z303" s="19" t="str">
        <f t="shared" ref="Z303:Z310" si="147">CONCATENATE(I306,J306)</f>
        <v>ReencaucheReenc. MASTERCAUCHO</v>
      </c>
    </row>
    <row r="304" spans="2:26" ht="15.2" customHeight="1">
      <c r="B304" s="37"/>
      <c r="E304" s="79">
        <v>9</v>
      </c>
      <c r="F304" s="2294" t="s">
        <v>723</v>
      </c>
      <c r="G304" s="81" t="s">
        <v>724</v>
      </c>
      <c r="H304" s="82" t="s">
        <v>870</v>
      </c>
      <c r="I304" s="2015" t="s">
        <v>726</v>
      </c>
      <c r="J304" s="83" t="s">
        <v>760</v>
      </c>
      <c r="K304" s="2295" t="s">
        <v>3765</v>
      </c>
      <c r="L304" s="85">
        <v>43649</v>
      </c>
      <c r="M304" s="2296" t="s">
        <v>19</v>
      </c>
      <c r="N304" s="87">
        <v>43657</v>
      </c>
      <c r="O304" s="88">
        <f>+N304</f>
        <v>43657</v>
      </c>
      <c r="P304" s="2766" t="s">
        <v>3775</v>
      </c>
      <c r="Q304" s="2955">
        <v>0</v>
      </c>
      <c r="R304" s="89"/>
      <c r="S304" s="1946" t="s">
        <v>731</v>
      </c>
      <c r="T304" s="77" t="s">
        <v>3612</v>
      </c>
      <c r="U304" s="1893"/>
      <c r="V304" s="2079">
        <f t="shared" si="143"/>
        <v>0</v>
      </c>
      <c r="W304" s="78">
        <f t="shared" si="144"/>
        <v>0</v>
      </c>
      <c r="X304" s="1878" t="str">
        <f t="shared" si="142"/>
        <v>9.- R Aeolus 0240413-OT_260761  Reencauche G030-0081435 RECHAZO No apto para reencauche</v>
      </c>
      <c r="Z304" s="19" t="str">
        <f t="shared" si="147"/>
        <v>Casc 2a trnsplReenc. MASTERCAUCHO</v>
      </c>
    </row>
    <row r="305" spans="2:26" ht="15.2" customHeight="1">
      <c r="B305" s="37"/>
      <c r="E305" s="2949">
        <v>1</v>
      </c>
      <c r="F305" s="2297" t="s">
        <v>723</v>
      </c>
      <c r="G305" s="68" t="s">
        <v>724</v>
      </c>
      <c r="H305" s="69" t="s">
        <v>3054</v>
      </c>
      <c r="I305" s="2014" t="s">
        <v>726</v>
      </c>
      <c r="J305" s="70" t="s">
        <v>727</v>
      </c>
      <c r="K305" s="2305" t="s">
        <v>3740</v>
      </c>
      <c r="L305" s="72">
        <v>43637</v>
      </c>
      <c r="M305" s="2306" t="s">
        <v>19</v>
      </c>
      <c r="N305" s="74">
        <v>43654</v>
      </c>
      <c r="O305" s="75">
        <f t="shared" ref="O305:O764" si="148">+N305</f>
        <v>43654</v>
      </c>
      <c r="P305" s="2765" t="s">
        <v>3769</v>
      </c>
      <c r="Q305" s="2954"/>
      <c r="R305" s="76">
        <v>279.66000000000003</v>
      </c>
      <c r="S305" s="1945" t="s">
        <v>731</v>
      </c>
      <c r="T305" s="77" t="s">
        <v>2712</v>
      </c>
      <c r="U305" s="1893"/>
      <c r="V305" s="2079">
        <f t="shared" si="143"/>
        <v>0</v>
      </c>
      <c r="W305" s="78">
        <f t="shared" si="144"/>
        <v>329.99880000000002</v>
      </c>
      <c r="X305" s="1878" t="str">
        <f t="shared" si="142"/>
        <v>1.- R Aeolus 0040115-OT_012624  Reencauche F001-00002933 MDY-220</v>
      </c>
      <c r="Z305" s="19" t="str">
        <f t="shared" si="147"/>
        <v>Casc 2a trnsplReenc. MASTERCAUCHO</v>
      </c>
    </row>
    <row r="306" spans="2:26" ht="15.2" customHeight="1">
      <c r="B306" s="37"/>
      <c r="E306" s="3047">
        <v>2</v>
      </c>
      <c r="F306" s="2297" t="s">
        <v>723</v>
      </c>
      <c r="G306" s="68" t="s">
        <v>3768</v>
      </c>
      <c r="H306" s="69">
        <v>8230719</v>
      </c>
      <c r="I306" s="2014" t="s">
        <v>726</v>
      </c>
      <c r="J306" s="70" t="s">
        <v>727</v>
      </c>
      <c r="K306" s="2305" t="s">
        <v>857</v>
      </c>
      <c r="L306" s="72"/>
      <c r="M306" s="2306" t="s">
        <v>19</v>
      </c>
      <c r="N306" s="74">
        <v>43654</v>
      </c>
      <c r="O306" s="75">
        <f t="shared" ref="O306:O481" si="149">+N306</f>
        <v>43654</v>
      </c>
      <c r="P306" s="2765" t="s">
        <v>3769</v>
      </c>
      <c r="Q306" s="2954"/>
      <c r="R306" s="76">
        <v>279.661</v>
      </c>
      <c r="S306" s="1945" t="s">
        <v>731</v>
      </c>
      <c r="T306" s="77" t="s">
        <v>3772</v>
      </c>
      <c r="U306" s="1893"/>
      <c r="V306" s="2079">
        <f t="shared" si="143"/>
        <v>0</v>
      </c>
      <c r="W306" s="78">
        <f t="shared" si="144"/>
        <v>329.99997999999999</v>
      </c>
      <c r="X306" s="1878" t="str">
        <f t="shared" si="142"/>
        <v>2.- R Annaite 8230719-OT_S/D  Reencauche F001-00002933 MDY-220 Annaite 300 4917 China</v>
      </c>
      <c r="Z306" s="19" t="str">
        <f t="shared" ref="Z306:Z308" si="150">CONCATENATE(I309,J309)</f>
        <v>Sacar_BandaReenc. MASTERCAUCHO</v>
      </c>
    </row>
    <row r="307" spans="2:26" ht="15.2" customHeight="1">
      <c r="B307" s="37"/>
      <c r="E307" s="3047">
        <v>3</v>
      </c>
      <c r="F307" s="2297" t="s">
        <v>723</v>
      </c>
      <c r="G307" s="68" t="s">
        <v>3544</v>
      </c>
      <c r="H307" s="69">
        <v>8220719</v>
      </c>
      <c r="I307" s="2014" t="s">
        <v>3224</v>
      </c>
      <c r="J307" s="70" t="s">
        <v>727</v>
      </c>
      <c r="K307" s="2305" t="s">
        <v>857</v>
      </c>
      <c r="L307" s="72"/>
      <c r="M307" s="2306" t="s">
        <v>19</v>
      </c>
      <c r="N307" s="74">
        <v>43654</v>
      </c>
      <c r="O307" s="75">
        <f t="shared" ref="O307:O308" si="151">+N307</f>
        <v>43654</v>
      </c>
      <c r="P307" s="2765" t="s">
        <v>3769</v>
      </c>
      <c r="Q307" s="2954"/>
      <c r="R307" s="76">
        <v>211.86439999999999</v>
      </c>
      <c r="S307" s="1945" t="s">
        <v>731</v>
      </c>
      <c r="T307" s="77" t="s">
        <v>3773</v>
      </c>
      <c r="U307" s="1893"/>
      <c r="V307" s="2079">
        <f t="shared" si="143"/>
        <v>0</v>
      </c>
      <c r="W307" s="78">
        <f t="shared" si="144"/>
        <v>249.99999199999996</v>
      </c>
      <c r="X307" s="1878" t="str">
        <f t="shared" si="142"/>
        <v>3.- R Lanvigator 8220719-OT_S/D  Casc 2a trnspl F001-00002933  Lanvigator S600 0118 China</v>
      </c>
      <c r="Z307" s="19" t="str">
        <f t="shared" si="150"/>
        <v>Sacar_BandaReenc. MASTERCAUCHO</v>
      </c>
    </row>
    <row r="308" spans="2:26" ht="15.2" customHeight="1">
      <c r="B308" s="37"/>
      <c r="E308" s="3118">
        <v>4</v>
      </c>
      <c r="F308" s="2297" t="s">
        <v>723</v>
      </c>
      <c r="G308" s="68" t="s">
        <v>3544</v>
      </c>
      <c r="H308" s="69" t="s">
        <v>3771</v>
      </c>
      <c r="I308" s="2014" t="s">
        <v>3224</v>
      </c>
      <c r="J308" s="70" t="s">
        <v>727</v>
      </c>
      <c r="K308" s="2305" t="s">
        <v>857</v>
      </c>
      <c r="L308" s="72"/>
      <c r="M308" s="2306" t="s">
        <v>19</v>
      </c>
      <c r="N308" s="74">
        <v>43654</v>
      </c>
      <c r="O308" s="75">
        <f t="shared" si="151"/>
        <v>43654</v>
      </c>
      <c r="P308" s="2765" t="s">
        <v>3769</v>
      </c>
      <c r="Q308" s="2954"/>
      <c r="R308" s="76">
        <v>211.86439999999999</v>
      </c>
      <c r="S308" s="1945" t="s">
        <v>731</v>
      </c>
      <c r="T308" s="77" t="s">
        <v>3773</v>
      </c>
      <c r="U308" s="1893"/>
      <c r="V308" s="2079">
        <f t="shared" si="143"/>
        <v>0</v>
      </c>
      <c r="W308" s="78">
        <f t="shared" si="144"/>
        <v>249.99999199999996</v>
      </c>
      <c r="X308" s="1878" t="str">
        <f t="shared" si="142"/>
        <v>4.- R Lanvigator 8210719-OT_S/D  Casc 2a trnspl F001-00002933  Lanvigator S600 0118 China</v>
      </c>
      <c r="Z308" s="19" t="str">
        <f t="shared" si="150"/>
        <v>Sacar_BandaReenc. MASTERCAUCHO</v>
      </c>
    </row>
    <row r="309" spans="2:26" ht="15.2" customHeight="1">
      <c r="B309" s="37"/>
      <c r="E309" s="3118">
        <v>5</v>
      </c>
      <c r="F309" s="2297" t="s">
        <v>723</v>
      </c>
      <c r="G309" s="68" t="s">
        <v>733</v>
      </c>
      <c r="H309" s="69" t="s">
        <v>1098</v>
      </c>
      <c r="I309" s="2014" t="s">
        <v>744</v>
      </c>
      <c r="J309" s="70" t="s">
        <v>727</v>
      </c>
      <c r="K309" s="2305" t="s">
        <v>3740</v>
      </c>
      <c r="L309" s="72">
        <v>43637</v>
      </c>
      <c r="M309" s="2306" t="s">
        <v>19</v>
      </c>
      <c r="N309" s="74">
        <v>43654</v>
      </c>
      <c r="O309" s="75">
        <f t="shared" ref="O309:O311" si="152">+N309</f>
        <v>43654</v>
      </c>
      <c r="P309" s="2765" t="s">
        <v>3770</v>
      </c>
      <c r="Q309" s="2954"/>
      <c r="R309" s="76">
        <v>0</v>
      </c>
      <c r="S309" s="1945" t="s">
        <v>731</v>
      </c>
      <c r="T309" s="77" t="s">
        <v>2753</v>
      </c>
      <c r="U309" s="1893"/>
      <c r="V309" s="2079">
        <f t="shared" si="143"/>
        <v>0</v>
      </c>
      <c r="W309" s="78">
        <f t="shared" si="144"/>
        <v>0</v>
      </c>
      <c r="X309" s="1878" t="str">
        <f t="shared" si="142"/>
        <v>5.- R Lima Caucho 0030113-OT_012624  Sacar_Banda EG01-1310 Casco pelado</v>
      </c>
      <c r="Z309" s="19" t="str">
        <f t="shared" si="147"/>
        <v>ReencaucheReencauchadora RENOVA</v>
      </c>
    </row>
    <row r="310" spans="2:26" ht="15.2" customHeight="1">
      <c r="B310" s="37"/>
      <c r="E310" s="3118">
        <v>6</v>
      </c>
      <c r="F310" s="2297" t="s">
        <v>723</v>
      </c>
      <c r="G310" s="68" t="s">
        <v>724</v>
      </c>
      <c r="H310" s="69" t="s">
        <v>1293</v>
      </c>
      <c r="I310" s="2014" t="s">
        <v>744</v>
      </c>
      <c r="J310" s="70" t="s">
        <v>727</v>
      </c>
      <c r="K310" s="2305" t="s">
        <v>3740</v>
      </c>
      <c r="L310" s="72">
        <v>43637</v>
      </c>
      <c r="M310" s="2306" t="s">
        <v>19</v>
      </c>
      <c r="N310" s="74">
        <v>43654</v>
      </c>
      <c r="O310" s="75">
        <f t="shared" si="152"/>
        <v>43654</v>
      </c>
      <c r="P310" s="2765" t="s">
        <v>3770</v>
      </c>
      <c r="Q310" s="2954"/>
      <c r="R310" s="76">
        <v>0</v>
      </c>
      <c r="S310" s="1945" t="s">
        <v>731</v>
      </c>
      <c r="T310" s="77" t="s">
        <v>2753</v>
      </c>
      <c r="U310" s="1893"/>
      <c r="V310" s="2079">
        <f t="shared" si="143"/>
        <v>0</v>
      </c>
      <c r="W310" s="78">
        <f t="shared" si="144"/>
        <v>0</v>
      </c>
      <c r="X310" s="1878" t="str">
        <f t="shared" si="142"/>
        <v>6.- R Aeolus 0120215-OT_012624  Sacar_Banda EG01-1310 Casco pelado</v>
      </c>
      <c r="Z310" s="19" t="str">
        <f t="shared" si="147"/>
        <v>ReencaucheReencauchadora RENOVA</v>
      </c>
    </row>
    <row r="311" spans="2:26" ht="15.2" customHeight="1">
      <c r="B311" s="37"/>
      <c r="E311" s="3123">
        <v>7</v>
      </c>
      <c r="F311" s="2908" t="s">
        <v>723</v>
      </c>
      <c r="G311" s="2909" t="s">
        <v>825</v>
      </c>
      <c r="H311" s="2910" t="s">
        <v>865</v>
      </c>
      <c r="I311" s="3124" t="s">
        <v>744</v>
      </c>
      <c r="J311" s="2911" t="s">
        <v>727</v>
      </c>
      <c r="K311" s="2912" t="s">
        <v>3740</v>
      </c>
      <c r="L311" s="2913">
        <v>43637</v>
      </c>
      <c r="M311" s="2581" t="s">
        <v>19</v>
      </c>
      <c r="N311" s="2582">
        <v>43657</v>
      </c>
      <c r="O311" s="2583">
        <f t="shared" si="152"/>
        <v>43657</v>
      </c>
      <c r="P311" s="2766" t="s">
        <v>3778</v>
      </c>
      <c r="Q311" s="2955"/>
      <c r="R311" s="89">
        <v>0</v>
      </c>
      <c r="S311" s="1946" t="s">
        <v>731</v>
      </c>
      <c r="T311" s="77" t="s">
        <v>3612</v>
      </c>
      <c r="U311" s="1893"/>
      <c r="V311" s="2079">
        <f t="shared" si="143"/>
        <v>0</v>
      </c>
      <c r="W311" s="78">
        <f t="shared" si="144"/>
        <v>0</v>
      </c>
      <c r="X311" s="1878" t="str">
        <f t="shared" si="142"/>
        <v>7.- R Falken 0550611-OT_012624  Sacar_Banda EG01-1322 RECHAZO No apto para reencauche</v>
      </c>
      <c r="Z311" s="19" t="str">
        <f t="shared" ref="Z311:Z331" si="153">CONCATENATE(I314,J314)</f>
        <v>ReencaucheReencauchadora RENOVA</v>
      </c>
    </row>
    <row r="312" spans="2:26" ht="15.2" customHeight="1">
      <c r="B312" s="37"/>
      <c r="E312" s="3047">
        <v>1</v>
      </c>
      <c r="F312" s="2297" t="s">
        <v>723</v>
      </c>
      <c r="G312" s="68" t="s">
        <v>737</v>
      </c>
      <c r="H312" s="69" t="s">
        <v>2919</v>
      </c>
      <c r="I312" s="2014" t="s">
        <v>726</v>
      </c>
      <c r="J312" s="70" t="s">
        <v>760</v>
      </c>
      <c r="K312" s="2305" t="s">
        <v>3738</v>
      </c>
      <c r="L312" s="72">
        <v>43627</v>
      </c>
      <c r="M312" s="2306" t="s">
        <v>19</v>
      </c>
      <c r="N312" s="74">
        <v>43638</v>
      </c>
      <c r="O312" s="75">
        <f t="shared" si="149"/>
        <v>43638</v>
      </c>
      <c r="P312" s="2765" t="s">
        <v>3739</v>
      </c>
      <c r="Q312" s="2954">
        <v>100.9</v>
      </c>
      <c r="R312" s="76"/>
      <c r="S312" s="1945" t="s">
        <v>731</v>
      </c>
      <c r="T312" s="77" t="s">
        <v>2570</v>
      </c>
      <c r="U312" s="1893"/>
      <c r="V312" s="2079">
        <f t="shared" si="143"/>
        <v>119.062</v>
      </c>
      <c r="W312" s="78">
        <f t="shared" si="144"/>
        <v>0</v>
      </c>
      <c r="X312" s="1878" t="str">
        <f t="shared" si="142"/>
        <v>1.- R Vikrant 0250217-OT_259641  Reencauche F101-00020618 IDY3-220</v>
      </c>
      <c r="Z312" s="19" t="str">
        <f t="shared" si="153"/>
        <v>ReencaucheReencauchadora RENOVA</v>
      </c>
    </row>
    <row r="313" spans="2:26" ht="15.2" customHeight="1">
      <c r="B313" s="37"/>
      <c r="E313" s="3047">
        <v>2</v>
      </c>
      <c r="F313" s="2297" t="s">
        <v>723</v>
      </c>
      <c r="G313" s="68" t="s">
        <v>151</v>
      </c>
      <c r="H313" s="69" t="s">
        <v>3727</v>
      </c>
      <c r="I313" s="2014" t="s">
        <v>726</v>
      </c>
      <c r="J313" s="70" t="s">
        <v>760</v>
      </c>
      <c r="K313" s="2305" t="s">
        <v>3738</v>
      </c>
      <c r="L313" s="72">
        <v>43627</v>
      </c>
      <c r="M313" s="73" t="s">
        <v>19</v>
      </c>
      <c r="N313" s="74">
        <v>43638</v>
      </c>
      <c r="O313" s="75">
        <v>43638</v>
      </c>
      <c r="P313" s="2765" t="s">
        <v>3739</v>
      </c>
      <c r="Q313" s="2954">
        <v>100.9</v>
      </c>
      <c r="R313" s="76"/>
      <c r="S313" s="1945" t="s">
        <v>731</v>
      </c>
      <c r="T313" s="77" t="s">
        <v>2570</v>
      </c>
      <c r="U313" s="1893"/>
      <c r="V313" s="2079">
        <f t="shared" si="143"/>
        <v>119.062</v>
      </c>
      <c r="W313" s="78">
        <f t="shared" si="144"/>
        <v>0</v>
      </c>
      <c r="X313" s="1878" t="str">
        <f t="shared" si="142"/>
        <v>2.- R WindPower 0751115-OT_259641  Reencauche F101-00020618 IDY3-220</v>
      </c>
      <c r="Z313" s="19" t="str">
        <f t="shared" si="153"/>
        <v>ReencaucheReencauchadora RENOVA</v>
      </c>
    </row>
    <row r="314" spans="2:26" ht="15.2" customHeight="1">
      <c r="B314" s="37"/>
      <c r="E314" s="3082">
        <v>3</v>
      </c>
      <c r="F314" s="2297" t="s">
        <v>723</v>
      </c>
      <c r="G314" s="68" t="s">
        <v>151</v>
      </c>
      <c r="H314" s="69" t="s">
        <v>3728</v>
      </c>
      <c r="I314" s="2014" t="s">
        <v>726</v>
      </c>
      <c r="J314" s="70" t="s">
        <v>760</v>
      </c>
      <c r="K314" s="2305" t="s">
        <v>3738</v>
      </c>
      <c r="L314" s="72">
        <v>43627</v>
      </c>
      <c r="M314" s="73" t="s">
        <v>19</v>
      </c>
      <c r="N314" s="74">
        <v>43638</v>
      </c>
      <c r="O314" s="75">
        <v>43638</v>
      </c>
      <c r="P314" s="2765" t="s">
        <v>3739</v>
      </c>
      <c r="Q314" s="2954">
        <v>100.9</v>
      </c>
      <c r="R314" s="76"/>
      <c r="S314" s="1945" t="s">
        <v>731</v>
      </c>
      <c r="T314" s="77" t="s">
        <v>2570</v>
      </c>
      <c r="U314" s="1893"/>
      <c r="V314" s="2079">
        <f t="shared" si="143"/>
        <v>119.062</v>
      </c>
      <c r="W314" s="78">
        <f t="shared" si="144"/>
        <v>0</v>
      </c>
      <c r="X314" s="1878" t="str">
        <f t="shared" si="142"/>
        <v>3.- R WindPower 0681015-OT_259641  Reencauche F101-00020618 IDY3-220</v>
      </c>
      <c r="Z314" s="19" t="str">
        <f t="shared" si="153"/>
        <v>ReencaucheReencauchadora RENOVA</v>
      </c>
    </row>
    <row r="315" spans="2:26" ht="15.2" customHeight="1">
      <c r="B315" s="37"/>
      <c r="E315" s="3082">
        <v>4</v>
      </c>
      <c r="F315" s="2297" t="s">
        <v>723</v>
      </c>
      <c r="G315" s="68" t="s">
        <v>724</v>
      </c>
      <c r="H315" s="69" t="s">
        <v>824</v>
      </c>
      <c r="I315" s="2014" t="s">
        <v>726</v>
      </c>
      <c r="J315" s="70" t="s">
        <v>760</v>
      </c>
      <c r="K315" s="2305" t="s">
        <v>3738</v>
      </c>
      <c r="L315" s="72">
        <v>43627</v>
      </c>
      <c r="M315" s="73" t="s">
        <v>19</v>
      </c>
      <c r="N315" s="74">
        <v>43638</v>
      </c>
      <c r="O315" s="75">
        <v>43638</v>
      </c>
      <c r="P315" s="2765" t="s">
        <v>3739</v>
      </c>
      <c r="Q315" s="2954">
        <v>100.9</v>
      </c>
      <c r="R315" s="76"/>
      <c r="S315" s="1945" t="s">
        <v>731</v>
      </c>
      <c r="T315" s="77" t="s">
        <v>2570</v>
      </c>
      <c r="U315" s="1893"/>
      <c r="V315" s="2079">
        <f t="shared" si="143"/>
        <v>119.062</v>
      </c>
      <c r="W315" s="78">
        <f t="shared" si="144"/>
        <v>0</v>
      </c>
      <c r="X315" s="1878" t="str">
        <f t="shared" si="142"/>
        <v>4.- R Aeolus 0170612-OT_259641  Reencauche F101-00020618 IDY3-220</v>
      </c>
      <c r="Z315" s="19" t="str">
        <f t="shared" si="153"/>
        <v>ReencaucheReencauchadora RENOVA</v>
      </c>
    </row>
    <row r="316" spans="2:26" ht="15.2" customHeight="1">
      <c r="B316" s="37"/>
      <c r="E316" s="3082">
        <v>5</v>
      </c>
      <c r="F316" s="2297" t="s">
        <v>723</v>
      </c>
      <c r="G316" s="68" t="s">
        <v>724</v>
      </c>
      <c r="H316" s="69" t="s">
        <v>3729</v>
      </c>
      <c r="I316" s="2014" t="s">
        <v>726</v>
      </c>
      <c r="J316" s="70" t="s">
        <v>760</v>
      </c>
      <c r="K316" s="2305" t="s">
        <v>3738</v>
      </c>
      <c r="L316" s="72">
        <v>43627</v>
      </c>
      <c r="M316" s="73" t="s">
        <v>19</v>
      </c>
      <c r="N316" s="74">
        <v>43638</v>
      </c>
      <c r="O316" s="75">
        <v>43638</v>
      </c>
      <c r="P316" s="2765" t="s">
        <v>3739</v>
      </c>
      <c r="Q316" s="2954">
        <v>100.9</v>
      </c>
      <c r="R316" s="76"/>
      <c r="S316" s="1945" t="s">
        <v>731</v>
      </c>
      <c r="T316" s="77" t="s">
        <v>2570</v>
      </c>
      <c r="U316" s="1893"/>
      <c r="V316" s="2079">
        <f t="shared" si="143"/>
        <v>119.062</v>
      </c>
      <c r="W316" s="78">
        <f t="shared" si="144"/>
        <v>0</v>
      </c>
      <c r="X316" s="1878" t="str">
        <f t="shared" si="142"/>
        <v>5.- R Aeolus 0130114-OT_259641  Reencauche F101-00020618 IDY3-220</v>
      </c>
      <c r="Z316" s="19" t="str">
        <f t="shared" si="153"/>
        <v>ReencaucheReencauchadora RENOVA</v>
      </c>
    </row>
    <row r="317" spans="2:26" ht="15.2" customHeight="1">
      <c r="B317" s="37"/>
      <c r="E317" s="3082">
        <v>6</v>
      </c>
      <c r="F317" s="2297" t="s">
        <v>723</v>
      </c>
      <c r="G317" s="68" t="s">
        <v>724</v>
      </c>
      <c r="H317" s="69" t="s">
        <v>3730</v>
      </c>
      <c r="I317" s="2014" t="s">
        <v>726</v>
      </c>
      <c r="J317" s="70" t="s">
        <v>760</v>
      </c>
      <c r="K317" s="2305" t="s">
        <v>3738</v>
      </c>
      <c r="L317" s="72">
        <v>43627</v>
      </c>
      <c r="M317" s="73" t="s">
        <v>19</v>
      </c>
      <c r="N317" s="74">
        <v>43638</v>
      </c>
      <c r="O317" s="75">
        <v>43638</v>
      </c>
      <c r="P317" s="2765" t="s">
        <v>3739</v>
      </c>
      <c r="Q317" s="2954">
        <v>100.9</v>
      </c>
      <c r="R317" s="76"/>
      <c r="S317" s="1945" t="s">
        <v>731</v>
      </c>
      <c r="T317" s="77" t="s">
        <v>2570</v>
      </c>
      <c r="U317" s="1893"/>
      <c r="V317" s="2079">
        <f t="shared" si="143"/>
        <v>119.062</v>
      </c>
      <c r="W317" s="78">
        <f t="shared" si="144"/>
        <v>0</v>
      </c>
      <c r="X317" s="1878" t="str">
        <f t="shared" si="142"/>
        <v>6.- R Aeolus 0450517-OT_259641  Reencauche F101-00020618 IDY3-220</v>
      </c>
      <c r="Z317" s="19" t="str">
        <f t="shared" si="153"/>
        <v>ReencaucheReencauchadora RENOVA</v>
      </c>
    </row>
    <row r="318" spans="2:26" ht="15.2" customHeight="1">
      <c r="B318" s="37"/>
      <c r="E318" s="3082">
        <v>7</v>
      </c>
      <c r="F318" s="2297" t="s">
        <v>723</v>
      </c>
      <c r="G318" s="68" t="s">
        <v>724</v>
      </c>
      <c r="H318" s="69" t="s">
        <v>3731</v>
      </c>
      <c r="I318" s="2014" t="s">
        <v>726</v>
      </c>
      <c r="J318" s="70" t="s">
        <v>760</v>
      </c>
      <c r="K318" s="2305" t="s">
        <v>3738</v>
      </c>
      <c r="L318" s="72">
        <v>43627</v>
      </c>
      <c r="M318" s="73" t="s">
        <v>19</v>
      </c>
      <c r="N318" s="74">
        <v>43638</v>
      </c>
      <c r="O318" s="75">
        <v>43638</v>
      </c>
      <c r="P318" s="2765" t="s">
        <v>3739</v>
      </c>
      <c r="Q318" s="2954">
        <v>100.9</v>
      </c>
      <c r="R318" s="76"/>
      <c r="S318" s="1945" t="s">
        <v>731</v>
      </c>
      <c r="T318" s="77" t="s">
        <v>2570</v>
      </c>
      <c r="U318" s="1893"/>
      <c r="V318" s="2079">
        <f t="shared" si="143"/>
        <v>119.062</v>
      </c>
      <c r="W318" s="78">
        <f t="shared" si="144"/>
        <v>0</v>
      </c>
      <c r="X318" s="1878" t="str">
        <f t="shared" si="142"/>
        <v>7.- R Aeolus 0180218-OT_259641  Reencauche F101-00020618 IDY3-220</v>
      </c>
      <c r="Z318" s="19" t="str">
        <f t="shared" si="153"/>
        <v>ReencaucheReencauchadora RENOVA</v>
      </c>
    </row>
    <row r="319" spans="2:26" ht="15.2" customHeight="1">
      <c r="B319" s="37"/>
      <c r="E319" s="3082">
        <v>8</v>
      </c>
      <c r="F319" s="2297" t="s">
        <v>723</v>
      </c>
      <c r="G319" s="68" t="s">
        <v>724</v>
      </c>
      <c r="H319" s="69" t="s">
        <v>3732</v>
      </c>
      <c r="I319" s="2014" t="s">
        <v>726</v>
      </c>
      <c r="J319" s="70" t="s">
        <v>760</v>
      </c>
      <c r="K319" s="2305" t="s">
        <v>3738</v>
      </c>
      <c r="L319" s="72">
        <v>43627</v>
      </c>
      <c r="M319" s="73" t="s">
        <v>19</v>
      </c>
      <c r="N319" s="74">
        <v>43638</v>
      </c>
      <c r="O319" s="75">
        <v>43638</v>
      </c>
      <c r="P319" s="2765" t="s">
        <v>3739</v>
      </c>
      <c r="Q319" s="2954">
        <v>100.9</v>
      </c>
      <c r="R319" s="76"/>
      <c r="S319" s="1945" t="s">
        <v>731</v>
      </c>
      <c r="T319" s="77" t="s">
        <v>2570</v>
      </c>
      <c r="U319" s="1893"/>
      <c r="V319" s="2079">
        <f t="shared" si="143"/>
        <v>119.062</v>
      </c>
      <c r="W319" s="78">
        <f t="shared" si="144"/>
        <v>0</v>
      </c>
      <c r="X319" s="1878" t="str">
        <f t="shared" si="142"/>
        <v>8.- R Aeolus 0520616-OT_259641  Reencauche F101-00020618 IDY3-220</v>
      </c>
      <c r="Z319" s="19" t="str">
        <f t="shared" si="153"/>
        <v>ReencaucheReencauchadora RENOVA</v>
      </c>
    </row>
    <row r="320" spans="2:26" ht="15.2" customHeight="1">
      <c r="B320" s="37"/>
      <c r="E320" s="3082">
        <v>9</v>
      </c>
      <c r="F320" s="2297" t="s">
        <v>723</v>
      </c>
      <c r="G320" s="68" t="s">
        <v>724</v>
      </c>
      <c r="H320" s="69" t="s">
        <v>3733</v>
      </c>
      <c r="I320" s="2014" t="s">
        <v>726</v>
      </c>
      <c r="J320" s="70" t="s">
        <v>760</v>
      </c>
      <c r="K320" s="2305" t="s">
        <v>3738</v>
      </c>
      <c r="L320" s="72">
        <v>43627</v>
      </c>
      <c r="M320" s="73" t="s">
        <v>19</v>
      </c>
      <c r="N320" s="74">
        <v>43638</v>
      </c>
      <c r="O320" s="75">
        <v>43638</v>
      </c>
      <c r="P320" s="2765" t="s">
        <v>3739</v>
      </c>
      <c r="Q320" s="2954">
        <v>100.9</v>
      </c>
      <c r="R320" s="76"/>
      <c r="S320" s="1945" t="s">
        <v>731</v>
      </c>
      <c r="T320" s="77" t="s">
        <v>2570</v>
      </c>
      <c r="U320" s="1893"/>
      <c r="V320" s="2079">
        <f t="shared" si="143"/>
        <v>119.062</v>
      </c>
      <c r="W320" s="78">
        <f t="shared" si="144"/>
        <v>0</v>
      </c>
      <c r="X320" s="1878" t="str">
        <f t="shared" si="142"/>
        <v>9.- R Aeolus 0370615-OT_259641  Reencauche F101-00020618 IDY3-220</v>
      </c>
      <c r="Z320" s="19" t="str">
        <f t="shared" si="153"/>
        <v>ReencaucheReencauchadora RENOVA</v>
      </c>
    </row>
    <row r="321" spans="2:26" ht="15.2" customHeight="1">
      <c r="B321" s="37"/>
      <c r="E321" s="3082">
        <v>10</v>
      </c>
      <c r="F321" s="661" t="s">
        <v>2825</v>
      </c>
      <c r="G321" s="68" t="s">
        <v>724</v>
      </c>
      <c r="H321" s="69" t="s">
        <v>3735</v>
      </c>
      <c r="I321" s="2014" t="s">
        <v>726</v>
      </c>
      <c r="J321" s="70" t="s">
        <v>760</v>
      </c>
      <c r="K321" s="2305" t="s">
        <v>3737</v>
      </c>
      <c r="L321" s="72">
        <v>43627</v>
      </c>
      <c r="M321" s="73" t="s">
        <v>19</v>
      </c>
      <c r="N321" s="74">
        <v>43638</v>
      </c>
      <c r="O321" s="75">
        <v>43638</v>
      </c>
      <c r="P321" s="2765" t="s">
        <v>3739</v>
      </c>
      <c r="Q321" s="2954">
        <v>164.06</v>
      </c>
      <c r="R321" s="76"/>
      <c r="S321" s="1945" t="s">
        <v>731</v>
      </c>
      <c r="T321" s="77" t="s">
        <v>3611</v>
      </c>
      <c r="U321" s="1893"/>
      <c r="V321" s="2079">
        <f t="shared" si="143"/>
        <v>193.5908</v>
      </c>
      <c r="W321" s="78">
        <f t="shared" si="144"/>
        <v>0</v>
      </c>
      <c r="X321" s="1878" t="str">
        <f t="shared" si="142"/>
        <v>10.- B Aeolus 0610716-OT_259642  Reencauche F101-00020618 LZY3-325</v>
      </c>
      <c r="Z321" s="19" t="str">
        <f t="shared" si="153"/>
        <v>ReencaucheReenc. MASTERCAUCHO</v>
      </c>
    </row>
    <row r="322" spans="2:26" ht="15.2" customHeight="1">
      <c r="B322" s="37"/>
      <c r="E322" s="3082">
        <v>11</v>
      </c>
      <c r="F322" s="661" t="s">
        <v>2825</v>
      </c>
      <c r="G322" s="68" t="s">
        <v>724</v>
      </c>
      <c r="H322" s="69" t="s">
        <v>3736</v>
      </c>
      <c r="I322" s="2014" t="s">
        <v>726</v>
      </c>
      <c r="J322" s="70" t="s">
        <v>760</v>
      </c>
      <c r="K322" s="2305" t="s">
        <v>3737</v>
      </c>
      <c r="L322" s="72">
        <v>43627</v>
      </c>
      <c r="M322" s="73" t="s">
        <v>19</v>
      </c>
      <c r="N322" s="74">
        <v>43638</v>
      </c>
      <c r="O322" s="75">
        <v>43638</v>
      </c>
      <c r="P322" s="2765" t="s">
        <v>3739</v>
      </c>
      <c r="Q322" s="2954">
        <v>164.06</v>
      </c>
      <c r="R322" s="76"/>
      <c r="S322" s="1945" t="s">
        <v>731</v>
      </c>
      <c r="T322" s="77" t="s">
        <v>3611</v>
      </c>
      <c r="U322" s="1893"/>
      <c r="V322" s="2079">
        <f t="shared" si="143"/>
        <v>193.5908</v>
      </c>
      <c r="W322" s="78">
        <f t="shared" si="144"/>
        <v>0</v>
      </c>
      <c r="X322" s="1878" t="str">
        <f t="shared" si="142"/>
        <v>11.- B Aeolus 0801116-OT_259642  Reencauche F101-00020618 LZY3-325</v>
      </c>
      <c r="Z322" s="19" t="str">
        <f t="shared" si="153"/>
        <v>ReencaucheReenc. MASTERCAUCHO</v>
      </c>
    </row>
    <row r="323" spans="2:26" ht="15.2" customHeight="1">
      <c r="B323" s="37"/>
      <c r="E323" s="3123">
        <v>12</v>
      </c>
      <c r="F323" s="2908" t="s">
        <v>723</v>
      </c>
      <c r="G323" s="2909" t="s">
        <v>151</v>
      </c>
      <c r="H323" s="2910" t="s">
        <v>3734</v>
      </c>
      <c r="I323" s="3124" t="s">
        <v>726</v>
      </c>
      <c r="J323" s="2911" t="s">
        <v>760</v>
      </c>
      <c r="K323" s="2912" t="s">
        <v>3738</v>
      </c>
      <c r="L323" s="2913">
        <v>43627</v>
      </c>
      <c r="M323" s="3132" t="s">
        <v>19</v>
      </c>
      <c r="N323" s="2582">
        <v>43657</v>
      </c>
      <c r="O323" s="2583">
        <v>43657</v>
      </c>
      <c r="P323" s="2766" t="s">
        <v>3776</v>
      </c>
      <c r="Q323" s="2955">
        <v>100.9</v>
      </c>
      <c r="R323" s="89"/>
      <c r="S323" s="1946" t="s">
        <v>731</v>
      </c>
      <c r="T323" s="77" t="s">
        <v>2570</v>
      </c>
      <c r="U323" s="1893"/>
      <c r="V323" s="2079">
        <f t="shared" si="143"/>
        <v>119.062</v>
      </c>
      <c r="W323" s="78">
        <f t="shared" si="144"/>
        <v>0</v>
      </c>
      <c r="X323" s="1878" t="str">
        <f t="shared" si="142"/>
        <v>12.- R WindPower 0550915-OT_259641  Reencauche F101-00020862 IDY3-220</v>
      </c>
      <c r="Z323" s="19" t="str">
        <f t="shared" si="153"/>
        <v>Casc 2a trnsplReenc. MASTERCAUCHO</v>
      </c>
    </row>
    <row r="324" spans="2:26" ht="15.2" customHeight="1">
      <c r="B324" s="37"/>
      <c r="E324" s="3082">
        <v>1</v>
      </c>
      <c r="F324" s="2297" t="s">
        <v>723</v>
      </c>
      <c r="G324" s="68" t="s">
        <v>2533</v>
      </c>
      <c r="H324" s="69" t="s">
        <v>3592</v>
      </c>
      <c r="I324" s="2014" t="s">
        <v>726</v>
      </c>
      <c r="J324" s="70" t="s">
        <v>727</v>
      </c>
      <c r="K324" s="2305" t="s">
        <v>3705</v>
      </c>
      <c r="L324" s="72">
        <v>43619</v>
      </c>
      <c r="M324" s="2306" t="s">
        <v>19</v>
      </c>
      <c r="N324" s="74">
        <v>43630</v>
      </c>
      <c r="O324" s="75">
        <f t="shared" ref="O324:O334" si="154">+N324</f>
        <v>43630</v>
      </c>
      <c r="P324" s="2765" t="s">
        <v>3715</v>
      </c>
      <c r="Q324" s="2954"/>
      <c r="R324" s="76">
        <v>279.661</v>
      </c>
      <c r="S324" s="1945" t="s">
        <v>731</v>
      </c>
      <c r="T324" s="77" t="s">
        <v>2712</v>
      </c>
      <c r="U324" s="1893"/>
      <c r="V324" s="2079">
        <f t="shared" si="143"/>
        <v>0</v>
      </c>
      <c r="W324" s="78">
        <f t="shared" si="144"/>
        <v>329.99997999999999</v>
      </c>
      <c r="X324" s="1878" t="str">
        <f t="shared" si="142"/>
        <v>1.- R Stellmark 8250517-OT_012375  Reencauche F001-00002767 MDY-220</v>
      </c>
      <c r="Z324" s="19" t="str">
        <f t="shared" ref="Z324:Z325" si="155">CONCATENATE(I327,J327)</f>
        <v>Casc 2a trnsplReenc. MASTERCAUCHO</v>
      </c>
    </row>
    <row r="325" spans="2:26" ht="15.2" customHeight="1">
      <c r="B325" s="37"/>
      <c r="E325" s="3082">
        <v>2</v>
      </c>
      <c r="F325" s="2297" t="s">
        <v>723</v>
      </c>
      <c r="G325" s="68" t="s">
        <v>2533</v>
      </c>
      <c r="H325" s="69" t="s">
        <v>3593</v>
      </c>
      <c r="I325" s="2014" t="s">
        <v>726</v>
      </c>
      <c r="J325" s="70" t="s">
        <v>727</v>
      </c>
      <c r="K325" s="2305" t="s">
        <v>3705</v>
      </c>
      <c r="L325" s="72">
        <v>43619</v>
      </c>
      <c r="M325" s="2306" t="s">
        <v>19</v>
      </c>
      <c r="N325" s="74">
        <v>43630</v>
      </c>
      <c r="O325" s="75">
        <f t="shared" si="154"/>
        <v>43630</v>
      </c>
      <c r="P325" s="2765" t="s">
        <v>3715</v>
      </c>
      <c r="Q325" s="2954"/>
      <c r="R325" s="76">
        <v>279.661</v>
      </c>
      <c r="S325" s="1945" t="s">
        <v>731</v>
      </c>
      <c r="T325" s="77" t="s">
        <v>2712</v>
      </c>
      <c r="U325" s="1893"/>
      <c r="V325" s="2079">
        <f t="shared" si="143"/>
        <v>0</v>
      </c>
      <c r="W325" s="78">
        <f t="shared" si="144"/>
        <v>329.99997999999999</v>
      </c>
      <c r="X325" s="1878" t="str">
        <f t="shared" si="142"/>
        <v>2.- R Stellmark 8280617-OT_012375  Reencauche F001-00002767 MDY-220</v>
      </c>
      <c r="Z325" s="19" t="str">
        <f t="shared" si="155"/>
        <v>Vulcanizado (curación)Reenc. MASTERCAUCHO</v>
      </c>
    </row>
    <row r="326" spans="2:26" ht="15.2" customHeight="1">
      <c r="B326" s="37"/>
      <c r="E326" s="3082">
        <v>3</v>
      </c>
      <c r="F326" s="2297" t="s">
        <v>723</v>
      </c>
      <c r="G326" s="68" t="s">
        <v>3708</v>
      </c>
      <c r="H326" s="69" t="s">
        <v>3713</v>
      </c>
      <c r="I326" s="3084" t="s">
        <v>3224</v>
      </c>
      <c r="J326" s="70" t="s">
        <v>727</v>
      </c>
      <c r="K326" s="2305" t="s">
        <v>857</v>
      </c>
      <c r="L326" s="72"/>
      <c r="M326" s="2306" t="s">
        <v>19</v>
      </c>
      <c r="N326" s="74">
        <v>43630</v>
      </c>
      <c r="O326" s="75">
        <f t="shared" si="154"/>
        <v>43630</v>
      </c>
      <c r="P326" s="2765" t="s">
        <v>3715</v>
      </c>
      <c r="Q326" s="2954"/>
      <c r="R326" s="76">
        <v>211.86439999999999</v>
      </c>
      <c r="S326" s="1945" t="s">
        <v>731</v>
      </c>
      <c r="T326" s="77" t="s">
        <v>3716</v>
      </c>
      <c r="U326" s="1893"/>
      <c r="V326" s="2079">
        <f t="shared" si="143"/>
        <v>0</v>
      </c>
      <c r="W326" s="78">
        <f t="shared" si="144"/>
        <v>249.99999199999996</v>
      </c>
      <c r="X326" s="1878" t="str">
        <f t="shared" si="142"/>
        <v>3.- R Golden Crown 8190619-OT_S/D  Casc 2a trnspl F001-00002767  Golden Crown AT160 1617 China</v>
      </c>
      <c r="Z326" s="19" t="str">
        <f t="shared" si="153"/>
        <v>Sacar_BandaReenc. MASTERCAUCHO</v>
      </c>
    </row>
    <row r="327" spans="2:26" ht="15.2" customHeight="1">
      <c r="B327" s="37"/>
      <c r="E327" s="3085">
        <v>4</v>
      </c>
      <c r="F327" s="2297" t="s">
        <v>723</v>
      </c>
      <c r="G327" s="68" t="s">
        <v>3709</v>
      </c>
      <c r="H327" s="69" t="s">
        <v>3714</v>
      </c>
      <c r="I327" s="3084" t="s">
        <v>3224</v>
      </c>
      <c r="J327" s="70" t="s">
        <v>727</v>
      </c>
      <c r="K327" s="2305" t="s">
        <v>857</v>
      </c>
      <c r="L327" s="72"/>
      <c r="M327" s="2306" t="s">
        <v>19</v>
      </c>
      <c r="N327" s="74">
        <v>43630</v>
      </c>
      <c r="O327" s="75">
        <f t="shared" ref="O327:O328" si="156">+N327</f>
        <v>43630</v>
      </c>
      <c r="P327" s="2765" t="s">
        <v>3715</v>
      </c>
      <c r="Q327" s="2954"/>
      <c r="R327" s="76">
        <v>211.86439999999999</v>
      </c>
      <c r="S327" s="1945" t="s">
        <v>731</v>
      </c>
      <c r="T327" s="77" t="s">
        <v>3717</v>
      </c>
      <c r="U327" s="1893"/>
      <c r="V327" s="2079">
        <f t="shared" si="143"/>
        <v>0</v>
      </c>
      <c r="W327" s="78">
        <f t="shared" si="144"/>
        <v>249.99999199999996</v>
      </c>
      <c r="X327" s="1878" t="str">
        <f t="shared" si="142"/>
        <v>4.- R Amberstone 8200619-OT_S/D  Casc 2a trnspl F001-00002767   Amberstone 366 3117 China</v>
      </c>
      <c r="Z327" s="19" t="str">
        <f t="shared" si="153"/>
        <v>ReencaucheReenc. MASTERCAUCHO</v>
      </c>
    </row>
    <row r="328" spans="2:26" ht="15.2" customHeight="1">
      <c r="B328" s="37"/>
      <c r="E328" s="3120">
        <v>5</v>
      </c>
      <c r="F328" s="2901" t="s">
        <v>2825</v>
      </c>
      <c r="G328" s="2902" t="s">
        <v>724</v>
      </c>
      <c r="H328" s="2903" t="s">
        <v>3163</v>
      </c>
      <c r="I328" s="3121" t="s">
        <v>811</v>
      </c>
      <c r="J328" s="2904" t="s">
        <v>727</v>
      </c>
      <c r="K328" s="2905" t="s">
        <v>3705</v>
      </c>
      <c r="L328" s="2906">
        <v>43619</v>
      </c>
      <c r="M328" s="3122" t="s">
        <v>19</v>
      </c>
      <c r="N328" s="2270">
        <v>43634</v>
      </c>
      <c r="O328" s="2271">
        <f t="shared" si="156"/>
        <v>43634</v>
      </c>
      <c r="P328" s="2922" t="s">
        <v>3726</v>
      </c>
      <c r="Q328" s="2923"/>
      <c r="R328" s="2923">
        <v>0</v>
      </c>
      <c r="S328" s="1945" t="s">
        <v>731</v>
      </c>
      <c r="T328" s="77" t="s">
        <v>3612</v>
      </c>
      <c r="U328" s="1893"/>
      <c r="V328" s="2079">
        <f t="shared" si="143"/>
        <v>0</v>
      </c>
      <c r="W328" s="78">
        <f t="shared" si="144"/>
        <v>0</v>
      </c>
      <c r="X328" s="1878" t="str">
        <f t="shared" si="142"/>
        <v>5.- B Aeolus 0550716-OT_012375  Vulcanizado (curación) EG01-1206 RECHAZO No apto para reencauche</v>
      </c>
      <c r="Z328" s="19" t="str">
        <f t="shared" si="153"/>
        <v>ReencaucheReenc. MASTERCAUCHO</v>
      </c>
    </row>
    <row r="329" spans="2:26" ht="15.2" customHeight="1">
      <c r="B329" s="37"/>
      <c r="E329" s="3123">
        <v>6</v>
      </c>
      <c r="F329" s="2908" t="s">
        <v>723</v>
      </c>
      <c r="G329" s="2909" t="s">
        <v>724</v>
      </c>
      <c r="H329" s="2910" t="s">
        <v>3111</v>
      </c>
      <c r="I329" s="3124" t="s">
        <v>744</v>
      </c>
      <c r="J329" s="2911" t="s">
        <v>727</v>
      </c>
      <c r="K329" s="2912" t="s">
        <v>3705</v>
      </c>
      <c r="L329" s="2913">
        <v>43619</v>
      </c>
      <c r="M329" s="3122" t="s">
        <v>19</v>
      </c>
      <c r="N329" s="2270">
        <v>43634</v>
      </c>
      <c r="O329" s="2583">
        <v>43634</v>
      </c>
      <c r="P329" s="3087" t="s">
        <v>3726</v>
      </c>
      <c r="Q329" s="3088"/>
      <c r="R329" s="3088">
        <v>0</v>
      </c>
      <c r="S329" s="1946" t="s">
        <v>731</v>
      </c>
      <c r="T329" s="77" t="s">
        <v>2753</v>
      </c>
      <c r="U329" s="1893"/>
      <c r="V329" s="2079">
        <f t="shared" si="143"/>
        <v>0</v>
      </c>
      <c r="W329" s="78">
        <f t="shared" si="144"/>
        <v>0</v>
      </c>
      <c r="X329" s="1878" t="str">
        <f t="shared" si="142"/>
        <v>6.- R Aeolus 0481214-OT_012375  Sacar_Banda EG01-1206 Casco pelado</v>
      </c>
      <c r="Z329" s="19" t="str">
        <f t="shared" si="153"/>
        <v>Vulcanizado (curación)Reenc. MASTERCAUCHO</v>
      </c>
    </row>
    <row r="330" spans="2:26" ht="15.2" customHeight="1">
      <c r="B330" s="37"/>
      <c r="E330" s="3082">
        <v>1</v>
      </c>
      <c r="F330" s="2297" t="s">
        <v>723</v>
      </c>
      <c r="G330" s="68" t="s">
        <v>737</v>
      </c>
      <c r="H330" s="69" t="s">
        <v>2890</v>
      </c>
      <c r="I330" s="2014" t="s">
        <v>726</v>
      </c>
      <c r="J330" s="70" t="s">
        <v>727</v>
      </c>
      <c r="K330" s="2305" t="s">
        <v>3680</v>
      </c>
      <c r="L330" s="72">
        <v>43608</v>
      </c>
      <c r="M330" s="2306" t="s">
        <v>19</v>
      </c>
      <c r="N330" s="74">
        <v>43616</v>
      </c>
      <c r="O330" s="75">
        <f t="shared" si="154"/>
        <v>43616</v>
      </c>
      <c r="P330" s="2765" t="s">
        <v>3704</v>
      </c>
      <c r="Q330" s="2954"/>
      <c r="R330" s="76">
        <v>279.661</v>
      </c>
      <c r="S330" s="1945" t="s">
        <v>731</v>
      </c>
      <c r="T330" s="77" t="s">
        <v>2712</v>
      </c>
      <c r="U330" s="1893"/>
      <c r="V330" s="2079">
        <f t="shared" si="143"/>
        <v>0</v>
      </c>
      <c r="W330" s="78">
        <f t="shared" si="144"/>
        <v>329.99997999999999</v>
      </c>
      <c r="X330" s="1878" t="str">
        <f t="shared" si="142"/>
        <v>1.- R Vikrant 0070117-OT_012192  Reencauche F001-00002631 MDY-220</v>
      </c>
      <c r="Z330" s="19" t="str">
        <f t="shared" si="153"/>
        <v>Sacar_BandaReenc. MASTERCAUCHO</v>
      </c>
    </row>
    <row r="331" spans="2:26" ht="15.2" customHeight="1">
      <c r="B331" s="37"/>
      <c r="E331" s="3082">
        <v>2</v>
      </c>
      <c r="F331" s="2297" t="s">
        <v>723</v>
      </c>
      <c r="G331" s="68" t="s">
        <v>737</v>
      </c>
      <c r="H331" s="69" t="s">
        <v>3129</v>
      </c>
      <c r="I331" s="2014" t="s">
        <v>726</v>
      </c>
      <c r="J331" s="70" t="s">
        <v>727</v>
      </c>
      <c r="K331" s="2305" t="s">
        <v>3680</v>
      </c>
      <c r="L331" s="72">
        <v>43608</v>
      </c>
      <c r="M331" s="2306" t="s">
        <v>19</v>
      </c>
      <c r="N331" s="74">
        <v>43616</v>
      </c>
      <c r="O331" s="75">
        <v>43616</v>
      </c>
      <c r="P331" s="2765" t="s">
        <v>3704</v>
      </c>
      <c r="Q331" s="2954"/>
      <c r="R331" s="76">
        <v>279.661</v>
      </c>
      <c r="S331" s="1945" t="s">
        <v>731</v>
      </c>
      <c r="T331" s="77" t="s">
        <v>2712</v>
      </c>
      <c r="U331" s="1893"/>
      <c r="V331" s="2079">
        <f t="shared" si="143"/>
        <v>0</v>
      </c>
      <c r="W331" s="78">
        <f t="shared" si="144"/>
        <v>329.99997999999999</v>
      </c>
      <c r="X331" s="1878" t="str">
        <f t="shared" si="142"/>
        <v>2.- R Vikrant 0620617-OT_012192  Reencauche F001-00002631 MDY-220</v>
      </c>
      <c r="Z331" s="19" t="str">
        <f t="shared" si="153"/>
        <v>ReencaucheReencauchadora RENOVA</v>
      </c>
    </row>
    <row r="332" spans="2:26" ht="15.2" customHeight="1">
      <c r="B332" s="37"/>
      <c r="E332" s="3082">
        <v>3</v>
      </c>
      <c r="F332" s="2297" t="s">
        <v>723</v>
      </c>
      <c r="G332" s="68" t="s">
        <v>151</v>
      </c>
      <c r="H332" s="69" t="s">
        <v>3679</v>
      </c>
      <c r="I332" s="3067" t="s">
        <v>811</v>
      </c>
      <c r="J332" s="70" t="s">
        <v>727</v>
      </c>
      <c r="K332" s="2305" t="s">
        <v>3680</v>
      </c>
      <c r="L332" s="72">
        <v>43608</v>
      </c>
      <c r="M332" s="2306" t="s">
        <v>19</v>
      </c>
      <c r="N332" s="74">
        <v>43616</v>
      </c>
      <c r="O332" s="75">
        <v>43616</v>
      </c>
      <c r="P332" s="2765" t="s">
        <v>3704</v>
      </c>
      <c r="Q332" s="2954"/>
      <c r="R332" s="76">
        <v>84.745699999999999</v>
      </c>
      <c r="S332" s="1945" t="s">
        <v>731</v>
      </c>
      <c r="T332" s="77" t="s">
        <v>3229</v>
      </c>
      <c r="U332" s="1893"/>
      <c r="V332" s="2079">
        <f t="shared" si="143"/>
        <v>0</v>
      </c>
      <c r="W332" s="78">
        <f t="shared" si="144"/>
        <v>99.999925999999988</v>
      </c>
      <c r="X332" s="1878" t="str">
        <f t="shared" si="142"/>
        <v>3.- R WindPower 0050116-OT_012192  Vulcanizado (curación) F001-00002631 Corte lateral</v>
      </c>
      <c r="Z332" s="19" t="str">
        <f t="shared" ref="Z332:Z355" si="157">CONCATENATE(I335,J335)</f>
        <v>ReencaucheReencauchadora RENOVA</v>
      </c>
    </row>
    <row r="333" spans="2:26" ht="15.2" customHeight="1">
      <c r="B333" s="37"/>
      <c r="E333" s="3123">
        <v>4</v>
      </c>
      <c r="F333" s="2908" t="s">
        <v>723</v>
      </c>
      <c r="G333" s="2909" t="s">
        <v>724</v>
      </c>
      <c r="H333" s="2910" t="s">
        <v>3445</v>
      </c>
      <c r="I333" s="3124" t="s">
        <v>744</v>
      </c>
      <c r="J333" s="2911" t="s">
        <v>727</v>
      </c>
      <c r="K333" s="2912" t="s">
        <v>3680</v>
      </c>
      <c r="L333" s="2913">
        <v>43608</v>
      </c>
      <c r="M333" s="2581" t="s">
        <v>19</v>
      </c>
      <c r="N333" s="2582">
        <v>43634</v>
      </c>
      <c r="O333" s="2583">
        <f t="shared" si="154"/>
        <v>43634</v>
      </c>
      <c r="P333" s="3087" t="s">
        <v>3726</v>
      </c>
      <c r="Q333" s="3088"/>
      <c r="R333" s="3088">
        <v>0</v>
      </c>
      <c r="S333" s="1946" t="s">
        <v>731</v>
      </c>
      <c r="T333" s="77" t="s">
        <v>2753</v>
      </c>
      <c r="U333" s="1893"/>
      <c r="V333" s="2079">
        <f t="shared" si="143"/>
        <v>0</v>
      </c>
      <c r="W333" s="78">
        <f t="shared" si="144"/>
        <v>0</v>
      </c>
      <c r="X333" s="1878" t="str">
        <f t="shared" si="142"/>
        <v>4.- R Aeolus 0290518-OT_012192  Sacar_Banda EG01-1206 Casco pelado</v>
      </c>
      <c r="Z333" s="19" t="str">
        <f t="shared" si="157"/>
        <v>ReencaucheReencauchadora RENOVA</v>
      </c>
    </row>
    <row r="334" spans="2:26" ht="15.2" customHeight="1">
      <c r="B334" s="37"/>
      <c r="E334" s="3082">
        <v>1</v>
      </c>
      <c r="F334" s="2297" t="s">
        <v>723</v>
      </c>
      <c r="G334" s="68" t="s">
        <v>151</v>
      </c>
      <c r="H334" s="69" t="s">
        <v>3674</v>
      </c>
      <c r="I334" s="2014" t="s">
        <v>726</v>
      </c>
      <c r="J334" s="70" t="s">
        <v>760</v>
      </c>
      <c r="K334" s="2305" t="s">
        <v>3675</v>
      </c>
      <c r="L334" s="72">
        <v>43599</v>
      </c>
      <c r="M334" s="2306" t="s">
        <v>19</v>
      </c>
      <c r="N334" s="74">
        <v>43605</v>
      </c>
      <c r="O334" s="75">
        <f t="shared" si="154"/>
        <v>43605</v>
      </c>
      <c r="P334" s="2765" t="s">
        <v>3676</v>
      </c>
      <c r="Q334" s="2954">
        <f>100.9</f>
        <v>100.9</v>
      </c>
      <c r="R334" s="76"/>
      <c r="S334" s="1945" t="s">
        <v>731</v>
      </c>
      <c r="T334" s="77" t="s">
        <v>3677</v>
      </c>
      <c r="U334" s="1893"/>
      <c r="V334" s="2079">
        <f t="shared" si="143"/>
        <v>119.062</v>
      </c>
      <c r="W334" s="78">
        <f t="shared" si="144"/>
        <v>0</v>
      </c>
      <c r="X334" s="1878" t="str">
        <f t="shared" si="142"/>
        <v>1.- R WindPower 0871215-OT_258973  Reencauche F101-00020129 IDY2-220</v>
      </c>
      <c r="Z334" s="19" t="str">
        <f t="shared" si="157"/>
        <v>ReencaucheReencauchadora RENOVA</v>
      </c>
    </row>
    <row r="335" spans="2:26" ht="15.2" customHeight="1">
      <c r="B335" s="37"/>
      <c r="E335" s="3078">
        <v>2</v>
      </c>
      <c r="F335" s="2297" t="s">
        <v>723</v>
      </c>
      <c r="G335" s="68" t="s">
        <v>724</v>
      </c>
      <c r="H335" s="69" t="s">
        <v>3673</v>
      </c>
      <c r="I335" s="2014" t="s">
        <v>726</v>
      </c>
      <c r="J335" s="70" t="s">
        <v>760</v>
      </c>
      <c r="K335" s="2305" t="s">
        <v>3675</v>
      </c>
      <c r="L335" s="72">
        <v>43599</v>
      </c>
      <c r="M335" s="2306" t="s">
        <v>19</v>
      </c>
      <c r="N335" s="74">
        <v>43605</v>
      </c>
      <c r="O335" s="75">
        <v>43605</v>
      </c>
      <c r="P335" s="2765" t="s">
        <v>3676</v>
      </c>
      <c r="Q335" s="2954">
        <v>100.9</v>
      </c>
      <c r="R335" s="76"/>
      <c r="S335" s="1945" t="s">
        <v>731</v>
      </c>
      <c r="T335" s="77" t="s">
        <v>3677</v>
      </c>
      <c r="U335" s="1893"/>
      <c r="V335" s="2079">
        <f t="shared" si="143"/>
        <v>119.062</v>
      </c>
      <c r="W335" s="78">
        <f t="shared" si="144"/>
        <v>0</v>
      </c>
      <c r="X335" s="1878" t="str">
        <f t="shared" si="142"/>
        <v>2.- R Aeolus 0401114-OT_258973  Reencauche F101-00020129 IDY2-220</v>
      </c>
      <c r="Z335" s="19" t="str">
        <f t="shared" si="157"/>
        <v>ReencaucheReencauchadora RENOVA</v>
      </c>
    </row>
    <row r="336" spans="2:26" ht="15.2" customHeight="1">
      <c r="B336" s="37"/>
      <c r="E336" s="3078">
        <v>4</v>
      </c>
      <c r="F336" s="2297" t="s">
        <v>723</v>
      </c>
      <c r="G336" s="68" t="s">
        <v>737</v>
      </c>
      <c r="H336" s="69" t="s">
        <v>2890</v>
      </c>
      <c r="I336" s="2014" t="s">
        <v>726</v>
      </c>
      <c r="J336" s="70" t="s">
        <v>760</v>
      </c>
      <c r="K336" s="2305" t="s">
        <v>3675</v>
      </c>
      <c r="L336" s="72">
        <v>43599</v>
      </c>
      <c r="M336" s="2306" t="s">
        <v>19</v>
      </c>
      <c r="N336" s="74">
        <v>43605</v>
      </c>
      <c r="O336" s="75">
        <v>43605</v>
      </c>
      <c r="P336" s="2765" t="s">
        <v>3676</v>
      </c>
      <c r="Q336" s="2954">
        <v>100.9</v>
      </c>
      <c r="R336" s="76"/>
      <c r="S336" s="1945" t="s">
        <v>731</v>
      </c>
      <c r="T336" s="77" t="s">
        <v>3677</v>
      </c>
      <c r="U336" s="1893"/>
      <c r="V336" s="2079">
        <f t="shared" si="143"/>
        <v>119.062</v>
      </c>
      <c r="W336" s="78">
        <f t="shared" si="144"/>
        <v>0</v>
      </c>
      <c r="X336" s="1878" t="str">
        <f t="shared" si="142"/>
        <v>4.- R Vikrant 0070117-OT_258973  Reencauche F101-00020129 IDY2-220</v>
      </c>
      <c r="Z336" s="19" t="str">
        <f>CONCATENATE(I339,J339)</f>
        <v>ReencaucheReencauchadora RENOVA</v>
      </c>
    </row>
    <row r="337" spans="2:26" ht="15.2" customHeight="1">
      <c r="B337" s="37"/>
      <c r="E337" s="3078">
        <v>5</v>
      </c>
      <c r="F337" s="2297" t="s">
        <v>723</v>
      </c>
      <c r="G337" s="68" t="s">
        <v>151</v>
      </c>
      <c r="H337" s="69" t="s">
        <v>3671</v>
      </c>
      <c r="I337" s="2014" t="s">
        <v>726</v>
      </c>
      <c r="J337" s="70" t="s">
        <v>760</v>
      </c>
      <c r="K337" s="2305" t="s">
        <v>3675</v>
      </c>
      <c r="L337" s="72">
        <v>43599</v>
      </c>
      <c r="M337" s="2306" t="s">
        <v>19</v>
      </c>
      <c r="N337" s="74">
        <v>43605</v>
      </c>
      <c r="O337" s="75">
        <v>43605</v>
      </c>
      <c r="P337" s="2765" t="s">
        <v>3676</v>
      </c>
      <c r="Q337" s="2954">
        <v>100.9</v>
      </c>
      <c r="R337" s="76"/>
      <c r="S337" s="1945" t="s">
        <v>731</v>
      </c>
      <c r="T337" s="77" t="s">
        <v>3677</v>
      </c>
      <c r="U337" s="1893"/>
      <c r="V337" s="2079">
        <f t="shared" si="143"/>
        <v>119.062</v>
      </c>
      <c r="W337" s="78">
        <f t="shared" si="144"/>
        <v>0</v>
      </c>
      <c r="X337" s="1878" t="str">
        <f t="shared" si="142"/>
        <v>5.- R WindPower 0150116-OT_258973  Reencauche F101-00020129 IDY2-220</v>
      </c>
      <c r="Z337" s="19" t="str">
        <f t="shared" si="157"/>
        <v>ReencaucheReenc. MASTERCAUCHO</v>
      </c>
    </row>
    <row r="338" spans="2:26" ht="15.2" customHeight="1">
      <c r="B338" s="37"/>
      <c r="E338" s="3083">
        <v>6</v>
      </c>
      <c r="F338" s="2297" t="s">
        <v>723</v>
      </c>
      <c r="G338" s="68" t="s">
        <v>151</v>
      </c>
      <c r="H338" s="69" t="s">
        <v>3670</v>
      </c>
      <c r="I338" s="2014" t="s">
        <v>726</v>
      </c>
      <c r="J338" s="70" t="s">
        <v>760</v>
      </c>
      <c r="K338" s="2305" t="s">
        <v>3675</v>
      </c>
      <c r="L338" s="72">
        <v>43599</v>
      </c>
      <c r="M338" s="2306" t="s">
        <v>19</v>
      </c>
      <c r="N338" s="74">
        <v>43605</v>
      </c>
      <c r="O338" s="75">
        <v>43605</v>
      </c>
      <c r="P338" s="2765" t="s">
        <v>3676</v>
      </c>
      <c r="Q338" s="2954">
        <v>100.9</v>
      </c>
      <c r="R338" s="76"/>
      <c r="S338" s="1945" t="s">
        <v>731</v>
      </c>
      <c r="T338" s="77" t="s">
        <v>3677</v>
      </c>
      <c r="U338" s="1893"/>
      <c r="V338" s="2079">
        <f t="shared" si="143"/>
        <v>119.062</v>
      </c>
      <c r="W338" s="78">
        <f t="shared" si="144"/>
        <v>0</v>
      </c>
      <c r="X338" s="1878" t="str">
        <f t="shared" si="142"/>
        <v>6.- R WindPower 0270316-OT_258973  Reencauche F101-00020129 IDY2-220</v>
      </c>
      <c r="Z338" s="19" t="str">
        <f t="shared" si="157"/>
        <v>Casc 2a trnsplReenc. MASTERCAUCHO</v>
      </c>
    </row>
    <row r="339" spans="2:26" ht="15.2" customHeight="1">
      <c r="B339" s="37"/>
      <c r="E339" s="79">
        <v>3</v>
      </c>
      <c r="F339" s="2294" t="s">
        <v>723</v>
      </c>
      <c r="G339" s="81" t="s">
        <v>151</v>
      </c>
      <c r="H339" s="82" t="s">
        <v>3672</v>
      </c>
      <c r="I339" s="2015" t="s">
        <v>726</v>
      </c>
      <c r="J339" s="83" t="s">
        <v>760</v>
      </c>
      <c r="K339" s="2295" t="s">
        <v>3675</v>
      </c>
      <c r="L339" s="85">
        <v>43599</v>
      </c>
      <c r="M339" s="2296" t="s">
        <v>19</v>
      </c>
      <c r="N339" s="87">
        <v>43605</v>
      </c>
      <c r="O339" s="88">
        <f>+N339</f>
        <v>43605</v>
      </c>
      <c r="P339" s="2766" t="s">
        <v>3678</v>
      </c>
      <c r="Q339" s="2955">
        <v>0</v>
      </c>
      <c r="R339" s="89"/>
      <c r="S339" s="1946" t="s">
        <v>731</v>
      </c>
      <c r="T339" s="77" t="s">
        <v>3612</v>
      </c>
      <c r="U339" s="1893"/>
      <c r="V339" s="2079">
        <f t="shared" si="143"/>
        <v>0</v>
      </c>
      <c r="W339" s="78">
        <f t="shared" si="144"/>
        <v>0</v>
      </c>
      <c r="X339" s="1878" t="str">
        <f t="shared" si="142"/>
        <v>3.- R WindPower 0560915-OT_258973  Reencauche G030-0080317 RECHAZO No apto para reencauche</v>
      </c>
      <c r="Z339" s="19" t="str">
        <f t="shared" si="157"/>
        <v>Casc 2a trnsplReenc. MASTERCAUCHO</v>
      </c>
    </row>
    <row r="340" spans="2:26" ht="15.2" customHeight="1">
      <c r="B340" s="37"/>
      <c r="E340" s="3078">
        <v>1</v>
      </c>
      <c r="F340" s="2297" t="s">
        <v>723</v>
      </c>
      <c r="G340" s="68" t="s">
        <v>151</v>
      </c>
      <c r="H340" s="69" t="s">
        <v>3681</v>
      </c>
      <c r="I340" s="2014" t="s">
        <v>726</v>
      </c>
      <c r="J340" s="70" t="s">
        <v>727</v>
      </c>
      <c r="K340" s="2305" t="s">
        <v>3669</v>
      </c>
      <c r="L340" s="72">
        <v>43599</v>
      </c>
      <c r="M340" s="2306" t="s">
        <v>19</v>
      </c>
      <c r="N340" s="74">
        <v>43608</v>
      </c>
      <c r="O340" s="75">
        <f t="shared" ref="O340:O358" si="158">+N340</f>
        <v>43608</v>
      </c>
      <c r="P340" s="2765" t="s">
        <v>3682</v>
      </c>
      <c r="Q340" s="2954"/>
      <c r="R340" s="76">
        <v>279.661</v>
      </c>
      <c r="S340" s="1945" t="s">
        <v>731</v>
      </c>
      <c r="T340" s="77" t="s">
        <v>2712</v>
      </c>
      <c r="U340" s="1893"/>
      <c r="V340" s="2079">
        <f t="shared" si="143"/>
        <v>0</v>
      </c>
      <c r="W340" s="78">
        <f t="shared" si="144"/>
        <v>329.99997999999999</v>
      </c>
      <c r="X340" s="1878" t="str">
        <f t="shared" si="142"/>
        <v>1.- R WindPower 0901215-OT_012161  Reencauche F001-0002529 MDY-220</v>
      </c>
      <c r="Z340" s="19" t="str">
        <f t="shared" si="157"/>
        <v>Casc 2a trnsplReenc. MASTERCAUCHO</v>
      </c>
    </row>
    <row r="341" spans="2:26" ht="15.2" customHeight="1">
      <c r="B341" s="37"/>
      <c r="E341" s="2700">
        <v>2</v>
      </c>
      <c r="F341" s="3131" t="s">
        <v>723</v>
      </c>
      <c r="G341" s="2263" t="s">
        <v>825</v>
      </c>
      <c r="H341" s="2265" t="s">
        <v>3691</v>
      </c>
      <c r="I341" s="3178" t="s">
        <v>3224</v>
      </c>
      <c r="J341" s="2266" t="s">
        <v>727</v>
      </c>
      <c r="K341" s="3133" t="s">
        <v>857</v>
      </c>
      <c r="L341" s="2268"/>
      <c r="M341" s="3122" t="s">
        <v>729</v>
      </c>
      <c r="N341" s="2270">
        <v>43588</v>
      </c>
      <c r="O341" s="2271">
        <f t="shared" si="158"/>
        <v>43588</v>
      </c>
      <c r="P341" s="2777" t="s">
        <v>3636</v>
      </c>
      <c r="Q341" s="2956"/>
      <c r="R341" s="2272">
        <v>211.86439999999999</v>
      </c>
      <c r="S341" s="2273" t="s">
        <v>731</v>
      </c>
      <c r="T341" s="2274" t="s">
        <v>3700</v>
      </c>
      <c r="U341" s="1893"/>
      <c r="V341" s="2079">
        <f t="shared" si="143"/>
        <v>0</v>
      </c>
      <c r="W341" s="78">
        <f t="shared" si="144"/>
        <v>249.99999199999996</v>
      </c>
      <c r="X341" s="1878" t="str">
        <f t="shared" si="142"/>
        <v>2.- R Falken 8140519 -OT_S/D  Casc 2a trnspl F001-00002297 Falken RX128 4513 Japon</v>
      </c>
      <c r="Z341" s="19" t="str">
        <f t="shared" si="157"/>
        <v>Casc 2a trnsplReenc. MASTERCAUCHO</v>
      </c>
    </row>
    <row r="342" spans="2:26" ht="15.2" customHeight="1">
      <c r="B342" s="37"/>
      <c r="E342" s="2700">
        <v>3</v>
      </c>
      <c r="F342" s="3131" t="s">
        <v>723</v>
      </c>
      <c r="G342" s="2263" t="s">
        <v>3701</v>
      </c>
      <c r="H342" s="2265" t="s">
        <v>3693</v>
      </c>
      <c r="I342" s="3178" t="s">
        <v>3224</v>
      </c>
      <c r="J342" s="2266" t="s">
        <v>727</v>
      </c>
      <c r="K342" s="3133" t="s">
        <v>857</v>
      </c>
      <c r="L342" s="2268"/>
      <c r="M342" s="3122" t="s">
        <v>729</v>
      </c>
      <c r="N342" s="2270">
        <v>43588</v>
      </c>
      <c r="O342" s="2271">
        <f t="shared" si="158"/>
        <v>43588</v>
      </c>
      <c r="P342" s="2777" t="s">
        <v>3636</v>
      </c>
      <c r="Q342" s="2956"/>
      <c r="R342" s="2272">
        <v>211.86439999999999</v>
      </c>
      <c r="S342" s="2273" t="s">
        <v>731</v>
      </c>
      <c r="T342" s="2274" t="s">
        <v>3692</v>
      </c>
      <c r="U342" s="1893"/>
      <c r="V342" s="2079">
        <f t="shared" si="143"/>
        <v>0</v>
      </c>
      <c r="W342" s="78">
        <f t="shared" si="144"/>
        <v>249.99999199999996</v>
      </c>
      <c r="X342" s="1878" t="str">
        <f t="shared" si="142"/>
        <v>3.- R Double Star  8150519 -OT_S/D  Casc 2a trnspl F001-00002297 Double Star DSR266 1113 China</v>
      </c>
      <c r="Z342" s="19" t="str">
        <f t="shared" si="157"/>
        <v>Casc 2a trnsplReenc. MASTERCAUCHO</v>
      </c>
    </row>
    <row r="343" spans="2:26" ht="15.2" customHeight="1">
      <c r="B343" s="37"/>
      <c r="E343" s="2700">
        <v>4</v>
      </c>
      <c r="F343" s="3131" t="s">
        <v>723</v>
      </c>
      <c r="G343" s="2263" t="s">
        <v>3029</v>
      </c>
      <c r="H343" s="2265" t="s">
        <v>3695</v>
      </c>
      <c r="I343" s="3178" t="s">
        <v>3224</v>
      </c>
      <c r="J343" s="2266" t="s">
        <v>727</v>
      </c>
      <c r="K343" s="3133" t="s">
        <v>857</v>
      </c>
      <c r="L343" s="2268"/>
      <c r="M343" s="3122" t="s">
        <v>729</v>
      </c>
      <c r="N343" s="2270">
        <v>43588</v>
      </c>
      <c r="O343" s="2271">
        <f t="shared" si="158"/>
        <v>43588</v>
      </c>
      <c r="P343" s="2777" t="s">
        <v>3636</v>
      </c>
      <c r="Q343" s="2956"/>
      <c r="R343" s="2272">
        <v>211.86439999999999</v>
      </c>
      <c r="S343" s="2273" t="s">
        <v>731</v>
      </c>
      <c r="T343" s="2274" t="s">
        <v>3694</v>
      </c>
      <c r="U343" s="1893"/>
      <c r="V343" s="2079">
        <f t="shared" si="143"/>
        <v>0</v>
      </c>
      <c r="W343" s="78">
        <f t="shared" si="144"/>
        <v>249.99999199999996</v>
      </c>
      <c r="X343" s="1878" t="str">
        <f t="shared" si="142"/>
        <v>4.- R Triangle 8160519 -OT_S/D  Casc 2a trnspl F001-00002297 Triangle TR668 3215 China</v>
      </c>
      <c r="Z343" s="19" t="str">
        <f t="shared" si="157"/>
        <v>Sacar_BandaReenc. MASTERCAUCHO</v>
      </c>
    </row>
    <row r="344" spans="2:26" ht="15.2" customHeight="1">
      <c r="B344" s="37"/>
      <c r="E344" s="2700">
        <v>5</v>
      </c>
      <c r="F344" s="3131" t="s">
        <v>723</v>
      </c>
      <c r="G344" s="2263" t="s">
        <v>3702</v>
      </c>
      <c r="H344" s="2265" t="s">
        <v>3697</v>
      </c>
      <c r="I344" s="3178" t="s">
        <v>3224</v>
      </c>
      <c r="J344" s="2266" t="s">
        <v>727</v>
      </c>
      <c r="K344" s="3133" t="s">
        <v>857</v>
      </c>
      <c r="L344" s="2268"/>
      <c r="M344" s="3122" t="s">
        <v>729</v>
      </c>
      <c r="N344" s="2270">
        <v>43588</v>
      </c>
      <c r="O344" s="2271">
        <f t="shared" si="158"/>
        <v>43588</v>
      </c>
      <c r="P344" s="2777" t="s">
        <v>3636</v>
      </c>
      <c r="Q344" s="2956"/>
      <c r="R344" s="2272">
        <v>211.86439999999999</v>
      </c>
      <c r="S344" s="2273" t="s">
        <v>731</v>
      </c>
      <c r="T344" s="2274" t="s">
        <v>3696</v>
      </c>
      <c r="U344" s="1893"/>
      <c r="V344" s="2079">
        <f t="shared" si="143"/>
        <v>0</v>
      </c>
      <c r="W344" s="78">
        <f t="shared" si="144"/>
        <v>249.99999199999996</v>
      </c>
      <c r="X344" s="1878" t="str">
        <f t="shared" si="142"/>
        <v>5.- R Ovation  8170519 -OT_S/D  Casc 2a trnspl F001-00002297 Ovation VI702 4815 China</v>
      </c>
      <c r="Z344" s="19" t="str">
        <f t="shared" si="157"/>
        <v>Sacar_BandaReenc. MASTERCAUCHO</v>
      </c>
    </row>
    <row r="345" spans="2:26" ht="15.2" customHeight="1">
      <c r="B345" s="37"/>
      <c r="E345" s="2700">
        <v>6</v>
      </c>
      <c r="F345" s="3131" t="s">
        <v>723</v>
      </c>
      <c r="G345" s="2263" t="s">
        <v>3702</v>
      </c>
      <c r="H345" s="2265" t="s">
        <v>3699</v>
      </c>
      <c r="I345" s="3178" t="s">
        <v>3224</v>
      </c>
      <c r="J345" s="2266" t="s">
        <v>727</v>
      </c>
      <c r="K345" s="3133" t="s">
        <v>857</v>
      </c>
      <c r="L345" s="2268"/>
      <c r="M345" s="3122" t="s">
        <v>729</v>
      </c>
      <c r="N345" s="2270">
        <v>43588</v>
      </c>
      <c r="O345" s="2271">
        <f t="shared" si="158"/>
        <v>43588</v>
      </c>
      <c r="P345" s="2777" t="s">
        <v>3636</v>
      </c>
      <c r="Q345" s="2956"/>
      <c r="R345" s="2272">
        <v>211.86439999999999</v>
      </c>
      <c r="S345" s="2273" t="s">
        <v>731</v>
      </c>
      <c r="T345" s="2274" t="s">
        <v>3698</v>
      </c>
      <c r="U345" s="1893"/>
      <c r="V345" s="2079">
        <f t="shared" si="143"/>
        <v>0</v>
      </c>
      <c r="W345" s="78">
        <f t="shared" si="144"/>
        <v>249.99999199999996</v>
      </c>
      <c r="X345" s="1878" t="str">
        <f t="shared" si="142"/>
        <v>6.- R Ovation  8180519 -OT_S/D  Casc 2a trnspl F001-00002297 Ovation VI702 4915 China</v>
      </c>
      <c r="Z345" s="19" t="str">
        <f t="shared" si="157"/>
        <v>Sacar_BandaReenc. MASTERCAUCHO</v>
      </c>
    </row>
    <row r="346" spans="2:26" ht="15.2" customHeight="1">
      <c r="B346" s="37"/>
      <c r="E346" s="3078">
        <v>7</v>
      </c>
      <c r="F346" s="2297" t="s">
        <v>732</v>
      </c>
      <c r="G346" s="68" t="s">
        <v>551</v>
      </c>
      <c r="H346" s="69" t="s">
        <v>2781</v>
      </c>
      <c r="I346" s="2014" t="s">
        <v>744</v>
      </c>
      <c r="J346" s="70" t="s">
        <v>727</v>
      </c>
      <c r="K346" s="2305" t="s">
        <v>3669</v>
      </c>
      <c r="L346" s="72">
        <v>43599</v>
      </c>
      <c r="M346" s="73" t="s">
        <v>729</v>
      </c>
      <c r="N346" s="74">
        <v>43588</v>
      </c>
      <c r="O346" s="75">
        <f t="shared" si="158"/>
        <v>43588</v>
      </c>
      <c r="P346" s="2765" t="s">
        <v>3703</v>
      </c>
      <c r="Q346" s="2954"/>
      <c r="R346" s="76">
        <v>0</v>
      </c>
      <c r="S346" s="1945" t="s">
        <v>731</v>
      </c>
      <c r="T346" s="77" t="s">
        <v>2753</v>
      </c>
      <c r="U346" s="1893"/>
      <c r="V346" s="2079">
        <f t="shared" si="143"/>
        <v>0</v>
      </c>
      <c r="W346" s="78">
        <f t="shared" si="144"/>
        <v>0</v>
      </c>
      <c r="X346" s="1878" t="str">
        <f t="shared" si="142"/>
        <v>7.- C MRF 8110517-OT_012161  Sacar_Banda EG01-1069 Casco pelado</v>
      </c>
      <c r="Z346" s="19" t="str">
        <f t="shared" si="157"/>
        <v>Sacar_BandaReenc. MASTERCAUCHO</v>
      </c>
    </row>
    <row r="347" spans="2:26" ht="15.2" customHeight="1">
      <c r="B347" s="37"/>
      <c r="E347" s="3078">
        <v>8</v>
      </c>
      <c r="F347" s="2297" t="s">
        <v>732</v>
      </c>
      <c r="G347" s="68" t="s">
        <v>551</v>
      </c>
      <c r="H347" s="69" t="s">
        <v>3668</v>
      </c>
      <c r="I347" s="2014" t="s">
        <v>744</v>
      </c>
      <c r="J347" s="70" t="s">
        <v>727</v>
      </c>
      <c r="K347" s="2305" t="s">
        <v>3669</v>
      </c>
      <c r="L347" s="72">
        <v>43599</v>
      </c>
      <c r="M347" s="73" t="s">
        <v>729</v>
      </c>
      <c r="N347" s="74">
        <v>43588</v>
      </c>
      <c r="O347" s="75">
        <f t="shared" si="158"/>
        <v>43588</v>
      </c>
      <c r="P347" s="2765" t="s">
        <v>3703</v>
      </c>
      <c r="Q347" s="2954"/>
      <c r="R347" s="76">
        <v>0</v>
      </c>
      <c r="S347" s="1945" t="s">
        <v>731</v>
      </c>
      <c r="T347" s="77" t="s">
        <v>2753</v>
      </c>
      <c r="U347" s="1893"/>
      <c r="V347" s="2079">
        <f t="shared" si="143"/>
        <v>0</v>
      </c>
      <c r="W347" s="78">
        <f t="shared" si="144"/>
        <v>0</v>
      </c>
      <c r="X347" s="1878" t="str">
        <f t="shared" si="142"/>
        <v>8.- C MRF 8060115-OT_012161  Sacar_Banda EG01-1069 Casco pelado</v>
      </c>
      <c r="Z347" s="19" t="str">
        <f t="shared" si="157"/>
        <v>Sacar_BandaReenc. MASTERCAUCHO</v>
      </c>
    </row>
    <row r="348" spans="2:26" ht="15.2" customHeight="1">
      <c r="B348" s="37"/>
      <c r="E348" s="3078">
        <v>9</v>
      </c>
      <c r="F348" s="2297" t="s">
        <v>732</v>
      </c>
      <c r="G348" s="68" t="s">
        <v>551</v>
      </c>
      <c r="H348" s="69" t="s">
        <v>2698</v>
      </c>
      <c r="I348" s="2014" t="s">
        <v>744</v>
      </c>
      <c r="J348" s="70" t="s">
        <v>727</v>
      </c>
      <c r="K348" s="2305" t="s">
        <v>3669</v>
      </c>
      <c r="L348" s="72">
        <v>43599</v>
      </c>
      <c r="M348" s="73" t="s">
        <v>729</v>
      </c>
      <c r="N348" s="74">
        <v>43588</v>
      </c>
      <c r="O348" s="75">
        <f t="shared" si="158"/>
        <v>43588</v>
      </c>
      <c r="P348" s="2765" t="s">
        <v>3703</v>
      </c>
      <c r="Q348" s="2954"/>
      <c r="R348" s="76">
        <v>0</v>
      </c>
      <c r="S348" s="1945" t="s">
        <v>731</v>
      </c>
      <c r="T348" s="77" t="s">
        <v>2753</v>
      </c>
      <c r="U348" s="1893"/>
      <c r="V348" s="2079">
        <f t="shared" si="143"/>
        <v>0</v>
      </c>
      <c r="W348" s="78">
        <f t="shared" si="144"/>
        <v>0</v>
      </c>
      <c r="X348" s="1878" t="str">
        <f t="shared" si="142"/>
        <v>9.- C MRF 8100316-OT_012161  Sacar_Banda EG01-1069 Casco pelado</v>
      </c>
      <c r="Z348" s="19" t="str">
        <f t="shared" si="157"/>
        <v>ReencaucheReencauchadora RENOVA</v>
      </c>
    </row>
    <row r="349" spans="2:26" ht="15.2" customHeight="1">
      <c r="B349" s="37"/>
      <c r="E349" s="3078">
        <v>10</v>
      </c>
      <c r="F349" s="2297" t="s">
        <v>723</v>
      </c>
      <c r="G349" s="68" t="s">
        <v>724</v>
      </c>
      <c r="H349" s="69" t="s">
        <v>750</v>
      </c>
      <c r="I349" s="2014" t="s">
        <v>744</v>
      </c>
      <c r="J349" s="70" t="s">
        <v>727</v>
      </c>
      <c r="K349" s="2305" t="s">
        <v>3669</v>
      </c>
      <c r="L349" s="72">
        <v>43599</v>
      </c>
      <c r="M349" s="73" t="s">
        <v>729</v>
      </c>
      <c r="N349" s="74">
        <v>43588</v>
      </c>
      <c r="O349" s="75">
        <f t="shared" si="158"/>
        <v>43588</v>
      </c>
      <c r="P349" s="2765" t="s">
        <v>3703</v>
      </c>
      <c r="Q349" s="2954"/>
      <c r="R349" s="76">
        <v>0</v>
      </c>
      <c r="S349" s="1945" t="s">
        <v>731</v>
      </c>
      <c r="T349" s="77" t="s">
        <v>2753</v>
      </c>
      <c r="U349" s="1893"/>
      <c r="V349" s="2079">
        <f t="shared" si="143"/>
        <v>0</v>
      </c>
      <c r="W349" s="78">
        <f t="shared" si="144"/>
        <v>0</v>
      </c>
      <c r="X349" s="1878" t="str">
        <f t="shared" si="142"/>
        <v>10.- R Aeolus 0270912-OT_012161  Sacar_Banda EG01-1069 Casco pelado</v>
      </c>
      <c r="Z349" s="19" t="str">
        <f t="shared" si="157"/>
        <v>ReencaucheReencauchadora RENOVA</v>
      </c>
    </row>
    <row r="350" spans="2:26" ht="15.2" customHeight="1">
      <c r="B350" s="37"/>
      <c r="E350" s="79">
        <v>11</v>
      </c>
      <c r="F350" s="2294" t="s">
        <v>723</v>
      </c>
      <c r="G350" s="81" t="s">
        <v>3005</v>
      </c>
      <c r="H350" s="82" t="s">
        <v>3003</v>
      </c>
      <c r="I350" s="2015" t="s">
        <v>744</v>
      </c>
      <c r="J350" s="83" t="s">
        <v>727</v>
      </c>
      <c r="K350" s="2295" t="s">
        <v>3669</v>
      </c>
      <c r="L350" s="85">
        <v>43599</v>
      </c>
      <c r="M350" s="86" t="s">
        <v>729</v>
      </c>
      <c r="N350" s="87">
        <v>43588</v>
      </c>
      <c r="O350" s="88">
        <f t="shared" si="158"/>
        <v>43588</v>
      </c>
      <c r="P350" s="2766" t="s">
        <v>3703</v>
      </c>
      <c r="Q350" s="2955"/>
      <c r="R350" s="89">
        <v>0</v>
      </c>
      <c r="S350" s="1946" t="s">
        <v>731</v>
      </c>
      <c r="T350" s="77" t="s">
        <v>2753</v>
      </c>
      <c r="U350" s="1893"/>
      <c r="V350" s="2079">
        <f t="shared" si="143"/>
        <v>0</v>
      </c>
      <c r="W350" s="78">
        <f t="shared" si="144"/>
        <v>0</v>
      </c>
      <c r="X350" s="1878" t="str">
        <f t="shared" si="142"/>
        <v>11.- R KAPSEN 8100418-OT_012161  Sacar_Banda EG01-1069 Casco pelado</v>
      </c>
      <c r="Z350" s="19" t="str">
        <f t="shared" si="157"/>
        <v>ReencaucheReencauchadora RENOVA</v>
      </c>
    </row>
    <row r="351" spans="2:26" ht="15.2" customHeight="1">
      <c r="B351" s="37"/>
      <c r="E351" s="3079">
        <v>1</v>
      </c>
      <c r="F351" s="2297" t="s">
        <v>723</v>
      </c>
      <c r="G351" s="68" t="s">
        <v>724</v>
      </c>
      <c r="H351" s="69" t="s">
        <v>3648</v>
      </c>
      <c r="I351" s="2014" t="s">
        <v>726</v>
      </c>
      <c r="J351" s="70" t="s">
        <v>760</v>
      </c>
      <c r="K351" s="2305" t="s">
        <v>3649</v>
      </c>
      <c r="L351" s="72">
        <v>43593</v>
      </c>
      <c r="M351" s="2306" t="s">
        <v>729</v>
      </c>
      <c r="N351" s="74">
        <v>43596</v>
      </c>
      <c r="O351" s="75">
        <f t="shared" si="158"/>
        <v>43596</v>
      </c>
      <c r="P351" s="2765" t="s">
        <v>3656</v>
      </c>
      <c r="Q351" s="2954">
        <v>100.9</v>
      </c>
      <c r="R351" s="76"/>
      <c r="S351" s="1945" t="s">
        <v>731</v>
      </c>
      <c r="T351" s="77" t="s">
        <v>2570</v>
      </c>
      <c r="U351" s="1893"/>
      <c r="V351" s="2079">
        <f t="shared" si="143"/>
        <v>119.062</v>
      </c>
      <c r="W351" s="78">
        <f t="shared" si="144"/>
        <v>0</v>
      </c>
      <c r="X351" s="1878" t="str">
        <f t="shared" si="142"/>
        <v>1.- R Aeolus 0400615-OT_258957  Reencauche F101-00020041 IDY3-220</v>
      </c>
      <c r="Z351" s="19" t="str">
        <f t="shared" si="157"/>
        <v>ReencaucheReencauchadora RENOVA</v>
      </c>
    </row>
    <row r="352" spans="2:26" ht="15.2" customHeight="1">
      <c r="B352" s="37"/>
      <c r="E352" s="3079">
        <v>2</v>
      </c>
      <c r="F352" s="2297" t="s">
        <v>723</v>
      </c>
      <c r="G352" s="68" t="s">
        <v>737</v>
      </c>
      <c r="H352" s="69" t="s">
        <v>3647</v>
      </c>
      <c r="I352" s="2014" t="s">
        <v>726</v>
      </c>
      <c r="J352" s="70" t="s">
        <v>760</v>
      </c>
      <c r="K352" s="2305" t="s">
        <v>3649</v>
      </c>
      <c r="L352" s="72">
        <v>43593</v>
      </c>
      <c r="M352" s="2306" t="s">
        <v>729</v>
      </c>
      <c r="N352" s="74">
        <v>43596</v>
      </c>
      <c r="O352" s="75">
        <v>43535</v>
      </c>
      <c r="P352" s="2765" t="s">
        <v>3656</v>
      </c>
      <c r="Q352" s="2954">
        <v>100.9</v>
      </c>
      <c r="R352" s="76"/>
      <c r="S352" s="1945" t="s">
        <v>731</v>
      </c>
      <c r="T352" s="77" t="s">
        <v>2570</v>
      </c>
      <c r="U352" s="1893"/>
      <c r="V352" s="2079">
        <f t="shared" si="143"/>
        <v>119.062</v>
      </c>
      <c r="W352" s="78">
        <f t="shared" si="144"/>
        <v>0</v>
      </c>
      <c r="X352" s="1878" t="str">
        <f t="shared" si="142"/>
        <v>2.- R Vikrant 0380317-OT_258957  Reencauche F101-00020041 IDY3-220</v>
      </c>
      <c r="Z352" s="19" t="str">
        <f>CONCATENATE(I355,J355)</f>
        <v>ReencaucheReencauchadora RENOVA</v>
      </c>
    </row>
    <row r="353" spans="2:26" ht="15.2" customHeight="1">
      <c r="B353" s="37"/>
      <c r="E353" s="3079">
        <v>3</v>
      </c>
      <c r="F353" s="2297" t="s">
        <v>723</v>
      </c>
      <c r="G353" s="68" t="s">
        <v>737</v>
      </c>
      <c r="H353" s="69" t="s">
        <v>3645</v>
      </c>
      <c r="I353" s="2014" t="s">
        <v>726</v>
      </c>
      <c r="J353" s="70" t="s">
        <v>760</v>
      </c>
      <c r="K353" s="2305" t="s">
        <v>3649</v>
      </c>
      <c r="L353" s="72">
        <v>43593</v>
      </c>
      <c r="M353" s="2306" t="s">
        <v>729</v>
      </c>
      <c r="N353" s="74">
        <v>43596</v>
      </c>
      <c r="O353" s="75">
        <v>43535</v>
      </c>
      <c r="P353" s="2765" t="s">
        <v>3656</v>
      </c>
      <c r="Q353" s="2954">
        <v>100.9</v>
      </c>
      <c r="R353" s="76"/>
      <c r="S353" s="1945" t="s">
        <v>731</v>
      </c>
      <c r="T353" s="77" t="s">
        <v>2570</v>
      </c>
      <c r="U353" s="1893"/>
      <c r="V353" s="2079">
        <f t="shared" si="143"/>
        <v>119.062</v>
      </c>
      <c r="W353" s="78">
        <f t="shared" si="144"/>
        <v>0</v>
      </c>
      <c r="X353" s="1878" t="str">
        <f t="shared" si="142"/>
        <v>3.- R Vikrant 0420518-OT_258957  Reencauche F101-00020041 IDY3-220</v>
      </c>
      <c r="Z353" s="19" t="str">
        <f t="shared" si="157"/>
        <v>ReencaucheReencauchadora RENOVA</v>
      </c>
    </row>
    <row r="354" spans="2:26" ht="15.2" customHeight="1">
      <c r="B354" s="37"/>
      <c r="E354" s="3079">
        <v>4</v>
      </c>
      <c r="F354" s="2297" t="s">
        <v>723</v>
      </c>
      <c r="G354" s="68" t="s">
        <v>724</v>
      </c>
      <c r="H354" s="69" t="s">
        <v>3644</v>
      </c>
      <c r="I354" s="2014" t="s">
        <v>726</v>
      </c>
      <c r="J354" s="70" t="s">
        <v>760</v>
      </c>
      <c r="K354" s="2305" t="s">
        <v>3649</v>
      </c>
      <c r="L354" s="72">
        <v>43593</v>
      </c>
      <c r="M354" s="3081" t="s">
        <v>729</v>
      </c>
      <c r="N354" s="74">
        <v>43596</v>
      </c>
      <c r="O354" s="75">
        <v>43535</v>
      </c>
      <c r="P354" s="2765" t="s">
        <v>3656</v>
      </c>
      <c r="Q354" s="2954">
        <v>100.9</v>
      </c>
      <c r="R354" s="76"/>
      <c r="S354" s="1945" t="s">
        <v>731</v>
      </c>
      <c r="T354" s="77" t="s">
        <v>2570</v>
      </c>
      <c r="U354" s="1893"/>
      <c r="V354" s="2079">
        <f t="shared" si="143"/>
        <v>119.062</v>
      </c>
      <c r="W354" s="78">
        <f t="shared" si="144"/>
        <v>0</v>
      </c>
      <c r="X354" s="1878" t="str">
        <f t="shared" ref="X354:X417" si="159">CONCATENATE(E354,".- ",F354," ",G354," ",H354,"-OT_",K354," "," ",I354," ",P354," ",T354)</f>
        <v>4.- R Aeolus 0380615-OT_258957  Reencauche F101-00020041 IDY3-220</v>
      </c>
      <c r="Z354" s="19" t="str">
        <f t="shared" si="157"/>
        <v>ReencaucheReenc. MASTERCAUCHO</v>
      </c>
    </row>
    <row r="355" spans="2:26" ht="15.2" customHeight="1">
      <c r="B355" s="37"/>
      <c r="E355" s="3120">
        <v>5</v>
      </c>
      <c r="F355" s="2901" t="s">
        <v>723</v>
      </c>
      <c r="G355" s="2902" t="s">
        <v>737</v>
      </c>
      <c r="H355" s="2903" t="s">
        <v>3646</v>
      </c>
      <c r="I355" s="3125" t="s">
        <v>726</v>
      </c>
      <c r="J355" s="2904" t="s">
        <v>760</v>
      </c>
      <c r="K355" s="2905" t="s">
        <v>3649</v>
      </c>
      <c r="L355" s="2906">
        <v>43593</v>
      </c>
      <c r="M355" s="3122" t="s">
        <v>19</v>
      </c>
      <c r="N355" s="2270">
        <v>43605</v>
      </c>
      <c r="O355" s="2271">
        <v>43605</v>
      </c>
      <c r="P355" s="2777" t="s">
        <v>3676</v>
      </c>
      <c r="Q355" s="2956">
        <v>100.9</v>
      </c>
      <c r="R355" s="2272"/>
      <c r="S355" s="2273" t="s">
        <v>731</v>
      </c>
      <c r="T355" s="77" t="s">
        <v>3677</v>
      </c>
      <c r="U355" s="1893"/>
      <c r="V355" s="2079">
        <f t="shared" ref="V355:V418" si="160">+Q355*(1.18)</f>
        <v>119.062</v>
      </c>
      <c r="W355" s="78">
        <f t="shared" ref="W355:W418" si="161">+R355*(1.18)</f>
        <v>0</v>
      </c>
      <c r="X355" s="1878" t="str">
        <f t="shared" si="159"/>
        <v>5.- R Vikrant 0250318-OT_258957  Reencauche F101-00020129 IDY2-220</v>
      </c>
      <c r="Z355" s="19" t="str">
        <f t="shared" si="157"/>
        <v>Vulcanizado (curación)Reenc. MASTERCAUCHO</v>
      </c>
    </row>
    <row r="356" spans="2:26" ht="15.2" customHeight="1">
      <c r="B356" s="37"/>
      <c r="E356" s="3123">
        <v>6</v>
      </c>
      <c r="F356" s="2908" t="s">
        <v>723</v>
      </c>
      <c r="G356" s="2909" t="s">
        <v>724</v>
      </c>
      <c r="H356" s="2910" t="s">
        <v>3643</v>
      </c>
      <c r="I356" s="3124" t="s">
        <v>726</v>
      </c>
      <c r="J356" s="2911" t="s">
        <v>760</v>
      </c>
      <c r="K356" s="2912" t="s">
        <v>3649</v>
      </c>
      <c r="L356" s="2913">
        <v>43593</v>
      </c>
      <c r="M356" s="3126" t="s">
        <v>19</v>
      </c>
      <c r="N356" s="2582">
        <v>43605</v>
      </c>
      <c r="O356" s="2583">
        <v>43605</v>
      </c>
      <c r="P356" s="2941" t="s">
        <v>3676</v>
      </c>
      <c r="Q356" s="2957">
        <v>100.9</v>
      </c>
      <c r="R356" s="2584"/>
      <c r="S356" s="2585" t="s">
        <v>731</v>
      </c>
      <c r="T356" s="77" t="s">
        <v>3677</v>
      </c>
      <c r="U356" s="1893"/>
      <c r="V356" s="2079">
        <f t="shared" si="160"/>
        <v>119.062</v>
      </c>
      <c r="W356" s="78">
        <f t="shared" si="161"/>
        <v>0</v>
      </c>
      <c r="X356" s="1878" t="str">
        <f t="shared" si="159"/>
        <v>6.- R Aeolus 0340615-OT_258957  Reencauche F101-00020129 IDY2-220</v>
      </c>
      <c r="Z356" s="19" t="str">
        <f t="shared" ref="Z356:Z375" si="162">CONCATENATE(I359,J359)</f>
        <v>Vulcanizado (curación)Reenc. MASTERCAUCHO</v>
      </c>
    </row>
    <row r="357" spans="2:26" ht="15.2" customHeight="1">
      <c r="B357" s="37"/>
      <c r="E357" s="3078">
        <v>1</v>
      </c>
      <c r="F357" s="2297" t="s">
        <v>723</v>
      </c>
      <c r="G357" s="68" t="s">
        <v>151</v>
      </c>
      <c r="H357" s="69" t="s">
        <v>2931</v>
      </c>
      <c r="I357" s="2014" t="s">
        <v>726</v>
      </c>
      <c r="J357" s="70" t="s">
        <v>727</v>
      </c>
      <c r="K357" s="2305" t="s">
        <v>3650</v>
      </c>
      <c r="L357" s="72">
        <v>43589</v>
      </c>
      <c r="M357" s="2306" t="s">
        <v>729</v>
      </c>
      <c r="N357" s="74">
        <v>43596</v>
      </c>
      <c r="O357" s="75">
        <f t="shared" si="158"/>
        <v>43596</v>
      </c>
      <c r="P357" s="2765" t="s">
        <v>3654</v>
      </c>
      <c r="Q357" s="2954"/>
      <c r="R357" s="76">
        <v>279.661</v>
      </c>
      <c r="S357" s="1945" t="s">
        <v>731</v>
      </c>
      <c r="T357" s="77" t="s">
        <v>2712</v>
      </c>
      <c r="U357" s="1893"/>
      <c r="V357" s="2079">
        <f t="shared" si="160"/>
        <v>0</v>
      </c>
      <c r="W357" s="78">
        <f t="shared" si="161"/>
        <v>329.99997999999999</v>
      </c>
      <c r="X357" s="1878" t="str">
        <f t="shared" si="159"/>
        <v>1.- R WindPower 0661015-OT_012136  Reencauche F001-00002392 MDY-220</v>
      </c>
      <c r="Z357" s="19" t="str">
        <f t="shared" si="162"/>
        <v>Casc 2a trnsplReenc. MASTERCAUCHO</v>
      </c>
    </row>
    <row r="358" spans="2:26" ht="15.2" customHeight="1">
      <c r="B358" s="37"/>
      <c r="E358" s="3078">
        <v>2</v>
      </c>
      <c r="F358" s="2297" t="s">
        <v>723</v>
      </c>
      <c r="G358" s="68" t="s">
        <v>724</v>
      </c>
      <c r="H358" s="69" t="s">
        <v>3606</v>
      </c>
      <c r="I358" s="3067" t="s">
        <v>811</v>
      </c>
      <c r="J358" s="70" t="s">
        <v>727</v>
      </c>
      <c r="K358" s="2305" t="s">
        <v>3650</v>
      </c>
      <c r="L358" s="72">
        <v>43589</v>
      </c>
      <c r="M358" s="2306" t="s">
        <v>729</v>
      </c>
      <c r="N358" s="74">
        <v>43596</v>
      </c>
      <c r="O358" s="75">
        <f t="shared" si="158"/>
        <v>43596</v>
      </c>
      <c r="P358" s="2765" t="s">
        <v>3654</v>
      </c>
      <c r="Q358" s="2954"/>
      <c r="R358" s="76">
        <v>84.745699999999999</v>
      </c>
      <c r="S358" s="1945" t="s">
        <v>731</v>
      </c>
      <c r="T358" s="77" t="s">
        <v>3229</v>
      </c>
      <c r="U358" s="1893"/>
      <c r="V358" s="2079">
        <f t="shared" si="160"/>
        <v>0</v>
      </c>
      <c r="W358" s="78">
        <f t="shared" si="161"/>
        <v>99.999925999999988</v>
      </c>
      <c r="X358" s="1878" t="str">
        <f t="shared" si="159"/>
        <v>2.- R Aeolus 0320516-OT_012136  Vulcanizado (curación) F001-00002392 Corte lateral</v>
      </c>
      <c r="Z358" s="19" t="str">
        <f t="shared" ref="Z358:Z359" si="163">CONCATENATE(I361,J361)</f>
        <v>Casc 2a trnsplReenc. MASTERCAUCHO</v>
      </c>
    </row>
    <row r="359" spans="2:26" ht="15.2" customHeight="1">
      <c r="B359" s="37"/>
      <c r="E359" s="3070">
        <v>3</v>
      </c>
      <c r="F359" s="2297" t="s">
        <v>723</v>
      </c>
      <c r="G359" s="68" t="s">
        <v>724</v>
      </c>
      <c r="H359" s="69" t="s">
        <v>3605</v>
      </c>
      <c r="I359" s="3067" t="s">
        <v>811</v>
      </c>
      <c r="J359" s="70" t="s">
        <v>727</v>
      </c>
      <c r="K359" s="2305" t="s">
        <v>3650</v>
      </c>
      <c r="L359" s="72">
        <v>43589</v>
      </c>
      <c r="M359" s="2306" t="s">
        <v>729</v>
      </c>
      <c r="N359" s="74">
        <v>43596</v>
      </c>
      <c r="O359" s="75">
        <f t="shared" ref="O359:O378" si="164">+N359</f>
        <v>43596</v>
      </c>
      <c r="P359" s="2765" t="s">
        <v>3654</v>
      </c>
      <c r="Q359" s="2954"/>
      <c r="R359" s="76">
        <v>84.745699999999999</v>
      </c>
      <c r="S359" s="1945" t="s">
        <v>731</v>
      </c>
      <c r="T359" s="77" t="s">
        <v>3229</v>
      </c>
      <c r="U359" s="1893"/>
      <c r="V359" s="2079">
        <f t="shared" si="160"/>
        <v>0</v>
      </c>
      <c r="W359" s="78">
        <f t="shared" si="161"/>
        <v>99.999925999999988</v>
      </c>
      <c r="X359" s="1878" t="str">
        <f t="shared" si="159"/>
        <v>3.- R Aeolus 0421114-OT_012136  Vulcanizado (curación) F001-00002392 Corte lateral</v>
      </c>
      <c r="Z359" s="19" t="str">
        <f t="shared" si="163"/>
        <v>Sacar_BandaReenc. MASTERCAUCHO</v>
      </c>
    </row>
    <row r="360" spans="2:26" ht="15.2" customHeight="1">
      <c r="B360" s="37"/>
      <c r="E360" s="2700">
        <v>4</v>
      </c>
      <c r="F360" s="2901" t="s">
        <v>723</v>
      </c>
      <c r="G360" s="2902" t="s">
        <v>3659</v>
      </c>
      <c r="H360" s="2903" t="s">
        <v>3657</v>
      </c>
      <c r="I360" s="3125" t="s">
        <v>3224</v>
      </c>
      <c r="J360" s="2904" t="s">
        <v>727</v>
      </c>
      <c r="K360" s="2905" t="s">
        <v>857</v>
      </c>
      <c r="L360" s="2906"/>
      <c r="M360" s="3122" t="s">
        <v>19</v>
      </c>
      <c r="N360" s="2270">
        <v>43599</v>
      </c>
      <c r="O360" s="2271">
        <f t="shared" si="164"/>
        <v>43599</v>
      </c>
      <c r="P360" s="2777" t="s">
        <v>3667</v>
      </c>
      <c r="Q360" s="2956"/>
      <c r="R360" s="2272">
        <v>211.86439999999999</v>
      </c>
      <c r="S360" s="2273" t="s">
        <v>731</v>
      </c>
      <c r="T360" s="77" t="s">
        <v>3665</v>
      </c>
      <c r="U360" s="1893"/>
      <c r="V360" s="2079">
        <f t="shared" si="160"/>
        <v>0</v>
      </c>
      <c r="W360" s="78">
        <f t="shared" si="161"/>
        <v>249.99999199999996</v>
      </c>
      <c r="X360" s="1878" t="str">
        <f t="shared" si="159"/>
        <v>4.- R Turnpike 8120519-OT_S/D  Casc 2a trnspl F001-00002414 Turnpike TB878 3116 China</v>
      </c>
      <c r="Z360" s="19" t="str">
        <f t="shared" si="162"/>
        <v>Sacar_BandaReenc. MASTERCAUCHO</v>
      </c>
    </row>
    <row r="361" spans="2:26" ht="15.2" customHeight="1">
      <c r="B361" s="37"/>
      <c r="E361" s="2700">
        <v>5</v>
      </c>
      <c r="F361" s="2901" t="s">
        <v>723</v>
      </c>
      <c r="G361" s="2902" t="s">
        <v>3662</v>
      </c>
      <c r="H361" s="2903" t="s">
        <v>3658</v>
      </c>
      <c r="I361" s="3125" t="s">
        <v>3224</v>
      </c>
      <c r="J361" s="2904" t="s">
        <v>727</v>
      </c>
      <c r="K361" s="2905" t="s">
        <v>857</v>
      </c>
      <c r="L361" s="2906"/>
      <c r="M361" s="3122" t="s">
        <v>19</v>
      </c>
      <c r="N361" s="2270">
        <v>43599</v>
      </c>
      <c r="O361" s="2271">
        <f t="shared" ref="O361:O362" si="165">+N361</f>
        <v>43599</v>
      </c>
      <c r="P361" s="2777" t="s">
        <v>3667</v>
      </c>
      <c r="Q361" s="2956"/>
      <c r="R361" s="2272">
        <v>211.86439999999999</v>
      </c>
      <c r="S361" s="2273" t="s">
        <v>731</v>
      </c>
      <c r="T361" s="77" t="s">
        <v>3666</v>
      </c>
      <c r="U361" s="1893"/>
      <c r="V361" s="2079">
        <f t="shared" si="160"/>
        <v>0</v>
      </c>
      <c r="W361" s="78">
        <f t="shared" si="161"/>
        <v>249.99999199999996</v>
      </c>
      <c r="X361" s="1878" t="str">
        <f t="shared" si="159"/>
        <v>5.- R Techking 8130519-OT_S/D  Casc 2a trnspl F001-00002414 Techking TKDM III 1816 China</v>
      </c>
      <c r="Z361" s="19" t="str">
        <f t="shared" si="162"/>
        <v>ReencaucheReenc. MASTERCAUCHO</v>
      </c>
    </row>
    <row r="362" spans="2:26" ht="15.2" customHeight="1">
      <c r="B362" s="37"/>
      <c r="E362" s="3079">
        <v>6</v>
      </c>
      <c r="F362" s="2297" t="s">
        <v>723</v>
      </c>
      <c r="G362" s="68" t="s">
        <v>737</v>
      </c>
      <c r="H362" s="69" t="s">
        <v>3474</v>
      </c>
      <c r="I362" s="2014" t="s">
        <v>744</v>
      </c>
      <c r="J362" s="70" t="s">
        <v>727</v>
      </c>
      <c r="K362" s="2305" t="s">
        <v>3650</v>
      </c>
      <c r="L362" s="72">
        <v>43589</v>
      </c>
      <c r="M362" s="2306" t="s">
        <v>729</v>
      </c>
      <c r="N362" s="74">
        <v>43596</v>
      </c>
      <c r="O362" s="75">
        <f t="shared" si="165"/>
        <v>43596</v>
      </c>
      <c r="P362" s="2765" t="s">
        <v>3655</v>
      </c>
      <c r="Q362" s="2954"/>
      <c r="R362" s="76">
        <v>0</v>
      </c>
      <c r="S362" s="1945" t="s">
        <v>731</v>
      </c>
      <c r="T362" s="77" t="s">
        <v>2753</v>
      </c>
      <c r="U362" s="1893"/>
      <c r="V362" s="2079">
        <f t="shared" si="160"/>
        <v>0</v>
      </c>
      <c r="W362" s="78">
        <f t="shared" si="161"/>
        <v>0</v>
      </c>
      <c r="X362" s="1878" t="str">
        <f t="shared" si="159"/>
        <v>6.- R Vikrant 1141217-OT_012136  Sacar_Banda EG01-1008 Casco pelado</v>
      </c>
      <c r="Z362" s="19" t="str">
        <f t="shared" si="162"/>
        <v>ReencaucheReenc. MASTERCAUCHO</v>
      </c>
    </row>
    <row r="363" spans="2:26" ht="15.2" customHeight="1">
      <c r="B363" s="37"/>
      <c r="E363" s="79">
        <v>7</v>
      </c>
      <c r="F363" s="2294" t="s">
        <v>732</v>
      </c>
      <c r="G363" s="81" t="s">
        <v>733</v>
      </c>
      <c r="H363" s="82" t="s">
        <v>1259</v>
      </c>
      <c r="I363" s="2015" t="s">
        <v>744</v>
      </c>
      <c r="J363" s="83" t="s">
        <v>727</v>
      </c>
      <c r="K363" s="2295" t="s">
        <v>3650</v>
      </c>
      <c r="L363" s="85">
        <v>43589</v>
      </c>
      <c r="M363" s="2296" t="s">
        <v>729</v>
      </c>
      <c r="N363" s="87">
        <v>43596</v>
      </c>
      <c r="O363" s="88">
        <f t="shared" si="164"/>
        <v>43596</v>
      </c>
      <c r="P363" s="2766" t="s">
        <v>3655</v>
      </c>
      <c r="Q363" s="2955"/>
      <c r="R363" s="89">
        <v>0</v>
      </c>
      <c r="S363" s="1946" t="s">
        <v>731</v>
      </c>
      <c r="T363" s="77" t="s">
        <v>2753</v>
      </c>
      <c r="U363" s="1893"/>
      <c r="V363" s="2079">
        <f t="shared" si="160"/>
        <v>0</v>
      </c>
      <c r="W363" s="78">
        <f t="shared" si="161"/>
        <v>0</v>
      </c>
      <c r="X363" s="1878" t="str">
        <f t="shared" si="159"/>
        <v>7.- C Lima Caucho 0370411-OT_012136  Sacar_Banda EG01-1008 Casco pelado</v>
      </c>
      <c r="Z363" s="19" t="str">
        <f t="shared" si="162"/>
        <v>Casc 2a trnsplReenc. MASTERCAUCHO</v>
      </c>
    </row>
    <row r="364" spans="2:26" ht="15.2" customHeight="1">
      <c r="B364" s="37"/>
      <c r="E364" s="3070">
        <v>1</v>
      </c>
      <c r="F364" s="2297" t="s">
        <v>723</v>
      </c>
      <c r="G364" s="68" t="s">
        <v>2460</v>
      </c>
      <c r="H364" s="69" t="s">
        <v>2832</v>
      </c>
      <c r="I364" s="2014" t="s">
        <v>726</v>
      </c>
      <c r="J364" s="70" t="s">
        <v>727</v>
      </c>
      <c r="K364" s="2305" t="s">
        <v>3635</v>
      </c>
      <c r="L364" s="72">
        <v>43577</v>
      </c>
      <c r="M364" s="2306" t="s">
        <v>729</v>
      </c>
      <c r="N364" s="74">
        <v>43588</v>
      </c>
      <c r="O364" s="75">
        <f t="shared" si="164"/>
        <v>43588</v>
      </c>
      <c r="P364" s="2765" t="s">
        <v>3636</v>
      </c>
      <c r="Q364" s="2954"/>
      <c r="R364" s="76">
        <v>279.661</v>
      </c>
      <c r="S364" s="1945" t="s">
        <v>731</v>
      </c>
      <c r="T364" s="77" t="s">
        <v>2712</v>
      </c>
      <c r="U364" s="1893"/>
      <c r="V364" s="2079">
        <f t="shared" si="160"/>
        <v>0</v>
      </c>
      <c r="W364" s="78">
        <f t="shared" si="161"/>
        <v>329.99997999999999</v>
      </c>
      <c r="X364" s="1878" t="str">
        <f t="shared" si="159"/>
        <v>1.- R MICHELLIN 8351117-OT_011445  Reencauche F001-00002297 MDY-220</v>
      </c>
      <c r="Z364" s="19" t="str">
        <f t="shared" si="162"/>
        <v>Casc 2a trnsplReenc. MASTERCAUCHO</v>
      </c>
    </row>
    <row r="365" spans="2:26" ht="15.2" customHeight="1">
      <c r="B365" s="37"/>
      <c r="E365" s="3070">
        <v>2</v>
      </c>
      <c r="F365" s="2297" t="s">
        <v>723</v>
      </c>
      <c r="G365" s="68" t="s">
        <v>724</v>
      </c>
      <c r="H365" s="69" t="s">
        <v>2921</v>
      </c>
      <c r="I365" s="2014" t="s">
        <v>726</v>
      </c>
      <c r="J365" s="70" t="s">
        <v>727</v>
      </c>
      <c r="K365" s="2305" t="s">
        <v>3635</v>
      </c>
      <c r="L365" s="72">
        <v>43577</v>
      </c>
      <c r="M365" s="2306" t="s">
        <v>729</v>
      </c>
      <c r="N365" s="74">
        <v>43588</v>
      </c>
      <c r="O365" s="75">
        <f t="shared" si="164"/>
        <v>43588</v>
      </c>
      <c r="P365" s="2765" t="s">
        <v>3636</v>
      </c>
      <c r="Q365" s="2954"/>
      <c r="R365" s="76">
        <v>279.661</v>
      </c>
      <c r="S365" s="1945" t="s">
        <v>731</v>
      </c>
      <c r="T365" s="77" t="s">
        <v>2712</v>
      </c>
      <c r="U365" s="1893"/>
      <c r="V365" s="2079">
        <f t="shared" si="160"/>
        <v>0</v>
      </c>
      <c r="W365" s="78">
        <f t="shared" si="161"/>
        <v>329.99997999999999</v>
      </c>
      <c r="X365" s="1878" t="str">
        <f t="shared" si="159"/>
        <v>2.- R Aeolus 0210316-OT_011445  Reencauche F001-00002297 MDY-220</v>
      </c>
      <c r="Z365" s="19" t="str">
        <f t="shared" si="162"/>
        <v>Sacar_BandaReenc. MASTERCAUCHO</v>
      </c>
    </row>
    <row r="366" spans="2:26" ht="15.2" customHeight="1">
      <c r="B366" s="37"/>
      <c r="E366" s="3070">
        <v>3</v>
      </c>
      <c r="F366" s="2297" t="s">
        <v>723</v>
      </c>
      <c r="G366" s="68" t="s">
        <v>3544</v>
      </c>
      <c r="H366" s="69" t="s">
        <v>3641</v>
      </c>
      <c r="I366" s="2014" t="s">
        <v>3224</v>
      </c>
      <c r="J366" s="70" t="s">
        <v>727</v>
      </c>
      <c r="K366" s="2305" t="s">
        <v>857</v>
      </c>
      <c r="L366" s="72"/>
      <c r="M366" s="2306" t="s">
        <v>729</v>
      </c>
      <c r="N366" s="74">
        <v>43588</v>
      </c>
      <c r="O366" s="75">
        <f t="shared" si="164"/>
        <v>43588</v>
      </c>
      <c r="P366" s="2765" t="s">
        <v>3636</v>
      </c>
      <c r="Q366" s="2954"/>
      <c r="R366" s="76">
        <v>211.86439999999999</v>
      </c>
      <c r="S366" s="1945" t="s">
        <v>731</v>
      </c>
      <c r="T366" s="77" t="s">
        <v>3637</v>
      </c>
      <c r="U366" s="1893"/>
      <c r="V366" s="2079">
        <f t="shared" si="160"/>
        <v>0</v>
      </c>
      <c r="W366" s="78">
        <f t="shared" si="161"/>
        <v>249.99999199999996</v>
      </c>
      <c r="X366" s="1878" t="str">
        <f t="shared" si="159"/>
        <v>3.- R Lanvigator 8100519-OT_S/D  Casc 2a trnspl F001-00002297 Lanvigator S205 0118 China</v>
      </c>
      <c r="Z366" s="19" t="str">
        <f t="shared" si="162"/>
        <v>Sacar_BandaReenc. MASTERCAUCHO</v>
      </c>
    </row>
    <row r="367" spans="2:26" ht="15.2" customHeight="1">
      <c r="B367" s="37"/>
      <c r="E367" s="3070">
        <v>4</v>
      </c>
      <c r="F367" s="2297" t="s">
        <v>723</v>
      </c>
      <c r="G367" s="68" t="s">
        <v>3544</v>
      </c>
      <c r="H367" s="69" t="s">
        <v>3642</v>
      </c>
      <c r="I367" s="2014" t="s">
        <v>3224</v>
      </c>
      <c r="J367" s="70" t="s">
        <v>727</v>
      </c>
      <c r="K367" s="2305" t="s">
        <v>857</v>
      </c>
      <c r="L367" s="72"/>
      <c r="M367" s="2306" t="s">
        <v>19</v>
      </c>
      <c r="N367" s="74">
        <v>43588</v>
      </c>
      <c r="O367" s="75">
        <f t="shared" si="164"/>
        <v>43588</v>
      </c>
      <c r="P367" s="2765" t="s">
        <v>3636</v>
      </c>
      <c r="Q367" s="2954"/>
      <c r="R367" s="76">
        <v>211.86439999999999</v>
      </c>
      <c r="S367" s="1945" t="s">
        <v>731</v>
      </c>
      <c r="T367" s="77" t="s">
        <v>3637</v>
      </c>
      <c r="U367" s="1893"/>
      <c r="V367" s="2079">
        <f t="shared" si="160"/>
        <v>0</v>
      </c>
      <c r="W367" s="78">
        <f t="shared" si="161"/>
        <v>249.99999199999996</v>
      </c>
      <c r="X367" s="1878" t="str">
        <f t="shared" si="159"/>
        <v>4.- R Lanvigator 8110519-OT_S/D  Casc 2a trnspl F001-00002297 Lanvigator S205 0118 China</v>
      </c>
      <c r="Z367" s="19" t="str">
        <f t="shared" si="162"/>
        <v>ReencaucheReencauchadora RENOVA</v>
      </c>
    </row>
    <row r="368" spans="2:26" ht="15.2" customHeight="1">
      <c r="B368" s="37"/>
      <c r="E368" s="3070">
        <v>5</v>
      </c>
      <c r="F368" s="2297" t="s">
        <v>723</v>
      </c>
      <c r="G368" s="68" t="s">
        <v>724</v>
      </c>
      <c r="H368" s="69" t="s">
        <v>1443</v>
      </c>
      <c r="I368" s="2014" t="s">
        <v>744</v>
      </c>
      <c r="J368" s="70" t="s">
        <v>727</v>
      </c>
      <c r="K368" s="2305" t="s">
        <v>3635</v>
      </c>
      <c r="L368" s="72">
        <v>43577</v>
      </c>
      <c r="M368" s="2306" t="s">
        <v>19</v>
      </c>
      <c r="N368" s="74">
        <v>43589</v>
      </c>
      <c r="O368" s="75">
        <f t="shared" si="164"/>
        <v>43589</v>
      </c>
      <c r="P368" s="2765"/>
      <c r="Q368" s="2954"/>
      <c r="R368" s="76">
        <v>0</v>
      </c>
      <c r="S368" s="1945" t="s">
        <v>731</v>
      </c>
      <c r="T368" s="77" t="s">
        <v>2753</v>
      </c>
      <c r="U368" s="1893"/>
      <c r="V368" s="2079">
        <f t="shared" si="160"/>
        <v>0</v>
      </c>
      <c r="W368" s="78">
        <f t="shared" si="161"/>
        <v>0</v>
      </c>
      <c r="X368" s="1878" t="str">
        <f t="shared" si="159"/>
        <v>5.- R Aeolus 0451214-OT_011445  Sacar_Banda  Casco pelado</v>
      </c>
      <c r="Z368" s="19" t="str">
        <f t="shared" si="162"/>
        <v>ReencaucheReencauchadora RENOVA</v>
      </c>
    </row>
    <row r="369" spans="2:26" ht="15.2" customHeight="1">
      <c r="B369" s="37"/>
      <c r="E369" s="79">
        <v>6</v>
      </c>
      <c r="F369" s="2294" t="s">
        <v>723</v>
      </c>
      <c r="G369" s="81" t="s">
        <v>3633</v>
      </c>
      <c r="H369" s="82" t="s">
        <v>3634</v>
      </c>
      <c r="I369" s="2015" t="s">
        <v>744</v>
      </c>
      <c r="J369" s="83" t="s">
        <v>727</v>
      </c>
      <c r="K369" s="2295" t="s">
        <v>3635</v>
      </c>
      <c r="L369" s="85">
        <v>43577</v>
      </c>
      <c r="M369" s="2296" t="s">
        <v>19</v>
      </c>
      <c r="N369" s="87">
        <v>43589</v>
      </c>
      <c r="O369" s="88">
        <f t="shared" si="164"/>
        <v>43589</v>
      </c>
      <c r="P369" s="2766"/>
      <c r="Q369" s="2955"/>
      <c r="R369" s="89">
        <v>0</v>
      </c>
      <c r="S369" s="1946" t="s">
        <v>731</v>
      </c>
      <c r="T369" s="77" t="s">
        <v>2753</v>
      </c>
      <c r="U369" s="1893"/>
      <c r="V369" s="2079">
        <f t="shared" si="160"/>
        <v>0</v>
      </c>
      <c r="W369" s="78">
        <f t="shared" si="161"/>
        <v>0</v>
      </c>
      <c r="X369" s="1878" t="str">
        <f t="shared" si="159"/>
        <v>6.- R Sportrak 0290217-OT_011445  Sacar_Banda  Casco pelado</v>
      </c>
      <c r="Z369" s="19" t="str">
        <f t="shared" si="162"/>
        <v>ReencaucheReencauchadora RENOVA</v>
      </c>
    </row>
    <row r="370" spans="2:26" ht="15.2" customHeight="1">
      <c r="B370" s="37"/>
      <c r="E370" s="3070">
        <v>1</v>
      </c>
      <c r="F370" s="2297" t="s">
        <v>723</v>
      </c>
      <c r="G370" s="68" t="s">
        <v>151</v>
      </c>
      <c r="H370" s="69" t="s">
        <v>3622</v>
      </c>
      <c r="I370" s="2014" t="s">
        <v>726</v>
      </c>
      <c r="J370" s="70" t="s">
        <v>760</v>
      </c>
      <c r="K370" s="2305" t="s">
        <v>3625</v>
      </c>
      <c r="L370" s="72">
        <v>43572</v>
      </c>
      <c r="M370" s="2306" t="s">
        <v>729</v>
      </c>
      <c r="N370" s="74">
        <v>43581</v>
      </c>
      <c r="O370" s="75">
        <f t="shared" si="164"/>
        <v>43581</v>
      </c>
      <c r="P370" s="2765" t="s">
        <v>3631</v>
      </c>
      <c r="Q370" s="2954">
        <v>100.9</v>
      </c>
      <c r="R370" s="76"/>
      <c r="S370" s="1945" t="s">
        <v>731</v>
      </c>
      <c r="T370" s="77" t="s">
        <v>2570</v>
      </c>
      <c r="U370" s="1893"/>
      <c r="V370" s="2079">
        <f t="shared" si="160"/>
        <v>119.062</v>
      </c>
      <c r="W370" s="78">
        <f t="shared" si="161"/>
        <v>0</v>
      </c>
      <c r="X370" s="1878" t="str">
        <f t="shared" si="159"/>
        <v>1.- R WindPower 0621015-OT_258259  Reencauche F101-00019815 IDY3-220</v>
      </c>
      <c r="Z370" s="19" t="str">
        <f t="shared" si="162"/>
        <v>ReencaucheReencauchadora RENOVA</v>
      </c>
    </row>
    <row r="371" spans="2:26" ht="15.2" customHeight="1">
      <c r="B371" s="37"/>
      <c r="E371" s="3070">
        <v>2</v>
      </c>
      <c r="F371" s="2297" t="s">
        <v>723</v>
      </c>
      <c r="G371" s="68" t="s">
        <v>737</v>
      </c>
      <c r="H371" s="69" t="s">
        <v>3623</v>
      </c>
      <c r="I371" s="2014" t="s">
        <v>726</v>
      </c>
      <c r="J371" s="70" t="s">
        <v>760</v>
      </c>
      <c r="K371" s="2305" t="s">
        <v>3625</v>
      </c>
      <c r="L371" s="72">
        <v>43572</v>
      </c>
      <c r="M371" s="2306" t="s">
        <v>729</v>
      </c>
      <c r="N371" s="74">
        <v>43581</v>
      </c>
      <c r="O371" s="75">
        <v>43581</v>
      </c>
      <c r="P371" s="2765" t="s">
        <v>3631</v>
      </c>
      <c r="Q371" s="2954">
        <v>100.9</v>
      </c>
      <c r="R371" s="76"/>
      <c r="S371" s="1945" t="s">
        <v>731</v>
      </c>
      <c r="T371" s="77" t="s">
        <v>2570</v>
      </c>
      <c r="U371" s="1893"/>
      <c r="V371" s="2079">
        <f t="shared" si="160"/>
        <v>119.062</v>
      </c>
      <c r="W371" s="78">
        <f t="shared" si="161"/>
        <v>0</v>
      </c>
      <c r="X371" s="1878" t="str">
        <f t="shared" si="159"/>
        <v>2.- R Vikrant 0260318-OT_258259  Reencauche F101-00019815 IDY3-220</v>
      </c>
      <c r="Z371" s="19" t="str">
        <f t="shared" si="162"/>
        <v>ReencaucheReencauchadora RENOVA</v>
      </c>
    </row>
    <row r="372" spans="2:26" ht="15.2" customHeight="1">
      <c r="B372" s="37"/>
      <c r="E372" s="79">
        <v>3</v>
      </c>
      <c r="F372" s="2294" t="s">
        <v>723</v>
      </c>
      <c r="G372" s="81" t="s">
        <v>151</v>
      </c>
      <c r="H372" s="82" t="s">
        <v>3624</v>
      </c>
      <c r="I372" s="2015" t="s">
        <v>726</v>
      </c>
      <c r="J372" s="83" t="s">
        <v>760</v>
      </c>
      <c r="K372" s="2295" t="s">
        <v>3625</v>
      </c>
      <c r="L372" s="85">
        <v>43572</v>
      </c>
      <c r="M372" s="2296" t="s">
        <v>729</v>
      </c>
      <c r="N372" s="87">
        <v>43581</v>
      </c>
      <c r="O372" s="88">
        <v>43581</v>
      </c>
      <c r="P372" s="2766" t="s">
        <v>3631</v>
      </c>
      <c r="Q372" s="2955">
        <v>100.9</v>
      </c>
      <c r="R372" s="89"/>
      <c r="S372" s="1946" t="s">
        <v>731</v>
      </c>
      <c r="T372" s="77" t="s">
        <v>2570</v>
      </c>
      <c r="U372" s="1893"/>
      <c r="V372" s="2079">
        <f t="shared" si="160"/>
        <v>119.062</v>
      </c>
      <c r="W372" s="78">
        <f t="shared" si="161"/>
        <v>0</v>
      </c>
      <c r="X372" s="1878" t="str">
        <f t="shared" si="159"/>
        <v>3.- R WindPower 0520915-OT_258259  Reencauche F101-00019815 IDY3-220</v>
      </c>
      <c r="Z372" s="19" t="str">
        <f t="shared" si="162"/>
        <v>ReencaucheReencauchadora RENOVA</v>
      </c>
    </row>
    <row r="373" spans="2:26" ht="15.2" customHeight="1">
      <c r="B373" s="37"/>
      <c r="E373" s="3070">
        <v>1</v>
      </c>
      <c r="F373" s="2297" t="s">
        <v>723</v>
      </c>
      <c r="G373" s="68" t="s">
        <v>2460</v>
      </c>
      <c r="H373" s="69" t="s">
        <v>2833</v>
      </c>
      <c r="I373" s="2014" t="s">
        <v>726</v>
      </c>
      <c r="J373" s="70" t="s">
        <v>760</v>
      </c>
      <c r="K373" s="2305" t="s">
        <v>3607</v>
      </c>
      <c r="L373" s="72">
        <v>43561</v>
      </c>
      <c r="M373" s="2306" t="s">
        <v>729</v>
      </c>
      <c r="N373" s="74">
        <v>43572</v>
      </c>
      <c r="O373" s="75">
        <f t="shared" si="164"/>
        <v>43572</v>
      </c>
      <c r="P373" s="2765" t="s">
        <v>3628</v>
      </c>
      <c r="Q373" s="2954">
        <v>105.33</v>
      </c>
      <c r="R373" s="76"/>
      <c r="S373" s="1945" t="s">
        <v>731</v>
      </c>
      <c r="T373" s="77" t="s">
        <v>2569</v>
      </c>
      <c r="U373" s="1893"/>
      <c r="V373" s="2079">
        <f t="shared" si="160"/>
        <v>124.28939999999999</v>
      </c>
      <c r="W373" s="78">
        <f t="shared" si="161"/>
        <v>0</v>
      </c>
      <c r="X373" s="1878" t="str">
        <f t="shared" si="159"/>
        <v>1.- R MICHELLIN 8361117-OT_257848  Reencauche F001-00019692 IDY3-235</v>
      </c>
      <c r="Z373" s="19" t="str">
        <f t="shared" si="162"/>
        <v>ReencaucheReencauchadora RENOVA</v>
      </c>
    </row>
    <row r="374" spans="2:26" ht="15.2" customHeight="1">
      <c r="B374" s="37"/>
      <c r="E374" s="3070">
        <v>2</v>
      </c>
      <c r="F374" s="2297" t="s">
        <v>723</v>
      </c>
      <c r="G374" s="68" t="s">
        <v>737</v>
      </c>
      <c r="H374" s="69" t="s">
        <v>2685</v>
      </c>
      <c r="I374" s="2014" t="s">
        <v>726</v>
      </c>
      <c r="J374" s="70" t="s">
        <v>760</v>
      </c>
      <c r="K374" s="2305" t="s">
        <v>3607</v>
      </c>
      <c r="L374" s="72">
        <v>43561</v>
      </c>
      <c r="M374" s="2306" t="s">
        <v>729</v>
      </c>
      <c r="N374" s="74">
        <v>43572</v>
      </c>
      <c r="O374" s="75">
        <f t="shared" si="164"/>
        <v>43572</v>
      </c>
      <c r="P374" s="2765" t="s">
        <v>3628</v>
      </c>
      <c r="Q374" s="2954">
        <v>100.9</v>
      </c>
      <c r="R374" s="76"/>
      <c r="S374" s="1945" t="s">
        <v>731</v>
      </c>
      <c r="T374" s="77" t="s">
        <v>2570</v>
      </c>
      <c r="U374" s="1893"/>
      <c r="V374" s="2079">
        <f t="shared" si="160"/>
        <v>119.062</v>
      </c>
      <c r="W374" s="78">
        <f t="shared" si="161"/>
        <v>0</v>
      </c>
      <c r="X374" s="1878" t="str">
        <f t="shared" si="159"/>
        <v>2.- R Vikrant 0180217-OT_257848  Reencauche F001-00019692 IDY3-220</v>
      </c>
      <c r="Z374" s="19" t="str">
        <f t="shared" si="162"/>
        <v>ReencaucheReencauchadora RENOVA</v>
      </c>
    </row>
    <row r="375" spans="2:26" ht="15.2" customHeight="1">
      <c r="B375" s="37"/>
      <c r="E375" s="3070">
        <v>3</v>
      </c>
      <c r="F375" s="2297" t="s">
        <v>723</v>
      </c>
      <c r="G375" s="68" t="s">
        <v>737</v>
      </c>
      <c r="H375" s="69" t="s">
        <v>3626</v>
      </c>
      <c r="I375" s="2014" t="s">
        <v>726</v>
      </c>
      <c r="J375" s="70" t="s">
        <v>760</v>
      </c>
      <c r="K375" s="2305" t="s">
        <v>3607</v>
      </c>
      <c r="L375" s="72">
        <v>43561</v>
      </c>
      <c r="M375" s="2306" t="s">
        <v>729</v>
      </c>
      <c r="N375" s="74">
        <v>43572</v>
      </c>
      <c r="O375" s="75">
        <f t="shared" si="164"/>
        <v>43572</v>
      </c>
      <c r="P375" s="2765" t="s">
        <v>3628</v>
      </c>
      <c r="Q375" s="2954">
        <v>100.9</v>
      </c>
      <c r="R375" s="76"/>
      <c r="S375" s="1945" t="s">
        <v>731</v>
      </c>
      <c r="T375" s="77" t="s">
        <v>3629</v>
      </c>
      <c r="U375" s="1893"/>
      <c r="V375" s="2079">
        <f t="shared" si="160"/>
        <v>119.062</v>
      </c>
      <c r="W375" s="78">
        <f t="shared" si="161"/>
        <v>0</v>
      </c>
      <c r="X375" s="1878" t="str">
        <f t="shared" si="159"/>
        <v>3.- R Vikrant 1191217-OT_257848  Reencauche F001-00019692 IDY3-220s/g</v>
      </c>
      <c r="Z375" s="19" t="str">
        <f t="shared" si="162"/>
        <v>ReencaucheReencauchadora RENOVA</v>
      </c>
    </row>
    <row r="376" spans="2:26" ht="15.2" customHeight="1">
      <c r="B376" s="37"/>
      <c r="E376" s="3070">
        <v>4</v>
      </c>
      <c r="F376" s="2297" t="s">
        <v>723</v>
      </c>
      <c r="G376" s="68" t="s">
        <v>737</v>
      </c>
      <c r="H376" s="69" t="s">
        <v>3603</v>
      </c>
      <c r="I376" s="2014" t="s">
        <v>726</v>
      </c>
      <c r="J376" s="70" t="s">
        <v>760</v>
      </c>
      <c r="K376" s="2305" t="s">
        <v>3607</v>
      </c>
      <c r="L376" s="72">
        <v>43561</v>
      </c>
      <c r="M376" s="2306" t="s">
        <v>729</v>
      </c>
      <c r="N376" s="74">
        <v>43572</v>
      </c>
      <c r="O376" s="75">
        <f t="shared" si="164"/>
        <v>43572</v>
      </c>
      <c r="P376" s="2765" t="s">
        <v>3628</v>
      </c>
      <c r="Q376" s="2954">
        <v>100.9</v>
      </c>
      <c r="R376" s="76"/>
      <c r="S376" s="1945" t="s">
        <v>731</v>
      </c>
      <c r="T376" s="77" t="s">
        <v>2570</v>
      </c>
      <c r="U376" s="1893"/>
      <c r="V376" s="2079">
        <f t="shared" si="160"/>
        <v>119.062</v>
      </c>
      <c r="W376" s="78">
        <f t="shared" si="161"/>
        <v>0</v>
      </c>
      <c r="X376" s="1878" t="str">
        <f t="shared" si="159"/>
        <v>4.- R Vikrant 0901216-OT_257848  Reencauche F001-00019692 IDY3-220</v>
      </c>
      <c r="Z376" s="19" t="str">
        <f t="shared" ref="Z376:Z397" si="166">CONCATENATE(I379,J379)</f>
        <v>ReencaucheReencauchadora RENOVA</v>
      </c>
    </row>
    <row r="377" spans="2:26" ht="15.2" customHeight="1">
      <c r="B377" s="37"/>
      <c r="E377" s="3070">
        <v>5</v>
      </c>
      <c r="F377" s="2297" t="s">
        <v>723</v>
      </c>
      <c r="G377" s="68" t="s">
        <v>724</v>
      </c>
      <c r="H377" s="69" t="s">
        <v>3604</v>
      </c>
      <c r="I377" s="2014" t="s">
        <v>726</v>
      </c>
      <c r="J377" s="70" t="s">
        <v>760</v>
      </c>
      <c r="K377" s="2305" t="s">
        <v>3607</v>
      </c>
      <c r="L377" s="72">
        <v>43561</v>
      </c>
      <c r="M377" s="2306" t="s">
        <v>729</v>
      </c>
      <c r="N377" s="74">
        <v>43572</v>
      </c>
      <c r="O377" s="75">
        <f t="shared" si="164"/>
        <v>43572</v>
      </c>
      <c r="P377" s="2765" t="s">
        <v>3628</v>
      </c>
      <c r="Q377" s="2954">
        <v>100.9</v>
      </c>
      <c r="R377" s="76"/>
      <c r="S377" s="1945" t="s">
        <v>731</v>
      </c>
      <c r="T377" s="77" t="s">
        <v>2570</v>
      </c>
      <c r="U377" s="1893"/>
      <c r="V377" s="2079">
        <f t="shared" si="160"/>
        <v>119.062</v>
      </c>
      <c r="W377" s="78">
        <f t="shared" si="161"/>
        <v>0</v>
      </c>
      <c r="X377" s="1878" t="str">
        <f t="shared" si="159"/>
        <v>5.- R Aeolus 0380516-OT_257848  Reencauche F001-00019692 IDY3-220</v>
      </c>
      <c r="Z377" s="19" t="str">
        <f t="shared" si="166"/>
        <v>ReencaucheReencauchadora RENOVA</v>
      </c>
    </row>
    <row r="378" spans="2:26" ht="15.2" customHeight="1">
      <c r="B378" s="37"/>
      <c r="E378" s="3070">
        <v>6</v>
      </c>
      <c r="F378" s="2297" t="s">
        <v>723</v>
      </c>
      <c r="G378" s="68" t="s">
        <v>724</v>
      </c>
      <c r="H378" s="69" t="s">
        <v>3605</v>
      </c>
      <c r="I378" s="2014" t="s">
        <v>726</v>
      </c>
      <c r="J378" s="70" t="s">
        <v>760</v>
      </c>
      <c r="K378" s="2305" t="s">
        <v>3607</v>
      </c>
      <c r="L378" s="72">
        <v>43561</v>
      </c>
      <c r="M378" s="2306" t="s">
        <v>729</v>
      </c>
      <c r="N378" s="74">
        <v>43572</v>
      </c>
      <c r="O378" s="75">
        <f t="shared" si="164"/>
        <v>43572</v>
      </c>
      <c r="P378" s="2765" t="s">
        <v>3628</v>
      </c>
      <c r="Q378" s="2954">
        <v>100.9</v>
      </c>
      <c r="R378" s="76"/>
      <c r="S378" s="1945" t="s">
        <v>731</v>
      </c>
      <c r="T378" s="77" t="s">
        <v>2570</v>
      </c>
      <c r="U378" s="1893"/>
      <c r="V378" s="2079">
        <f t="shared" si="160"/>
        <v>119.062</v>
      </c>
      <c r="W378" s="78">
        <f t="shared" si="161"/>
        <v>0</v>
      </c>
      <c r="X378" s="1878" t="str">
        <f t="shared" si="159"/>
        <v>6.- R Aeolus 0421114-OT_257848  Reencauche F001-00019692 IDY3-220</v>
      </c>
      <c r="Z378" s="19" t="str">
        <f>CONCATENATE(I381,J381)</f>
        <v>ReencaucheReencauchadora RENOVA</v>
      </c>
    </row>
    <row r="379" spans="2:26" ht="15.2" customHeight="1">
      <c r="B379" s="37"/>
      <c r="E379" s="3068">
        <v>7</v>
      </c>
      <c r="F379" s="2297" t="s">
        <v>723</v>
      </c>
      <c r="G379" s="68" t="s">
        <v>724</v>
      </c>
      <c r="H379" s="69" t="s">
        <v>3606</v>
      </c>
      <c r="I379" s="2014" t="s">
        <v>726</v>
      </c>
      <c r="J379" s="70" t="s">
        <v>760</v>
      </c>
      <c r="K379" s="2305" t="s">
        <v>3607</v>
      </c>
      <c r="L379" s="72">
        <v>43561</v>
      </c>
      <c r="M379" s="2306" t="s">
        <v>729</v>
      </c>
      <c r="N379" s="74">
        <v>43572</v>
      </c>
      <c r="O379" s="75">
        <f t="shared" ref="O379:O400" si="167">+N379</f>
        <v>43572</v>
      </c>
      <c r="P379" s="2765" t="s">
        <v>3628</v>
      </c>
      <c r="Q379" s="2954">
        <v>100.9</v>
      </c>
      <c r="R379" s="76"/>
      <c r="S379" s="1945" t="s">
        <v>731</v>
      </c>
      <c r="T379" s="77" t="s">
        <v>2570</v>
      </c>
      <c r="U379" s="1893"/>
      <c r="V379" s="2079">
        <f t="shared" si="160"/>
        <v>119.062</v>
      </c>
      <c r="W379" s="78">
        <f t="shared" si="161"/>
        <v>0</v>
      </c>
      <c r="X379" s="1878" t="str">
        <f t="shared" si="159"/>
        <v>7.- R Aeolus 0320516-OT_257848  Reencauche F001-00019692 IDY3-220</v>
      </c>
      <c r="Z379" s="19" t="str">
        <f t="shared" ref="Z379" si="168">CONCATENATE(I382,J382)</f>
        <v>Casc 2a trnsplReenc. MASTERCAUCHO</v>
      </c>
    </row>
    <row r="380" spans="2:26" ht="15.2" customHeight="1">
      <c r="B380" s="37"/>
      <c r="E380" s="3078">
        <v>8</v>
      </c>
      <c r="F380" s="2297" t="s">
        <v>723</v>
      </c>
      <c r="G380" s="68" t="s">
        <v>724</v>
      </c>
      <c r="H380" s="69" t="s">
        <v>1017</v>
      </c>
      <c r="I380" s="2014" t="s">
        <v>726</v>
      </c>
      <c r="J380" s="70" t="s">
        <v>760</v>
      </c>
      <c r="K380" s="2305" t="s">
        <v>3607</v>
      </c>
      <c r="L380" s="72">
        <v>43561</v>
      </c>
      <c r="M380" s="2306" t="s">
        <v>729</v>
      </c>
      <c r="N380" s="74">
        <v>43572</v>
      </c>
      <c r="O380" s="75">
        <f t="shared" si="167"/>
        <v>43572</v>
      </c>
      <c r="P380" s="2765" t="s">
        <v>3628</v>
      </c>
      <c r="Q380" s="2954">
        <v>100.9</v>
      </c>
      <c r="R380" s="76"/>
      <c r="S380" s="1945" t="s">
        <v>731</v>
      </c>
      <c r="T380" s="77" t="s">
        <v>2570</v>
      </c>
      <c r="U380" s="1893"/>
      <c r="V380" s="2079">
        <f t="shared" si="160"/>
        <v>119.062</v>
      </c>
      <c r="W380" s="78">
        <f t="shared" si="161"/>
        <v>0</v>
      </c>
      <c r="X380" s="1878" t="str">
        <f t="shared" si="159"/>
        <v>8.- R Aeolus 0110114-OT_257848  Reencauche F001-00019692 IDY3-220</v>
      </c>
      <c r="Z380" s="19" t="str">
        <f t="shared" si="166"/>
        <v>RECLAMOReenc. MASTERCAUCHO</v>
      </c>
    </row>
    <row r="381" spans="2:26" ht="15.2" customHeight="1">
      <c r="B381" s="37"/>
      <c r="E381" s="79">
        <v>9</v>
      </c>
      <c r="F381" s="2294" t="s">
        <v>723</v>
      </c>
      <c r="G381" s="81" t="s">
        <v>2460</v>
      </c>
      <c r="H381" s="82" t="s">
        <v>2832</v>
      </c>
      <c r="I381" s="2015" t="s">
        <v>726</v>
      </c>
      <c r="J381" s="83" t="s">
        <v>760</v>
      </c>
      <c r="K381" s="2295" t="s">
        <v>3607</v>
      </c>
      <c r="L381" s="85">
        <v>43561</v>
      </c>
      <c r="M381" s="2296" t="s">
        <v>729</v>
      </c>
      <c r="N381" s="87">
        <v>43572</v>
      </c>
      <c r="O381" s="88">
        <f>+N381</f>
        <v>43572</v>
      </c>
      <c r="P381" s="2766" t="s">
        <v>3627</v>
      </c>
      <c r="Q381" s="2955">
        <v>0</v>
      </c>
      <c r="R381" s="89"/>
      <c r="S381" s="1946" t="s">
        <v>731</v>
      </c>
      <c r="T381" s="77" t="s">
        <v>3630</v>
      </c>
      <c r="U381" s="1893"/>
      <c r="V381" s="2079">
        <f t="shared" si="160"/>
        <v>0</v>
      </c>
      <c r="W381" s="78">
        <f t="shared" si="161"/>
        <v>0</v>
      </c>
      <c r="X381" s="1878" t="str">
        <f t="shared" si="159"/>
        <v>9.- R MICHELLIN 8351117-OT_257848  Reencauche G030-0079715 Rechazo Flanco Averiado</v>
      </c>
      <c r="Z381" s="19" t="str">
        <f t="shared" si="166"/>
        <v>ReencaucheReenc. MASTERCAUCHO</v>
      </c>
    </row>
    <row r="382" spans="2:26" ht="15.2" customHeight="1">
      <c r="B382" s="37"/>
      <c r="E382" s="38">
        <v>1</v>
      </c>
      <c r="F382" s="2375" t="s">
        <v>723</v>
      </c>
      <c r="G382" s="40" t="s">
        <v>724</v>
      </c>
      <c r="H382" s="41" t="s">
        <v>3639</v>
      </c>
      <c r="I382" s="3080" t="s">
        <v>3224</v>
      </c>
      <c r="J382" s="677" t="s">
        <v>727</v>
      </c>
      <c r="K382" s="2887" t="s">
        <v>857</v>
      </c>
      <c r="L382" s="44"/>
      <c r="M382" s="2386" t="s">
        <v>729</v>
      </c>
      <c r="N382" s="46">
        <v>43577</v>
      </c>
      <c r="O382" s="47">
        <f t="shared" ref="O382" si="169">+N382</f>
        <v>43577</v>
      </c>
      <c r="P382" s="2763"/>
      <c r="Q382" s="2952"/>
      <c r="R382" s="48">
        <v>84.745699999999999</v>
      </c>
      <c r="S382" s="1943" t="s">
        <v>731</v>
      </c>
      <c r="T382" s="77" t="s">
        <v>3640</v>
      </c>
      <c r="U382" s="1893"/>
      <c r="V382" s="2079">
        <f t="shared" si="160"/>
        <v>0</v>
      </c>
      <c r="W382" s="78">
        <f t="shared" si="161"/>
        <v>99.999925999999988</v>
      </c>
      <c r="X382" s="1878" t="str">
        <f t="shared" si="159"/>
        <v>1.- R Aeolus 8090419-OT_S/D  Casc 2a trnspl  Aeolus HN08 3110 China</v>
      </c>
      <c r="Z382" s="19" t="str">
        <f t="shared" si="166"/>
        <v>Vulcanizado (curación)Reenc. MASTERCAUCHO</v>
      </c>
    </row>
    <row r="383" spans="2:26" ht="15.2" customHeight="1">
      <c r="B383" s="37"/>
      <c r="E383" s="79">
        <v>1</v>
      </c>
      <c r="F383" s="2294" t="s">
        <v>723</v>
      </c>
      <c r="G383" s="81" t="s">
        <v>724</v>
      </c>
      <c r="H383" s="82" t="s">
        <v>2397</v>
      </c>
      <c r="I383" s="2015" t="s">
        <v>816</v>
      </c>
      <c r="J383" s="83" t="s">
        <v>727</v>
      </c>
      <c r="K383" s="2295" t="s">
        <v>3602</v>
      </c>
      <c r="L383" s="85">
        <v>43558</v>
      </c>
      <c r="M383" s="2296" t="s">
        <v>19</v>
      </c>
      <c r="N383" s="87">
        <v>43577</v>
      </c>
      <c r="O383" s="88">
        <f t="shared" si="167"/>
        <v>43577</v>
      </c>
      <c r="P383" s="2766"/>
      <c r="Q383" s="2955"/>
      <c r="R383" s="89"/>
      <c r="S383" s="1946" t="s">
        <v>731</v>
      </c>
      <c r="T383" s="77" t="s">
        <v>2753</v>
      </c>
      <c r="U383" s="1893"/>
      <c r="V383" s="2079">
        <f t="shared" si="160"/>
        <v>0</v>
      </c>
      <c r="W383" s="78">
        <f t="shared" si="161"/>
        <v>0</v>
      </c>
      <c r="X383" s="1878" t="str">
        <f t="shared" si="159"/>
        <v>1.- R Aeolus 0130113-OT_011159  RECLAMO  Casco pelado</v>
      </c>
      <c r="Z383" s="19" t="str">
        <f t="shared" si="166"/>
        <v>Vulcanizado (curación)Reenc. MASTERCAUCHO</v>
      </c>
    </row>
    <row r="384" spans="2:26" ht="15.2" customHeight="1">
      <c r="B384" s="37"/>
      <c r="E384" s="3068">
        <v>1</v>
      </c>
      <c r="F384" s="2297" t="s">
        <v>723</v>
      </c>
      <c r="G384" s="68" t="s">
        <v>757</v>
      </c>
      <c r="H384" s="69" t="s">
        <v>531</v>
      </c>
      <c r="I384" s="2014" t="s">
        <v>726</v>
      </c>
      <c r="J384" s="70" t="s">
        <v>727</v>
      </c>
      <c r="K384" s="2305" t="s">
        <v>3601</v>
      </c>
      <c r="L384" s="72">
        <v>43557</v>
      </c>
      <c r="M384" s="2306" t="s">
        <v>729</v>
      </c>
      <c r="N384" s="74">
        <v>43564</v>
      </c>
      <c r="O384" s="75">
        <f t="shared" si="167"/>
        <v>43564</v>
      </c>
      <c r="P384" s="2765" t="s">
        <v>3619</v>
      </c>
      <c r="Q384" s="2954"/>
      <c r="R384" s="76">
        <v>279.661</v>
      </c>
      <c r="S384" s="1945" t="s">
        <v>731</v>
      </c>
      <c r="T384" s="77" t="s">
        <v>2712</v>
      </c>
      <c r="U384" s="1893"/>
      <c r="V384" s="2079">
        <f t="shared" si="160"/>
        <v>0</v>
      </c>
      <c r="W384" s="78">
        <f t="shared" si="161"/>
        <v>329.99997999999999</v>
      </c>
      <c r="X384" s="1878" t="str">
        <f t="shared" si="159"/>
        <v>1.- R Goodyear 8130516-OT_011157  Reencauche F001-0002063 MDY-220</v>
      </c>
    </row>
    <row r="385" spans="2:26" ht="15.2" customHeight="1">
      <c r="B385" s="37"/>
      <c r="E385" s="3068">
        <v>2</v>
      </c>
      <c r="F385" s="2297" t="s">
        <v>723</v>
      </c>
      <c r="G385" s="68" t="s">
        <v>2533</v>
      </c>
      <c r="H385" s="69" t="s">
        <v>3600</v>
      </c>
      <c r="I385" s="3067" t="s">
        <v>811</v>
      </c>
      <c r="J385" s="70" t="s">
        <v>727</v>
      </c>
      <c r="K385" s="2305" t="s">
        <v>3601</v>
      </c>
      <c r="L385" s="72">
        <v>43557</v>
      </c>
      <c r="M385" s="2306" t="s">
        <v>729</v>
      </c>
      <c r="N385" s="74">
        <v>43564</v>
      </c>
      <c r="O385" s="75">
        <f t="shared" si="167"/>
        <v>43564</v>
      </c>
      <c r="P385" s="2765" t="s">
        <v>3619</v>
      </c>
      <c r="Q385" s="2954"/>
      <c r="R385" s="76">
        <v>84.745699999999999</v>
      </c>
      <c r="S385" s="1945" t="s">
        <v>731</v>
      </c>
      <c r="T385" s="77" t="s">
        <v>3229</v>
      </c>
      <c r="U385" s="1893"/>
      <c r="V385" s="2079">
        <f t="shared" si="160"/>
        <v>0</v>
      </c>
      <c r="W385" s="78">
        <f t="shared" si="161"/>
        <v>99.999925999999988</v>
      </c>
      <c r="X385" s="1878" t="str">
        <f t="shared" si="159"/>
        <v>2.- R Stellmark 8260517-OT_011157  Vulcanizado (curación) F001-0002063 Corte lateral</v>
      </c>
    </row>
    <row r="386" spans="2:26" ht="15.2" customHeight="1">
      <c r="B386" s="37"/>
      <c r="E386" s="3068">
        <v>3</v>
      </c>
      <c r="F386" s="2297" t="s">
        <v>723</v>
      </c>
      <c r="G386" s="68" t="s">
        <v>724</v>
      </c>
      <c r="H386" s="69" t="s">
        <v>2539</v>
      </c>
      <c r="I386" s="3067" t="s">
        <v>811</v>
      </c>
      <c r="J386" s="70" t="s">
        <v>727</v>
      </c>
      <c r="K386" s="2305" t="s">
        <v>3601</v>
      </c>
      <c r="L386" s="72">
        <v>43557</v>
      </c>
      <c r="M386" s="2306" t="s">
        <v>729</v>
      </c>
      <c r="N386" s="74">
        <v>43564</v>
      </c>
      <c r="O386" s="75">
        <f t="shared" si="167"/>
        <v>43564</v>
      </c>
      <c r="P386" s="2765" t="s">
        <v>3619</v>
      </c>
      <c r="Q386" s="2954"/>
      <c r="R386" s="76">
        <v>84.745699999999999</v>
      </c>
      <c r="S386" s="1945" t="s">
        <v>731</v>
      </c>
      <c r="T386" s="77" t="s">
        <v>3229</v>
      </c>
      <c r="U386" s="1893"/>
      <c r="V386" s="2079">
        <f t="shared" si="160"/>
        <v>0</v>
      </c>
      <c r="W386" s="78">
        <f t="shared" si="161"/>
        <v>99.999925999999988</v>
      </c>
      <c r="X386" s="1878" t="str">
        <f t="shared" si="159"/>
        <v>3.- R Aeolus 0461214-OT_011157  Vulcanizado (curación) F001-0002063 Corte lateral</v>
      </c>
      <c r="Z386" s="19" t="str">
        <f t="shared" si="166"/>
        <v>Sacar_BandaReenc. MASTERCAUCHO</v>
      </c>
    </row>
    <row r="387" spans="2:26" ht="15.2" customHeight="1">
      <c r="B387" s="37"/>
      <c r="E387" s="3077">
        <v>4</v>
      </c>
      <c r="F387" s="2297" t="s">
        <v>723</v>
      </c>
      <c r="G387" s="68" t="s">
        <v>3613</v>
      </c>
      <c r="H387" s="69" t="s">
        <v>3617</v>
      </c>
      <c r="I387" s="3067" t="s">
        <v>3224</v>
      </c>
      <c r="J387" s="70" t="s">
        <v>727</v>
      </c>
      <c r="K387" s="2305" t="s">
        <v>857</v>
      </c>
      <c r="L387" s="72"/>
      <c r="M387" s="2306" t="s">
        <v>729</v>
      </c>
      <c r="N387" s="74">
        <v>43564</v>
      </c>
      <c r="O387" s="75"/>
      <c r="P387" s="2765" t="s">
        <v>3619</v>
      </c>
      <c r="Q387" s="2954"/>
      <c r="R387" s="76">
        <v>211.86439999999999</v>
      </c>
      <c r="S387" s="1945" t="s">
        <v>731</v>
      </c>
      <c r="T387" s="77" t="s">
        <v>3620</v>
      </c>
      <c r="U387" s="1893"/>
      <c r="V387" s="2079">
        <f t="shared" si="160"/>
        <v>0</v>
      </c>
      <c r="W387" s="78">
        <f t="shared" si="161"/>
        <v>249.99999199999996</v>
      </c>
      <c r="X387" s="1878" t="str">
        <f t="shared" si="159"/>
        <v>4.- R Kormoran 8070419-OT_S/D  Casc 2a trnspl F001-0002063 Kormoran Kormoran 4613 Rumania</v>
      </c>
      <c r="Z387" s="19" t="str">
        <f t="shared" si="166"/>
        <v>Sacar_BandaReenc. MASTERCAUCHO</v>
      </c>
    </row>
    <row r="388" spans="2:26" ht="15.2" customHeight="1">
      <c r="B388" s="37"/>
      <c r="E388" s="3077">
        <v>5</v>
      </c>
      <c r="F388" s="2297" t="s">
        <v>723</v>
      </c>
      <c r="G388" s="68" t="s">
        <v>3613</v>
      </c>
      <c r="H388" s="69" t="s">
        <v>3618</v>
      </c>
      <c r="I388" s="3067" t="s">
        <v>3224</v>
      </c>
      <c r="J388" s="70" t="s">
        <v>727</v>
      </c>
      <c r="K388" s="2305" t="s">
        <v>857</v>
      </c>
      <c r="L388" s="72"/>
      <c r="M388" s="2306" t="s">
        <v>729</v>
      </c>
      <c r="N388" s="74">
        <v>43564</v>
      </c>
      <c r="O388" s="75"/>
      <c r="P388" s="2765" t="s">
        <v>3619</v>
      </c>
      <c r="Q388" s="2954"/>
      <c r="R388" s="76">
        <v>211.86439999999999</v>
      </c>
      <c r="S388" s="1945" t="s">
        <v>731</v>
      </c>
      <c r="T388" s="77" t="s">
        <v>3621</v>
      </c>
      <c r="U388" s="1893"/>
      <c r="V388" s="2079">
        <f t="shared" si="160"/>
        <v>0</v>
      </c>
      <c r="W388" s="78">
        <f t="shared" si="161"/>
        <v>249.99999199999996</v>
      </c>
      <c r="X388" s="1878" t="str">
        <f t="shared" si="159"/>
        <v>5.- R Kormoran 8080419-OT_S/D  Casc 2a trnspl F001-0002063 Kormoran Kormoran 4513 Rumania</v>
      </c>
      <c r="Z388" s="19" t="str">
        <f t="shared" si="166"/>
        <v>ReencaucheReencauchadora RENOVA</v>
      </c>
    </row>
    <row r="389" spans="2:26" ht="15.2" customHeight="1">
      <c r="B389" s="37"/>
      <c r="E389" s="3068">
        <v>6</v>
      </c>
      <c r="F389" s="2297" t="s">
        <v>723</v>
      </c>
      <c r="G389" s="68" t="s">
        <v>737</v>
      </c>
      <c r="H389" s="69" t="s">
        <v>2796</v>
      </c>
      <c r="I389" s="2014" t="s">
        <v>744</v>
      </c>
      <c r="J389" s="70" t="s">
        <v>727</v>
      </c>
      <c r="K389" s="2305" t="s">
        <v>3601</v>
      </c>
      <c r="L389" s="72">
        <v>43557</v>
      </c>
      <c r="M389" s="2306" t="s">
        <v>729</v>
      </c>
      <c r="N389" s="74">
        <v>43564</v>
      </c>
      <c r="O389" s="75">
        <f t="shared" si="167"/>
        <v>43564</v>
      </c>
      <c r="P389" s="2765"/>
      <c r="Q389" s="2954"/>
      <c r="R389" s="76">
        <v>0</v>
      </c>
      <c r="S389" s="1945" t="s">
        <v>731</v>
      </c>
      <c r="T389" s="77" t="s">
        <v>2753</v>
      </c>
      <c r="U389" s="1893"/>
      <c r="V389" s="2079">
        <f t="shared" si="160"/>
        <v>0</v>
      </c>
      <c r="W389" s="78">
        <f t="shared" si="161"/>
        <v>0</v>
      </c>
      <c r="X389" s="1878" t="str">
        <f t="shared" si="159"/>
        <v>6.- R Vikrant 0020117-OT_011157  Sacar_Banda  Casco pelado</v>
      </c>
      <c r="Z389" s="19" t="str">
        <f t="shared" si="166"/>
        <v>ReencaucheReencauchadora RENOVA</v>
      </c>
    </row>
    <row r="390" spans="2:26" ht="15.2" customHeight="1">
      <c r="B390" s="37"/>
      <c r="E390" s="79">
        <v>7</v>
      </c>
      <c r="F390" s="2294" t="s">
        <v>723</v>
      </c>
      <c r="G390" s="81" t="s">
        <v>724</v>
      </c>
      <c r="H390" s="82" t="s">
        <v>3442</v>
      </c>
      <c r="I390" s="2015" t="s">
        <v>744</v>
      </c>
      <c r="J390" s="83" t="s">
        <v>727</v>
      </c>
      <c r="K390" s="2295" t="s">
        <v>3601</v>
      </c>
      <c r="L390" s="85">
        <v>43557</v>
      </c>
      <c r="M390" s="2296" t="s">
        <v>729</v>
      </c>
      <c r="N390" s="87">
        <v>43564</v>
      </c>
      <c r="O390" s="88">
        <f t="shared" si="167"/>
        <v>43564</v>
      </c>
      <c r="P390" s="2766"/>
      <c r="Q390" s="2955"/>
      <c r="R390" s="89">
        <v>0</v>
      </c>
      <c r="S390" s="1946" t="s">
        <v>731</v>
      </c>
      <c r="T390" s="77" t="s">
        <v>2753</v>
      </c>
      <c r="U390" s="1893"/>
      <c r="V390" s="2079">
        <f t="shared" si="160"/>
        <v>0</v>
      </c>
      <c r="W390" s="78">
        <f t="shared" si="161"/>
        <v>0</v>
      </c>
      <c r="X390" s="1878" t="str">
        <f t="shared" si="159"/>
        <v>7.- R Aeolus 0320518-OT_011157  Sacar_Banda  Casco pelado</v>
      </c>
      <c r="Z390" s="19" t="str">
        <f t="shared" si="166"/>
        <v>ReencaucheReencauchadora RENOVA</v>
      </c>
    </row>
    <row r="391" spans="2:26" ht="15.2" customHeight="1">
      <c r="B391" s="37"/>
      <c r="E391" s="3068">
        <v>1</v>
      </c>
      <c r="F391" s="2297" t="s">
        <v>723</v>
      </c>
      <c r="G391" s="68" t="s">
        <v>151</v>
      </c>
      <c r="H391" s="69" t="s">
        <v>2756</v>
      </c>
      <c r="I391" s="2014" t="s">
        <v>726</v>
      </c>
      <c r="J391" s="70" t="s">
        <v>760</v>
      </c>
      <c r="K391" s="2305" t="s">
        <v>3594</v>
      </c>
      <c r="L391" s="72">
        <v>43556</v>
      </c>
      <c r="M391" s="2306" t="s">
        <v>729</v>
      </c>
      <c r="N391" s="74">
        <v>43561</v>
      </c>
      <c r="O391" s="75">
        <f t="shared" si="167"/>
        <v>43561</v>
      </c>
      <c r="P391" s="2765" t="s">
        <v>3609</v>
      </c>
      <c r="Q391" s="2954">
        <v>100.9</v>
      </c>
      <c r="R391" s="76"/>
      <c r="S391" s="1945" t="s">
        <v>731</v>
      </c>
      <c r="T391" s="77" t="s">
        <v>2570</v>
      </c>
      <c r="U391" s="1893"/>
      <c r="V391" s="2079">
        <f t="shared" si="160"/>
        <v>119.062</v>
      </c>
      <c r="W391" s="78">
        <f t="shared" si="161"/>
        <v>0</v>
      </c>
      <c r="X391" s="1878" t="str">
        <f t="shared" si="159"/>
        <v>1.- R WindPower 0851215-OT_258014  Reencauche F101-00019555 IDY3-220</v>
      </c>
      <c r="Z391" s="19" t="str">
        <f>CONCATENATE(I394,J394)</f>
        <v>ReencaucheReencauchadora RENOVA</v>
      </c>
    </row>
    <row r="392" spans="2:26" ht="15.2" customHeight="1">
      <c r="B392" s="37"/>
      <c r="E392" s="3068">
        <v>2</v>
      </c>
      <c r="F392" s="3072" t="s">
        <v>2825</v>
      </c>
      <c r="G392" s="163" t="s">
        <v>757</v>
      </c>
      <c r="H392" s="164" t="s">
        <v>2822</v>
      </c>
      <c r="I392" s="3073" t="s">
        <v>726</v>
      </c>
      <c r="J392" s="165" t="s">
        <v>760</v>
      </c>
      <c r="K392" s="3074" t="s">
        <v>3594</v>
      </c>
      <c r="L392" s="167">
        <v>43556</v>
      </c>
      <c r="M392" s="2306" t="s">
        <v>729</v>
      </c>
      <c r="N392" s="74">
        <v>43561</v>
      </c>
      <c r="O392" s="75">
        <f t="shared" si="167"/>
        <v>43561</v>
      </c>
      <c r="P392" s="2765" t="s">
        <v>3609</v>
      </c>
      <c r="Q392" s="2954">
        <v>178.32</v>
      </c>
      <c r="R392" s="76"/>
      <c r="S392" s="1945" t="s">
        <v>731</v>
      </c>
      <c r="T392" s="77" t="s">
        <v>3610</v>
      </c>
      <c r="U392" s="1893"/>
      <c r="V392" s="2079">
        <f t="shared" si="160"/>
        <v>210.41759999999999</v>
      </c>
      <c r="W392" s="78">
        <f t="shared" si="161"/>
        <v>0</v>
      </c>
      <c r="X392" s="1878" t="str">
        <f t="shared" si="159"/>
        <v>2.- B Goodyear 0650816-OT_258014  Reencauche F101-00019555 IZY3W-345</v>
      </c>
      <c r="Z392" s="19" t="str">
        <f>CONCATENATE(I395,J395)</f>
        <v>ReencaucheReencauchadora RENOVA</v>
      </c>
    </row>
    <row r="393" spans="2:26" ht="15.2" customHeight="1">
      <c r="B393" s="37"/>
      <c r="E393" s="3076">
        <v>3</v>
      </c>
      <c r="F393" s="2297" t="s">
        <v>2825</v>
      </c>
      <c r="G393" s="68" t="s">
        <v>724</v>
      </c>
      <c r="H393" s="69" t="s">
        <v>2724</v>
      </c>
      <c r="I393" s="2014" t="s">
        <v>726</v>
      </c>
      <c r="J393" s="70" t="s">
        <v>760</v>
      </c>
      <c r="K393" s="2305" t="s">
        <v>3591</v>
      </c>
      <c r="L393" s="72">
        <v>43556</v>
      </c>
      <c r="M393" s="2306" t="s">
        <v>729</v>
      </c>
      <c r="N393" s="74">
        <v>43561</v>
      </c>
      <c r="O393" s="75">
        <f t="shared" si="167"/>
        <v>43561</v>
      </c>
      <c r="P393" s="2765" t="s">
        <v>3609</v>
      </c>
      <c r="Q393" s="2954">
        <v>164.06</v>
      </c>
      <c r="R393" s="76"/>
      <c r="S393" s="1945" t="s">
        <v>731</v>
      </c>
      <c r="T393" s="77" t="s">
        <v>3611</v>
      </c>
      <c r="U393" s="1893"/>
      <c r="V393" s="2079">
        <f t="shared" si="160"/>
        <v>193.5908</v>
      </c>
      <c r="W393" s="78">
        <f t="shared" si="161"/>
        <v>0</v>
      </c>
      <c r="X393" s="1878" t="str">
        <f t="shared" si="159"/>
        <v>3.- B Aeolus 0560716-OT_258015  Reencauche F101-00019555 LZY3-325</v>
      </c>
      <c r="Z393" s="19" t="str">
        <f>CONCATENATE(I396,J396)</f>
        <v>ReencaucheReencauchadora RENOVA</v>
      </c>
    </row>
    <row r="394" spans="2:26" ht="15.2" customHeight="1">
      <c r="B394" s="37"/>
      <c r="E394" s="3068">
        <v>4</v>
      </c>
      <c r="F394" s="2297" t="s">
        <v>723</v>
      </c>
      <c r="G394" s="68" t="s">
        <v>724</v>
      </c>
      <c r="H394" s="69" t="s">
        <v>2203</v>
      </c>
      <c r="I394" s="2014" t="s">
        <v>726</v>
      </c>
      <c r="J394" s="70" t="s">
        <v>760</v>
      </c>
      <c r="K394" s="2305" t="s">
        <v>3594</v>
      </c>
      <c r="L394" s="72">
        <v>43556</v>
      </c>
      <c r="M394" s="2306" t="s">
        <v>729</v>
      </c>
      <c r="N394" s="74">
        <v>43561</v>
      </c>
      <c r="O394" s="75">
        <f>+N394</f>
        <v>43561</v>
      </c>
      <c r="P394" s="2765" t="s">
        <v>3608</v>
      </c>
      <c r="Q394" s="2954">
        <v>0</v>
      </c>
      <c r="R394" s="76"/>
      <c r="S394" s="1945" t="s">
        <v>731</v>
      </c>
      <c r="T394" s="77" t="s">
        <v>3612</v>
      </c>
      <c r="U394" s="1893"/>
      <c r="V394" s="2079">
        <f t="shared" si="160"/>
        <v>0</v>
      </c>
      <c r="W394" s="78">
        <f t="shared" si="161"/>
        <v>0</v>
      </c>
      <c r="X394" s="1878" t="str">
        <f t="shared" si="159"/>
        <v>4.- R Aeolus 0110113-OT_258014  Reencauche G030-0079485 RECHAZO No apto para reencauche</v>
      </c>
      <c r="Z394" s="19" t="str">
        <f t="shared" si="166"/>
        <v>Transpl BandaReenc. MASTERCAUCHO</v>
      </c>
    </row>
    <row r="395" spans="2:26" ht="15.2" customHeight="1">
      <c r="B395" s="37"/>
      <c r="E395" s="3068">
        <v>5</v>
      </c>
      <c r="F395" s="2297" t="s">
        <v>723</v>
      </c>
      <c r="G395" s="68" t="s">
        <v>2533</v>
      </c>
      <c r="H395" s="69" t="s">
        <v>3593</v>
      </c>
      <c r="I395" s="2014" t="s">
        <v>726</v>
      </c>
      <c r="J395" s="70" t="s">
        <v>760</v>
      </c>
      <c r="K395" s="2305" t="s">
        <v>3594</v>
      </c>
      <c r="L395" s="72">
        <v>43556</v>
      </c>
      <c r="M395" s="2306" t="s">
        <v>729</v>
      </c>
      <c r="N395" s="74">
        <v>43561</v>
      </c>
      <c r="O395" s="75">
        <f>+N395</f>
        <v>43561</v>
      </c>
      <c r="P395" s="2765" t="s">
        <v>3608</v>
      </c>
      <c r="Q395" s="2954">
        <v>0</v>
      </c>
      <c r="R395" s="76"/>
      <c r="S395" s="1945" t="s">
        <v>731</v>
      </c>
      <c r="T395" s="77" t="s">
        <v>3612</v>
      </c>
      <c r="U395" s="1893"/>
      <c r="V395" s="2079">
        <f t="shared" si="160"/>
        <v>0</v>
      </c>
      <c r="W395" s="78">
        <f t="shared" si="161"/>
        <v>0</v>
      </c>
      <c r="X395" s="1878" t="str">
        <f t="shared" si="159"/>
        <v>5.- R Stellmark 8280617-OT_258014  Reencauche G030-0079485 RECHAZO No apto para reencauche</v>
      </c>
      <c r="Z395" s="19" t="str">
        <f t="shared" si="166"/>
        <v>Transpl BandaReenc. MASTERCAUCHO</v>
      </c>
    </row>
    <row r="396" spans="2:26" ht="15.2" customHeight="1">
      <c r="B396" s="37"/>
      <c r="E396" s="79">
        <v>6</v>
      </c>
      <c r="F396" s="2294" t="s">
        <v>723</v>
      </c>
      <c r="G396" s="81" t="s">
        <v>2533</v>
      </c>
      <c r="H396" s="82" t="s">
        <v>3592</v>
      </c>
      <c r="I396" s="2015" t="s">
        <v>726</v>
      </c>
      <c r="J396" s="83" t="s">
        <v>760</v>
      </c>
      <c r="K396" s="2295" t="s">
        <v>3594</v>
      </c>
      <c r="L396" s="85">
        <v>43556</v>
      </c>
      <c r="M396" s="2296" t="s">
        <v>729</v>
      </c>
      <c r="N396" s="87">
        <v>43561</v>
      </c>
      <c r="O396" s="88">
        <f>+N396</f>
        <v>43561</v>
      </c>
      <c r="P396" s="2766" t="s">
        <v>3608</v>
      </c>
      <c r="Q396" s="2955">
        <v>0</v>
      </c>
      <c r="R396" s="89"/>
      <c r="S396" s="1946" t="s">
        <v>731</v>
      </c>
      <c r="T396" s="77" t="s">
        <v>3612</v>
      </c>
      <c r="U396" s="1893"/>
      <c r="V396" s="2079">
        <f t="shared" si="160"/>
        <v>0</v>
      </c>
      <c r="W396" s="78">
        <f t="shared" si="161"/>
        <v>0</v>
      </c>
      <c r="X396" s="1878" t="str">
        <f t="shared" si="159"/>
        <v>6.- R Stellmark 8250517-OT_258014  Reencauche G030-0079485 RECHAZO No apto para reencauche</v>
      </c>
      <c r="Z396" s="19" t="str">
        <f t="shared" si="166"/>
        <v>Sacar_BandaReenc. MASTERCAUCHO</v>
      </c>
    </row>
    <row r="397" spans="2:26" ht="15.2" customHeight="1">
      <c r="B397" s="37"/>
      <c r="E397" s="3075">
        <v>1</v>
      </c>
      <c r="F397" s="2297" t="s">
        <v>723</v>
      </c>
      <c r="G397" s="68" t="s">
        <v>724</v>
      </c>
      <c r="H397" s="69" t="s">
        <v>2397</v>
      </c>
      <c r="I397" s="2014" t="s">
        <v>740</v>
      </c>
      <c r="J397" s="70" t="s">
        <v>727</v>
      </c>
      <c r="K397" s="2305" t="s">
        <v>3599</v>
      </c>
      <c r="L397" s="72">
        <v>43550</v>
      </c>
      <c r="M397" s="2306" t="s">
        <v>729</v>
      </c>
      <c r="N397" s="74">
        <v>43556</v>
      </c>
      <c r="O397" s="75">
        <f t="shared" si="167"/>
        <v>43556</v>
      </c>
      <c r="P397" s="2765" t="s">
        <v>3597</v>
      </c>
      <c r="Q397" s="2954"/>
      <c r="R397" s="76">
        <v>127.1186</v>
      </c>
      <c r="S397" s="1945" t="s">
        <v>731</v>
      </c>
      <c r="T397" s="77" t="s">
        <v>3598</v>
      </c>
      <c r="U397" s="1893"/>
      <c r="V397" s="2079">
        <f t="shared" si="160"/>
        <v>0</v>
      </c>
      <c r="W397" s="78">
        <f t="shared" si="161"/>
        <v>149.99994799999999</v>
      </c>
      <c r="X397" s="1878" t="str">
        <f t="shared" si="159"/>
        <v>1.- R Aeolus 0130113-OT_011319  Transpl Banda F001-00001971 Banda usada mixto</v>
      </c>
      <c r="Z397" s="19" t="str">
        <f t="shared" si="166"/>
        <v>Sacar_BandaReenc. MASTERCAUCHO</v>
      </c>
    </row>
    <row r="398" spans="2:26" ht="15.2" customHeight="1">
      <c r="B398" s="37"/>
      <c r="E398" s="3075">
        <v>2</v>
      </c>
      <c r="F398" s="2297" t="s">
        <v>723</v>
      </c>
      <c r="G398" s="68" t="s">
        <v>151</v>
      </c>
      <c r="H398" s="69" t="s">
        <v>2707</v>
      </c>
      <c r="I398" s="2014" t="s">
        <v>740</v>
      </c>
      <c r="J398" s="70" t="s">
        <v>727</v>
      </c>
      <c r="K398" s="2305" t="s">
        <v>3599</v>
      </c>
      <c r="L398" s="72">
        <v>43550</v>
      </c>
      <c r="M398" s="2306" t="s">
        <v>729</v>
      </c>
      <c r="N398" s="74">
        <v>43556</v>
      </c>
      <c r="O398" s="75">
        <f t="shared" si="167"/>
        <v>43556</v>
      </c>
      <c r="P398" s="2765" t="s">
        <v>3597</v>
      </c>
      <c r="Q398" s="2954"/>
      <c r="R398" s="76">
        <v>127.1186</v>
      </c>
      <c r="S398" s="1945" t="s">
        <v>731</v>
      </c>
      <c r="T398" s="77" t="s">
        <v>3598</v>
      </c>
      <c r="U398" s="1893"/>
      <c r="V398" s="2079">
        <f t="shared" si="160"/>
        <v>0</v>
      </c>
      <c r="W398" s="78">
        <f t="shared" si="161"/>
        <v>149.99994799999999</v>
      </c>
      <c r="X398" s="1878" t="str">
        <f t="shared" si="159"/>
        <v>2.- R WindPower 0861215-OT_011319  Transpl Banda F001-00001971 Banda usada mixto</v>
      </c>
      <c r="Z398" s="19" t="str">
        <f t="shared" ref="Z398:Z425" si="170">CONCATENATE(I401,J401)</f>
        <v>ReencaucheReencauchadora RENOVA</v>
      </c>
    </row>
    <row r="399" spans="2:26" ht="15.2" customHeight="1">
      <c r="B399" s="37"/>
      <c r="E399" s="3075">
        <v>3</v>
      </c>
      <c r="F399" s="2297" t="s">
        <v>723</v>
      </c>
      <c r="G399" s="68" t="s">
        <v>724</v>
      </c>
      <c r="H399" s="69" t="s">
        <v>2100</v>
      </c>
      <c r="I399" s="2014" t="s">
        <v>744</v>
      </c>
      <c r="J399" s="70" t="s">
        <v>727</v>
      </c>
      <c r="K399" s="2305" t="s">
        <v>3599</v>
      </c>
      <c r="L399" s="72">
        <v>43550</v>
      </c>
      <c r="M399" s="2306" t="s">
        <v>729</v>
      </c>
      <c r="N399" s="74">
        <v>43556</v>
      </c>
      <c r="O399" s="75">
        <f t="shared" si="167"/>
        <v>43556</v>
      </c>
      <c r="P399" s="2765" t="s">
        <v>3596</v>
      </c>
      <c r="Q399" s="2954"/>
      <c r="R399" s="76">
        <v>0</v>
      </c>
      <c r="S399" s="1945" t="s">
        <v>731</v>
      </c>
      <c r="T399" s="77" t="s">
        <v>2753</v>
      </c>
      <c r="U399" s="1893"/>
      <c r="V399" s="2079">
        <f t="shared" si="160"/>
        <v>0</v>
      </c>
      <c r="W399" s="78">
        <f t="shared" si="161"/>
        <v>0</v>
      </c>
      <c r="X399" s="1878" t="str">
        <f t="shared" si="159"/>
        <v>3.- R Aeolus 0340814-OT_011319  Sacar_Banda EG01-823 Casco pelado</v>
      </c>
      <c r="Z399" s="19" t="str">
        <f t="shared" si="170"/>
        <v>ReencaucheReencauchadora RENOVA</v>
      </c>
    </row>
    <row r="400" spans="2:26" ht="15.2" customHeight="1">
      <c r="B400" s="37"/>
      <c r="E400" s="79">
        <v>4</v>
      </c>
      <c r="F400" s="2294" t="s">
        <v>723</v>
      </c>
      <c r="G400" s="81" t="s">
        <v>776</v>
      </c>
      <c r="H400" s="82" t="s">
        <v>1169</v>
      </c>
      <c r="I400" s="2015" t="s">
        <v>744</v>
      </c>
      <c r="J400" s="83" t="s">
        <v>727</v>
      </c>
      <c r="K400" s="2295" t="s">
        <v>3599</v>
      </c>
      <c r="L400" s="85">
        <v>43550</v>
      </c>
      <c r="M400" s="2296" t="s">
        <v>729</v>
      </c>
      <c r="N400" s="87">
        <v>43556</v>
      </c>
      <c r="O400" s="88">
        <f t="shared" si="167"/>
        <v>43556</v>
      </c>
      <c r="P400" s="2766" t="s">
        <v>3596</v>
      </c>
      <c r="Q400" s="2955"/>
      <c r="R400" s="89">
        <v>0</v>
      </c>
      <c r="S400" s="1946" t="s">
        <v>731</v>
      </c>
      <c r="T400" s="77" t="s">
        <v>2753</v>
      </c>
      <c r="U400" s="1893"/>
      <c r="V400" s="2079">
        <f t="shared" si="160"/>
        <v>0</v>
      </c>
      <c r="W400" s="78">
        <f t="shared" si="161"/>
        <v>0</v>
      </c>
      <c r="X400" s="1878" t="str">
        <f t="shared" si="159"/>
        <v>4.- R Altura 0600911-OT_011319  Sacar_Banda EG01-823 Casco pelado</v>
      </c>
      <c r="Z400" s="19" t="str">
        <f t="shared" ref="Z400:Z414" si="171">CONCATENATE(I403,J403)</f>
        <v>ReencaucheReencauchadora RENOVA</v>
      </c>
    </row>
    <row r="401" spans="2:26" ht="15.2" customHeight="1">
      <c r="B401" s="37"/>
      <c r="E401" s="3061">
        <v>1</v>
      </c>
      <c r="F401" s="2297" t="s">
        <v>723</v>
      </c>
      <c r="G401" s="68" t="s">
        <v>737</v>
      </c>
      <c r="H401" s="69" t="s">
        <v>3584</v>
      </c>
      <c r="I401" s="2014" t="s">
        <v>726</v>
      </c>
      <c r="J401" s="70" t="s">
        <v>760</v>
      </c>
      <c r="K401" s="2305" t="s">
        <v>3589</v>
      </c>
      <c r="L401" s="72">
        <v>43547</v>
      </c>
      <c r="M401" s="2306" t="s">
        <v>729</v>
      </c>
      <c r="N401" s="74">
        <v>43556</v>
      </c>
      <c r="O401" s="75">
        <f t="shared" ref="O401:O438" si="172">+N401</f>
        <v>43556</v>
      </c>
      <c r="P401" s="2765" t="s">
        <v>3595</v>
      </c>
      <c r="Q401" s="2954">
        <v>100.9</v>
      </c>
      <c r="R401" s="76"/>
      <c r="S401" s="1945" t="s">
        <v>731</v>
      </c>
      <c r="T401" s="77" t="s">
        <v>2570</v>
      </c>
      <c r="U401" s="1893"/>
      <c r="V401" s="2079">
        <f t="shared" si="160"/>
        <v>119.062</v>
      </c>
      <c r="W401" s="78">
        <f t="shared" si="161"/>
        <v>0</v>
      </c>
      <c r="X401" s="1878" t="str">
        <f t="shared" si="159"/>
        <v>1.- R Vikrant 0210318-OT_255947  Reencauche F101-00019473 IDY3-220</v>
      </c>
      <c r="Z401" s="19" t="str">
        <f t="shared" si="171"/>
        <v>ReencaucheReencauchadora RENOVA</v>
      </c>
    </row>
    <row r="402" spans="2:26" ht="15.2" customHeight="1">
      <c r="B402" s="37"/>
      <c r="E402" s="3061">
        <v>2</v>
      </c>
      <c r="F402" s="2297" t="s">
        <v>723</v>
      </c>
      <c r="G402" s="68" t="s">
        <v>737</v>
      </c>
      <c r="H402" s="69" t="s">
        <v>2922</v>
      </c>
      <c r="I402" s="2014" t="s">
        <v>726</v>
      </c>
      <c r="J402" s="70" t="s">
        <v>760</v>
      </c>
      <c r="K402" s="2305" t="s">
        <v>3589</v>
      </c>
      <c r="L402" s="72">
        <v>43547</v>
      </c>
      <c r="M402" s="2306" t="s">
        <v>729</v>
      </c>
      <c r="N402" s="74">
        <v>43556</v>
      </c>
      <c r="O402" s="75">
        <v>43556</v>
      </c>
      <c r="P402" s="2765" t="s">
        <v>3595</v>
      </c>
      <c r="Q402" s="2954">
        <v>100.9</v>
      </c>
      <c r="R402" s="76"/>
      <c r="S402" s="1945" t="s">
        <v>731</v>
      </c>
      <c r="T402" s="77" t="s">
        <v>2570</v>
      </c>
      <c r="U402" s="1893"/>
      <c r="V402" s="2079">
        <f t="shared" si="160"/>
        <v>119.062</v>
      </c>
      <c r="W402" s="78">
        <f t="shared" si="161"/>
        <v>0</v>
      </c>
      <c r="X402" s="1878" t="str">
        <f t="shared" si="159"/>
        <v>2.- R Vikrant 0220217-OT_255947  Reencauche F101-00019473 IDY3-220</v>
      </c>
      <c r="Z402" s="19" t="str">
        <f t="shared" si="171"/>
        <v>ReencaucheReencauchadora RENOVA</v>
      </c>
    </row>
    <row r="403" spans="2:26" ht="15.2" customHeight="1">
      <c r="B403" s="37"/>
      <c r="E403" s="3062">
        <v>3</v>
      </c>
      <c r="F403" s="2297" t="s">
        <v>723</v>
      </c>
      <c r="G403" s="68" t="s">
        <v>737</v>
      </c>
      <c r="H403" s="69" t="s">
        <v>3585</v>
      </c>
      <c r="I403" s="2014" t="s">
        <v>726</v>
      </c>
      <c r="J403" s="70" t="s">
        <v>760</v>
      </c>
      <c r="K403" s="2305" t="s">
        <v>3589</v>
      </c>
      <c r="L403" s="72">
        <v>43547</v>
      </c>
      <c r="M403" s="2306" t="s">
        <v>729</v>
      </c>
      <c r="N403" s="74">
        <v>43556</v>
      </c>
      <c r="O403" s="75">
        <v>43556</v>
      </c>
      <c r="P403" s="2765" t="s">
        <v>3595</v>
      </c>
      <c r="Q403" s="2954">
        <v>100.9</v>
      </c>
      <c r="R403" s="76"/>
      <c r="S403" s="1945" t="s">
        <v>731</v>
      </c>
      <c r="T403" s="77" t="s">
        <v>2570</v>
      </c>
      <c r="U403" s="1893"/>
      <c r="V403" s="2079">
        <f t="shared" si="160"/>
        <v>119.062</v>
      </c>
      <c r="W403" s="78">
        <f t="shared" si="161"/>
        <v>0</v>
      </c>
      <c r="X403" s="1878" t="str">
        <f t="shared" si="159"/>
        <v>3.- R Vikrant 0220318-OT_255947  Reencauche F101-00019473 IDY3-220</v>
      </c>
      <c r="Z403" s="19" t="str">
        <f t="shared" si="171"/>
        <v>ReencaucheReencauchadora RENOVA</v>
      </c>
    </row>
    <row r="404" spans="2:26" ht="15.2" customHeight="1">
      <c r="B404" s="37"/>
      <c r="E404" s="3062">
        <v>4</v>
      </c>
      <c r="F404" s="2297" t="s">
        <v>723</v>
      </c>
      <c r="G404" s="68" t="s">
        <v>737</v>
      </c>
      <c r="H404" s="69" t="s">
        <v>3586</v>
      </c>
      <c r="I404" s="2014" t="s">
        <v>726</v>
      </c>
      <c r="J404" s="70" t="s">
        <v>760</v>
      </c>
      <c r="K404" s="2305" t="s">
        <v>3589</v>
      </c>
      <c r="L404" s="72">
        <v>43547</v>
      </c>
      <c r="M404" s="2306" t="s">
        <v>729</v>
      </c>
      <c r="N404" s="74">
        <v>43556</v>
      </c>
      <c r="O404" s="75">
        <v>43556</v>
      </c>
      <c r="P404" s="2765" t="s">
        <v>3595</v>
      </c>
      <c r="Q404" s="2954">
        <v>100.9</v>
      </c>
      <c r="R404" s="76"/>
      <c r="S404" s="1945" t="s">
        <v>731</v>
      </c>
      <c r="T404" s="77" t="s">
        <v>2570</v>
      </c>
      <c r="U404" s="1893"/>
      <c r="V404" s="2079">
        <f t="shared" si="160"/>
        <v>119.062</v>
      </c>
      <c r="W404" s="78">
        <f t="shared" si="161"/>
        <v>0</v>
      </c>
      <c r="X404" s="1878" t="str">
        <f t="shared" si="159"/>
        <v>4.- R Vikrant 0270318-OT_255947  Reencauche F101-00019473 IDY3-220</v>
      </c>
      <c r="Z404" s="19" t="str">
        <f t="shared" si="171"/>
        <v>ReencaucheReencauchadora RENOVA</v>
      </c>
    </row>
    <row r="405" spans="2:26" ht="15.2" customHeight="1">
      <c r="B405" s="37"/>
      <c r="E405" s="3062">
        <v>5</v>
      </c>
      <c r="F405" s="2297" t="s">
        <v>723</v>
      </c>
      <c r="G405" s="68" t="s">
        <v>737</v>
      </c>
      <c r="H405" s="69" t="s">
        <v>3587</v>
      </c>
      <c r="I405" s="2014" t="s">
        <v>726</v>
      </c>
      <c r="J405" s="70" t="s">
        <v>760</v>
      </c>
      <c r="K405" s="2305" t="s">
        <v>3589</v>
      </c>
      <c r="L405" s="72">
        <v>43547</v>
      </c>
      <c r="M405" s="2306" t="s">
        <v>729</v>
      </c>
      <c r="N405" s="74">
        <v>43556</v>
      </c>
      <c r="O405" s="75">
        <v>43556</v>
      </c>
      <c r="P405" s="2765" t="s">
        <v>3595</v>
      </c>
      <c r="Q405" s="2954">
        <v>100.9</v>
      </c>
      <c r="R405" s="76"/>
      <c r="S405" s="1945" t="s">
        <v>731</v>
      </c>
      <c r="T405" s="77" t="s">
        <v>2570</v>
      </c>
      <c r="U405" s="1893"/>
      <c r="V405" s="2079">
        <f t="shared" si="160"/>
        <v>119.062</v>
      </c>
      <c r="W405" s="78">
        <f t="shared" si="161"/>
        <v>0</v>
      </c>
      <c r="X405" s="1878" t="str">
        <f t="shared" si="159"/>
        <v>5.- R Vikrant 0230318-OT_255947  Reencauche F101-00019473 IDY3-220</v>
      </c>
      <c r="Z405" s="19" t="str">
        <f t="shared" si="171"/>
        <v>ReencaucheReencauchadora RENOVA</v>
      </c>
    </row>
    <row r="406" spans="2:26" ht="15.2" customHeight="1">
      <c r="B406" s="37"/>
      <c r="E406" s="3062">
        <v>6</v>
      </c>
      <c r="F406" s="2297" t="s">
        <v>723</v>
      </c>
      <c r="G406" s="68" t="s">
        <v>724</v>
      </c>
      <c r="H406" s="69" t="s">
        <v>2399</v>
      </c>
      <c r="I406" s="2014" t="s">
        <v>726</v>
      </c>
      <c r="J406" s="70" t="s">
        <v>760</v>
      </c>
      <c r="K406" s="2305" t="s">
        <v>3589</v>
      </c>
      <c r="L406" s="72">
        <v>43547</v>
      </c>
      <c r="M406" s="2306" t="s">
        <v>729</v>
      </c>
      <c r="N406" s="74">
        <v>43556</v>
      </c>
      <c r="O406" s="75">
        <v>43556</v>
      </c>
      <c r="P406" s="2765" t="s">
        <v>3595</v>
      </c>
      <c r="Q406" s="2954">
        <v>100.9</v>
      </c>
      <c r="R406" s="76"/>
      <c r="S406" s="1945" t="s">
        <v>731</v>
      </c>
      <c r="T406" s="77" t="s">
        <v>2570</v>
      </c>
      <c r="U406" s="1893"/>
      <c r="V406" s="2079">
        <f t="shared" si="160"/>
        <v>119.062</v>
      </c>
      <c r="W406" s="78">
        <f t="shared" si="161"/>
        <v>0</v>
      </c>
      <c r="X406" s="1878" t="str">
        <f t="shared" si="159"/>
        <v>6.- R Aeolus 0050114-OT_255947  Reencauche F101-00019473 IDY3-220</v>
      </c>
      <c r="Z406" s="19" t="str">
        <f t="shared" si="171"/>
        <v>ReencaucheReencauchadora RENOVA</v>
      </c>
    </row>
    <row r="407" spans="2:26" ht="15.2" customHeight="1">
      <c r="B407" s="37"/>
      <c r="E407" s="79">
        <v>7</v>
      </c>
      <c r="F407" s="2294" t="s">
        <v>723</v>
      </c>
      <c r="G407" s="81" t="s">
        <v>724</v>
      </c>
      <c r="H407" s="82" t="s">
        <v>3588</v>
      </c>
      <c r="I407" s="2015" t="s">
        <v>726</v>
      </c>
      <c r="J407" s="83" t="s">
        <v>760</v>
      </c>
      <c r="K407" s="2295" t="s">
        <v>3589</v>
      </c>
      <c r="L407" s="85">
        <v>43547</v>
      </c>
      <c r="M407" s="2296" t="s">
        <v>729</v>
      </c>
      <c r="N407" s="87">
        <v>43556</v>
      </c>
      <c r="O407" s="88">
        <v>43556</v>
      </c>
      <c r="P407" s="2766" t="s">
        <v>3595</v>
      </c>
      <c r="Q407" s="2955">
        <v>100.9</v>
      </c>
      <c r="R407" s="89"/>
      <c r="S407" s="1946" t="s">
        <v>731</v>
      </c>
      <c r="T407" s="77" t="s">
        <v>2570</v>
      </c>
      <c r="U407" s="1893"/>
      <c r="V407" s="2079">
        <f t="shared" si="160"/>
        <v>119.062</v>
      </c>
      <c r="W407" s="78">
        <f t="shared" si="161"/>
        <v>0</v>
      </c>
      <c r="X407" s="1878" t="str">
        <f t="shared" si="159"/>
        <v>7.- R Aeolus 0330518-OT_255947  Reencauche F101-00019473 IDY3-220</v>
      </c>
      <c r="Z407" s="19" t="str">
        <f t="shared" si="171"/>
        <v>ReencaucheReencauchadora RENOVA</v>
      </c>
    </row>
    <row r="408" spans="2:26" ht="15.2" customHeight="1">
      <c r="B408" s="37"/>
      <c r="E408" s="3062">
        <v>1</v>
      </c>
      <c r="F408" s="2297" t="s">
        <v>723</v>
      </c>
      <c r="G408" s="68" t="s">
        <v>724</v>
      </c>
      <c r="H408" s="69" t="s">
        <v>3581</v>
      </c>
      <c r="I408" s="2014" t="s">
        <v>726</v>
      </c>
      <c r="J408" s="70" t="s">
        <v>760</v>
      </c>
      <c r="K408" s="2305" t="s">
        <v>3582</v>
      </c>
      <c r="L408" s="72">
        <v>43542</v>
      </c>
      <c r="M408" s="2306" t="s">
        <v>729</v>
      </c>
      <c r="N408" s="74">
        <v>43547</v>
      </c>
      <c r="O408" s="75">
        <f t="shared" ref="O408:O417" si="173">+N408</f>
        <v>43547</v>
      </c>
      <c r="P408" s="2765" t="s">
        <v>3583</v>
      </c>
      <c r="Q408" s="2954">
        <v>100.9</v>
      </c>
      <c r="R408" s="76"/>
      <c r="S408" s="1945" t="s">
        <v>731</v>
      </c>
      <c r="T408" s="77" t="s">
        <v>2570</v>
      </c>
      <c r="U408" s="1893"/>
      <c r="V408" s="2079">
        <f t="shared" si="160"/>
        <v>119.062</v>
      </c>
      <c r="W408" s="78">
        <f t="shared" si="161"/>
        <v>0</v>
      </c>
      <c r="X408" s="1878" t="str">
        <f t="shared" si="159"/>
        <v>1.- R Aeolus 0701016-OT_257181  Reencauche F101-00019337 IDY3-220</v>
      </c>
      <c r="Z408" s="19" t="str">
        <f t="shared" si="171"/>
        <v>ReencaucheReencauchadora RENOVA</v>
      </c>
    </row>
    <row r="409" spans="2:26" ht="15.2" customHeight="1">
      <c r="B409" s="37"/>
      <c r="E409" s="3062">
        <v>2</v>
      </c>
      <c r="F409" s="2297" t="s">
        <v>723</v>
      </c>
      <c r="G409" s="68" t="s">
        <v>724</v>
      </c>
      <c r="H409" s="69" t="s">
        <v>3580</v>
      </c>
      <c r="I409" s="2014" t="s">
        <v>726</v>
      </c>
      <c r="J409" s="70" t="s">
        <v>760</v>
      </c>
      <c r="K409" s="2305" t="s">
        <v>3582</v>
      </c>
      <c r="L409" s="72">
        <v>43542</v>
      </c>
      <c r="M409" s="2306" t="s">
        <v>729</v>
      </c>
      <c r="N409" s="74">
        <v>43547</v>
      </c>
      <c r="O409" s="75">
        <f t="shared" si="173"/>
        <v>43547</v>
      </c>
      <c r="P409" s="2765" t="s">
        <v>3583</v>
      </c>
      <c r="Q409" s="2954">
        <v>100.9</v>
      </c>
      <c r="R409" s="76"/>
      <c r="S409" s="1945" t="s">
        <v>731</v>
      </c>
      <c r="T409" s="77" t="s">
        <v>2570</v>
      </c>
      <c r="U409" s="1893"/>
      <c r="V409" s="2079">
        <f t="shared" si="160"/>
        <v>119.062</v>
      </c>
      <c r="W409" s="78">
        <f t="shared" si="161"/>
        <v>0</v>
      </c>
      <c r="X409" s="1878" t="str">
        <f t="shared" si="159"/>
        <v>2.- R Aeolus 0751016-OT_257181  Reencauche F101-00019337 IDY3-220</v>
      </c>
      <c r="Z409" s="19" t="str">
        <f t="shared" si="171"/>
        <v>ReencaucheReencauchadora RENOVA</v>
      </c>
    </row>
    <row r="410" spans="2:26" ht="15.2" customHeight="1">
      <c r="B410" s="37"/>
      <c r="E410" s="3062">
        <v>3</v>
      </c>
      <c r="F410" s="2297" t="s">
        <v>723</v>
      </c>
      <c r="G410" s="68" t="s">
        <v>724</v>
      </c>
      <c r="H410" s="69" t="s">
        <v>2932</v>
      </c>
      <c r="I410" s="2014" t="s">
        <v>726</v>
      </c>
      <c r="J410" s="70" t="s">
        <v>760</v>
      </c>
      <c r="K410" s="2305" t="s">
        <v>3582</v>
      </c>
      <c r="L410" s="72">
        <v>43542</v>
      </c>
      <c r="M410" s="2306" t="s">
        <v>729</v>
      </c>
      <c r="N410" s="74">
        <v>43547</v>
      </c>
      <c r="O410" s="75">
        <f t="shared" si="173"/>
        <v>43547</v>
      </c>
      <c r="P410" s="2765" t="s">
        <v>3583</v>
      </c>
      <c r="Q410" s="2954">
        <v>100.9</v>
      </c>
      <c r="R410" s="76"/>
      <c r="S410" s="1945" t="s">
        <v>731</v>
      </c>
      <c r="T410" s="77" t="s">
        <v>2570</v>
      </c>
      <c r="U410" s="1893"/>
      <c r="V410" s="2079">
        <f t="shared" si="160"/>
        <v>119.062</v>
      </c>
      <c r="W410" s="78">
        <f t="shared" si="161"/>
        <v>0</v>
      </c>
      <c r="X410" s="1878" t="str">
        <f t="shared" si="159"/>
        <v>3.- R Aeolus 0771016-OT_257181  Reencauche F101-00019337 IDY3-220</v>
      </c>
      <c r="Z410" s="19" t="str">
        <f t="shared" si="171"/>
        <v>ReencaucheReencauchadora RENOVA</v>
      </c>
    </row>
    <row r="411" spans="2:26" ht="15.2" customHeight="1">
      <c r="B411" s="37"/>
      <c r="E411" s="3062">
        <v>4</v>
      </c>
      <c r="F411" s="2297" t="s">
        <v>723</v>
      </c>
      <c r="G411" s="68" t="s">
        <v>724</v>
      </c>
      <c r="H411" s="69" t="s">
        <v>3579</v>
      </c>
      <c r="I411" s="2014" t="s">
        <v>726</v>
      </c>
      <c r="J411" s="70" t="s">
        <v>760</v>
      </c>
      <c r="K411" s="2305" t="s">
        <v>3582</v>
      </c>
      <c r="L411" s="72">
        <v>43542</v>
      </c>
      <c r="M411" s="2306" t="s">
        <v>729</v>
      </c>
      <c r="N411" s="74">
        <v>43547</v>
      </c>
      <c r="O411" s="75">
        <f t="shared" si="173"/>
        <v>43547</v>
      </c>
      <c r="P411" s="2765" t="s">
        <v>3583</v>
      </c>
      <c r="Q411" s="2954">
        <v>100.9</v>
      </c>
      <c r="R411" s="76"/>
      <c r="S411" s="1945" t="s">
        <v>731</v>
      </c>
      <c r="T411" s="77" t="s">
        <v>2570</v>
      </c>
      <c r="U411" s="1893"/>
      <c r="V411" s="2079">
        <f t="shared" si="160"/>
        <v>119.062</v>
      </c>
      <c r="W411" s="78">
        <f t="shared" si="161"/>
        <v>0</v>
      </c>
      <c r="X411" s="1878" t="str">
        <f t="shared" si="159"/>
        <v>4.- R Aeolus 0711016-OT_257181  Reencauche F101-00019337 IDY3-220</v>
      </c>
      <c r="Z411" s="19" t="str">
        <f t="shared" si="171"/>
        <v>ReencaucheReencauchadora RENOVA</v>
      </c>
    </row>
    <row r="412" spans="2:26" ht="15.2" customHeight="1">
      <c r="B412" s="37"/>
      <c r="E412" s="3062">
        <v>5</v>
      </c>
      <c r="F412" s="2297" t="s">
        <v>723</v>
      </c>
      <c r="G412" s="68" t="s">
        <v>724</v>
      </c>
      <c r="H412" s="69" t="s">
        <v>3578</v>
      </c>
      <c r="I412" s="2014" t="s">
        <v>726</v>
      </c>
      <c r="J412" s="70" t="s">
        <v>760</v>
      </c>
      <c r="K412" s="2305" t="s">
        <v>3582</v>
      </c>
      <c r="L412" s="72">
        <v>43542</v>
      </c>
      <c r="M412" s="2306" t="s">
        <v>729</v>
      </c>
      <c r="N412" s="74">
        <v>43547</v>
      </c>
      <c r="O412" s="75">
        <f t="shared" si="173"/>
        <v>43547</v>
      </c>
      <c r="P412" s="2765" t="s">
        <v>3583</v>
      </c>
      <c r="Q412" s="2954">
        <v>100.9</v>
      </c>
      <c r="R412" s="76"/>
      <c r="S412" s="1945" t="s">
        <v>731</v>
      </c>
      <c r="T412" s="77" t="s">
        <v>2570</v>
      </c>
      <c r="U412" s="1893"/>
      <c r="V412" s="2079">
        <f t="shared" si="160"/>
        <v>119.062</v>
      </c>
      <c r="W412" s="78">
        <f t="shared" si="161"/>
        <v>0</v>
      </c>
      <c r="X412" s="1878" t="str">
        <f t="shared" si="159"/>
        <v>5.- R Aeolus 0731016-OT_257181  Reencauche F101-00019337 IDY3-220</v>
      </c>
      <c r="Z412" s="19" t="str">
        <f>CONCATENATE(I415,J415)</f>
        <v>ReencaucheReencauchadora RENOVA</v>
      </c>
    </row>
    <row r="413" spans="2:26" ht="15.2" customHeight="1">
      <c r="B413" s="37"/>
      <c r="E413" s="3062">
        <v>6</v>
      </c>
      <c r="F413" s="2297" t="s">
        <v>723</v>
      </c>
      <c r="G413" s="68" t="s">
        <v>2551</v>
      </c>
      <c r="H413" s="69" t="s">
        <v>3577</v>
      </c>
      <c r="I413" s="2014" t="s">
        <v>726</v>
      </c>
      <c r="J413" s="70" t="s">
        <v>760</v>
      </c>
      <c r="K413" s="2305" t="s">
        <v>3582</v>
      </c>
      <c r="L413" s="72">
        <v>43542</v>
      </c>
      <c r="M413" s="2306" t="s">
        <v>729</v>
      </c>
      <c r="N413" s="74">
        <v>43547</v>
      </c>
      <c r="O413" s="75">
        <f t="shared" si="173"/>
        <v>43547</v>
      </c>
      <c r="P413" s="2765" t="s">
        <v>3583</v>
      </c>
      <c r="Q413" s="2954">
        <v>100.9</v>
      </c>
      <c r="R413" s="76"/>
      <c r="S413" s="1945" t="s">
        <v>731</v>
      </c>
      <c r="T413" s="77" t="s">
        <v>2570</v>
      </c>
      <c r="U413" s="1893"/>
      <c r="V413" s="2079">
        <f t="shared" si="160"/>
        <v>119.062</v>
      </c>
      <c r="W413" s="78">
        <f t="shared" si="161"/>
        <v>0</v>
      </c>
      <c r="X413" s="1878" t="str">
        <f t="shared" si="159"/>
        <v>6.- R SAILUM 8240517-OT_257181  Reencauche F101-00019337 IDY3-220</v>
      </c>
      <c r="Z413" s="19" t="str">
        <f>CONCATENATE(I416,J416)</f>
        <v>ReencaucheReencauchadora RENOVA</v>
      </c>
    </row>
    <row r="414" spans="2:26" ht="15.2" customHeight="1">
      <c r="B414" s="37"/>
      <c r="E414" s="3062">
        <v>7</v>
      </c>
      <c r="F414" s="2843" t="s">
        <v>723</v>
      </c>
      <c r="G414" s="81" t="s">
        <v>151</v>
      </c>
      <c r="H414" s="82" t="s">
        <v>3576</v>
      </c>
      <c r="I414" s="2015" t="s">
        <v>726</v>
      </c>
      <c r="J414" s="83" t="s">
        <v>760</v>
      </c>
      <c r="K414" s="2295" t="s">
        <v>3582</v>
      </c>
      <c r="L414" s="85">
        <v>43542</v>
      </c>
      <c r="M414" s="2306" t="s">
        <v>729</v>
      </c>
      <c r="N414" s="74">
        <v>43547</v>
      </c>
      <c r="O414" s="75">
        <f t="shared" si="173"/>
        <v>43547</v>
      </c>
      <c r="P414" s="2765" t="s">
        <v>3583</v>
      </c>
      <c r="Q414" s="2954">
        <v>100.9</v>
      </c>
      <c r="R414" s="76"/>
      <c r="S414" s="1945" t="s">
        <v>731</v>
      </c>
      <c r="T414" s="77" t="s">
        <v>2570</v>
      </c>
      <c r="U414" s="1893"/>
      <c r="V414" s="2079">
        <f t="shared" si="160"/>
        <v>119.062</v>
      </c>
      <c r="W414" s="78">
        <f t="shared" si="161"/>
        <v>0</v>
      </c>
      <c r="X414" s="1878" t="str">
        <f t="shared" si="159"/>
        <v>7.- R WindPower 0180116-OT_257181  Reencauche F101-00019337 IDY3-220</v>
      </c>
      <c r="Z414" s="19" t="str">
        <f t="shared" si="171"/>
        <v>ReencaucheReencauchadora RENOVA</v>
      </c>
    </row>
    <row r="415" spans="2:26" ht="15.2" customHeight="1">
      <c r="B415" s="37"/>
      <c r="E415" s="3061">
        <v>8</v>
      </c>
      <c r="F415" s="2297" t="s">
        <v>723</v>
      </c>
      <c r="G415" s="68" t="s">
        <v>2571</v>
      </c>
      <c r="H415" s="69" t="s">
        <v>3004</v>
      </c>
      <c r="I415" s="2014" t="s">
        <v>726</v>
      </c>
      <c r="J415" s="70" t="s">
        <v>760</v>
      </c>
      <c r="K415" s="2305" t="s">
        <v>3559</v>
      </c>
      <c r="L415" s="72">
        <v>43536</v>
      </c>
      <c r="M415" s="2306" t="s">
        <v>729</v>
      </c>
      <c r="N415" s="74">
        <v>43547</v>
      </c>
      <c r="O415" s="75">
        <f>+N415</f>
        <v>43547</v>
      </c>
      <c r="P415" s="2765" t="s">
        <v>3583</v>
      </c>
      <c r="Q415" s="2954">
        <v>100.9</v>
      </c>
      <c r="R415" s="76"/>
      <c r="S415" s="1945" t="s">
        <v>731</v>
      </c>
      <c r="T415" s="77" t="s">
        <v>2570</v>
      </c>
      <c r="U415" s="1893"/>
      <c r="V415" s="2079">
        <f t="shared" si="160"/>
        <v>119.062</v>
      </c>
      <c r="W415" s="78">
        <f t="shared" si="161"/>
        <v>0</v>
      </c>
      <c r="X415" s="1878" t="str">
        <f t="shared" si="159"/>
        <v>8.- R Continental 8110418-OT_257168  Reencauche F101-00019337 IDY3-220</v>
      </c>
      <c r="Z415" s="19" t="str">
        <f t="shared" si="170"/>
        <v>ReencaucheReencauchadora RENOVA</v>
      </c>
    </row>
    <row r="416" spans="2:26" ht="15.2" customHeight="1">
      <c r="B416" s="37"/>
      <c r="E416" s="79">
        <v>9</v>
      </c>
      <c r="F416" s="2294" t="s">
        <v>723</v>
      </c>
      <c r="G416" s="81" t="s">
        <v>737</v>
      </c>
      <c r="H416" s="82" t="s">
        <v>2715</v>
      </c>
      <c r="I416" s="2015" t="s">
        <v>726</v>
      </c>
      <c r="J416" s="83" t="s">
        <v>760</v>
      </c>
      <c r="K416" s="2295" t="s">
        <v>3559</v>
      </c>
      <c r="L416" s="85">
        <v>43536</v>
      </c>
      <c r="M416" s="2296" t="s">
        <v>729</v>
      </c>
      <c r="N416" s="87">
        <v>43547</v>
      </c>
      <c r="O416" s="88">
        <f>+N416</f>
        <v>43547</v>
      </c>
      <c r="P416" s="2766" t="s">
        <v>3583</v>
      </c>
      <c r="Q416" s="2955">
        <v>100.9</v>
      </c>
      <c r="R416" s="89"/>
      <c r="S416" s="1946" t="s">
        <v>731</v>
      </c>
      <c r="T416" s="77" t="s">
        <v>2570</v>
      </c>
      <c r="U416" s="1893"/>
      <c r="V416" s="2079">
        <f t="shared" si="160"/>
        <v>119.062</v>
      </c>
      <c r="W416" s="78">
        <f t="shared" si="161"/>
        <v>0</v>
      </c>
      <c r="X416" s="1878" t="str">
        <f t="shared" si="159"/>
        <v>9.- R Vikrant 0340317-OT_257168  Reencauche F101-00019337 IDY3-220</v>
      </c>
      <c r="Z416" s="19" t="str">
        <f t="shared" si="170"/>
        <v>ReencaucheReencauchadora RENOVA</v>
      </c>
    </row>
    <row r="417" spans="2:26" ht="15.2" customHeight="1">
      <c r="B417" s="37"/>
      <c r="E417" s="3062">
        <v>1</v>
      </c>
      <c r="F417" s="2297" t="s">
        <v>723</v>
      </c>
      <c r="G417" s="68" t="s">
        <v>724</v>
      </c>
      <c r="H417" s="69" t="s">
        <v>3567</v>
      </c>
      <c r="I417" s="2014" t="s">
        <v>726</v>
      </c>
      <c r="J417" s="70" t="s">
        <v>760</v>
      </c>
      <c r="K417" s="2305" t="s">
        <v>3559</v>
      </c>
      <c r="L417" s="72">
        <v>43536</v>
      </c>
      <c r="M417" s="2306" t="s">
        <v>729</v>
      </c>
      <c r="N417" s="74">
        <v>43539</v>
      </c>
      <c r="O417" s="75">
        <f t="shared" si="173"/>
        <v>43539</v>
      </c>
      <c r="P417" s="2765" t="s">
        <v>3568</v>
      </c>
      <c r="Q417" s="2954">
        <v>100.9</v>
      </c>
      <c r="R417" s="76"/>
      <c r="S417" s="1945" t="s">
        <v>731</v>
      </c>
      <c r="T417" s="77" t="s">
        <v>2570</v>
      </c>
      <c r="U417" s="1893"/>
      <c r="V417" s="2079">
        <f t="shared" si="160"/>
        <v>119.062</v>
      </c>
      <c r="W417" s="78">
        <f t="shared" si="161"/>
        <v>0</v>
      </c>
      <c r="X417" s="1878" t="str">
        <f t="shared" si="159"/>
        <v>1.- R Aeolus 0370518-OT_257168  Reencauche F101-00019215 IDY3-220</v>
      </c>
      <c r="Z417" s="19" t="str">
        <f t="shared" si="170"/>
        <v>ReencaucheReencauchadora RENOVA</v>
      </c>
    </row>
    <row r="418" spans="2:26" ht="15.2" customHeight="1">
      <c r="B418" s="37"/>
      <c r="E418" s="3061">
        <v>2</v>
      </c>
      <c r="F418" s="2297" t="s">
        <v>723</v>
      </c>
      <c r="G418" s="68" t="s">
        <v>737</v>
      </c>
      <c r="H418" s="69" t="s">
        <v>3563</v>
      </c>
      <c r="I418" s="2014" t="s">
        <v>726</v>
      </c>
      <c r="J418" s="70" t="s">
        <v>760</v>
      </c>
      <c r="K418" s="2305" t="s">
        <v>3559</v>
      </c>
      <c r="L418" s="72">
        <v>43536</v>
      </c>
      <c r="M418" s="2306" t="s">
        <v>729</v>
      </c>
      <c r="N418" s="74">
        <v>43539</v>
      </c>
      <c r="O418" s="75">
        <f t="shared" si="172"/>
        <v>43539</v>
      </c>
      <c r="P418" s="2765" t="s">
        <v>3568</v>
      </c>
      <c r="Q418" s="2954">
        <v>100.9</v>
      </c>
      <c r="R418" s="76"/>
      <c r="S418" s="1945" t="s">
        <v>731</v>
      </c>
      <c r="T418" s="77" t="s">
        <v>2570</v>
      </c>
      <c r="U418" s="1893"/>
      <c r="V418" s="2079">
        <f t="shared" si="160"/>
        <v>119.062</v>
      </c>
      <c r="W418" s="78">
        <f t="shared" si="161"/>
        <v>0</v>
      </c>
      <c r="X418" s="1878" t="str">
        <f t="shared" ref="X418:X481" si="174">CONCATENATE(E418,".- ",F418," ",G418," ",H418,"-OT_",K418," "," ",I418," ",P418," ",T418)</f>
        <v>2.- R Vikrant 0741016-OT_257168  Reencauche F101-00019215 IDY3-220</v>
      </c>
      <c r="Z418" s="19" t="str">
        <f t="shared" si="170"/>
        <v>ReencaucheReencauchadora RENOVA</v>
      </c>
    </row>
    <row r="419" spans="2:26" ht="15.2" customHeight="1">
      <c r="B419" s="37"/>
      <c r="E419" s="3061">
        <v>3</v>
      </c>
      <c r="F419" s="2297" t="s">
        <v>723</v>
      </c>
      <c r="G419" s="68" t="s">
        <v>737</v>
      </c>
      <c r="H419" s="69" t="s">
        <v>3564</v>
      </c>
      <c r="I419" s="2014" t="s">
        <v>726</v>
      </c>
      <c r="J419" s="70" t="s">
        <v>760</v>
      </c>
      <c r="K419" s="2305" t="s">
        <v>3559</v>
      </c>
      <c r="L419" s="72">
        <v>43536</v>
      </c>
      <c r="M419" s="2306" t="s">
        <v>729</v>
      </c>
      <c r="N419" s="74">
        <v>43539</v>
      </c>
      <c r="O419" s="75">
        <f t="shared" si="172"/>
        <v>43539</v>
      </c>
      <c r="P419" s="2765" t="s">
        <v>3568</v>
      </c>
      <c r="Q419" s="2954">
        <v>100.9</v>
      </c>
      <c r="R419" s="76"/>
      <c r="S419" s="1945" t="s">
        <v>731</v>
      </c>
      <c r="T419" s="77" t="s">
        <v>2570</v>
      </c>
      <c r="U419" s="1893"/>
      <c r="V419" s="2079">
        <f t="shared" ref="V419:V482" si="175">+Q419*(1.18)</f>
        <v>119.062</v>
      </c>
      <c r="W419" s="78">
        <f t="shared" ref="W419:W482" si="176">+R419*(1.18)</f>
        <v>0</v>
      </c>
      <c r="X419" s="1878" t="str">
        <f t="shared" si="174"/>
        <v>3.- R Vikrant 0340518-OT_257168  Reencauche F101-00019215 IDY3-220</v>
      </c>
      <c r="Z419" s="19" t="str">
        <f t="shared" si="170"/>
        <v>ReencaucheReencauchadora RENOVA</v>
      </c>
    </row>
    <row r="420" spans="2:26" ht="15.2" customHeight="1">
      <c r="B420" s="37"/>
      <c r="E420" s="3061">
        <v>4</v>
      </c>
      <c r="F420" s="2297" t="s">
        <v>723</v>
      </c>
      <c r="G420" s="68" t="s">
        <v>151</v>
      </c>
      <c r="H420" s="69" t="s">
        <v>3561</v>
      </c>
      <c r="I420" s="2014" t="s">
        <v>726</v>
      </c>
      <c r="J420" s="70" t="s">
        <v>760</v>
      </c>
      <c r="K420" s="2305" t="s">
        <v>3559</v>
      </c>
      <c r="L420" s="72">
        <v>43536</v>
      </c>
      <c r="M420" s="2306" t="s">
        <v>729</v>
      </c>
      <c r="N420" s="74">
        <v>43539</v>
      </c>
      <c r="O420" s="75">
        <f t="shared" si="172"/>
        <v>43539</v>
      </c>
      <c r="P420" s="2765" t="s">
        <v>3568</v>
      </c>
      <c r="Q420" s="2954">
        <v>100.9</v>
      </c>
      <c r="R420" s="76"/>
      <c r="S420" s="1945" t="s">
        <v>731</v>
      </c>
      <c r="T420" s="77" t="s">
        <v>2570</v>
      </c>
      <c r="U420" s="1893"/>
      <c r="V420" s="2079">
        <f t="shared" si="175"/>
        <v>119.062</v>
      </c>
      <c r="W420" s="78">
        <f t="shared" si="176"/>
        <v>0</v>
      </c>
      <c r="X420" s="1878" t="str">
        <f t="shared" si="174"/>
        <v>4.- R WindPower 0440815-OT_257168  Reencauche F101-00019215 IDY3-220</v>
      </c>
      <c r="Z420" s="19" t="str">
        <f t="shared" si="170"/>
        <v>ReencaucheReencauchadora RENOVA</v>
      </c>
    </row>
    <row r="421" spans="2:26" ht="15.2" customHeight="1">
      <c r="B421" s="37"/>
      <c r="E421" s="3061">
        <v>5</v>
      </c>
      <c r="F421" s="2297" t="s">
        <v>723</v>
      </c>
      <c r="G421" s="68" t="s">
        <v>151</v>
      </c>
      <c r="H421" s="69" t="s">
        <v>3562</v>
      </c>
      <c r="I421" s="2014" t="s">
        <v>726</v>
      </c>
      <c r="J421" s="70" t="s">
        <v>760</v>
      </c>
      <c r="K421" s="2305" t="s">
        <v>3559</v>
      </c>
      <c r="L421" s="72">
        <v>43536</v>
      </c>
      <c r="M421" s="2306" t="s">
        <v>729</v>
      </c>
      <c r="N421" s="74">
        <v>43539</v>
      </c>
      <c r="O421" s="75">
        <f t="shared" si="172"/>
        <v>43539</v>
      </c>
      <c r="P421" s="2765" t="s">
        <v>3568</v>
      </c>
      <c r="Q421" s="2954">
        <v>100.9</v>
      </c>
      <c r="R421" s="76"/>
      <c r="S421" s="1945" t="s">
        <v>731</v>
      </c>
      <c r="T421" s="77" t="s">
        <v>2570</v>
      </c>
      <c r="U421" s="1893"/>
      <c r="V421" s="2079">
        <f t="shared" si="175"/>
        <v>119.062</v>
      </c>
      <c r="W421" s="78">
        <f t="shared" si="176"/>
        <v>0</v>
      </c>
      <c r="X421" s="1878" t="str">
        <f t="shared" si="174"/>
        <v>5.- R WindPower 0450815-OT_257168  Reencauche F101-00019215 IDY3-220</v>
      </c>
      <c r="Z421" s="19" t="str">
        <f t="shared" si="170"/>
        <v>ReencaucheReencauchadora RENOVA</v>
      </c>
    </row>
    <row r="422" spans="2:26" ht="15.2" customHeight="1">
      <c r="B422" s="37"/>
      <c r="E422" s="3061">
        <v>6</v>
      </c>
      <c r="F422" s="2297" t="s">
        <v>723</v>
      </c>
      <c r="G422" s="68" t="s">
        <v>724</v>
      </c>
      <c r="H422" s="3069" t="s">
        <v>2827</v>
      </c>
      <c r="I422" s="2014" t="s">
        <v>726</v>
      </c>
      <c r="J422" s="70" t="s">
        <v>760</v>
      </c>
      <c r="K422" s="2305" t="s">
        <v>3559</v>
      </c>
      <c r="L422" s="72">
        <v>43536</v>
      </c>
      <c r="M422" s="2306" t="s">
        <v>729</v>
      </c>
      <c r="N422" s="74">
        <v>43539</v>
      </c>
      <c r="O422" s="75">
        <f t="shared" si="172"/>
        <v>43539</v>
      </c>
      <c r="P422" s="2765" t="s">
        <v>3568</v>
      </c>
      <c r="Q422" s="2954">
        <v>100.9</v>
      </c>
      <c r="R422" s="76"/>
      <c r="S422" s="1945" t="s">
        <v>731</v>
      </c>
      <c r="T422" s="77" t="s">
        <v>2570</v>
      </c>
      <c r="U422" s="1893"/>
      <c r="V422" s="2079">
        <f t="shared" si="175"/>
        <v>119.062</v>
      </c>
      <c r="W422" s="78">
        <f t="shared" si="176"/>
        <v>0</v>
      </c>
      <c r="X422" s="1878" t="str">
        <f t="shared" si="174"/>
        <v>6.- R Aeolus 0310516-OT_257168  Reencauche F101-00019215 IDY3-220</v>
      </c>
      <c r="Z422" s="19" t="str">
        <f t="shared" si="170"/>
        <v>ReencaucheReencauchadora RENOVA</v>
      </c>
    </row>
    <row r="423" spans="2:26" ht="15.2" customHeight="1">
      <c r="B423" s="37"/>
      <c r="E423" s="3061">
        <v>7</v>
      </c>
      <c r="F423" s="2297" t="s">
        <v>723</v>
      </c>
      <c r="G423" s="68" t="s">
        <v>724</v>
      </c>
      <c r="H423" s="69" t="s">
        <v>856</v>
      </c>
      <c r="I423" s="2014" t="s">
        <v>726</v>
      </c>
      <c r="J423" s="70" t="s">
        <v>760</v>
      </c>
      <c r="K423" s="2305" t="s">
        <v>3559</v>
      </c>
      <c r="L423" s="72">
        <v>43536</v>
      </c>
      <c r="M423" s="2306" t="s">
        <v>729</v>
      </c>
      <c r="N423" s="74">
        <v>43539</v>
      </c>
      <c r="O423" s="75">
        <f t="shared" si="172"/>
        <v>43539</v>
      </c>
      <c r="P423" s="2765" t="s">
        <v>3568</v>
      </c>
      <c r="Q423" s="2954">
        <v>100.9</v>
      </c>
      <c r="R423" s="76"/>
      <c r="S423" s="1945" t="s">
        <v>731</v>
      </c>
      <c r="T423" s="77" t="s">
        <v>2570</v>
      </c>
      <c r="U423" s="1893"/>
      <c r="V423" s="2079">
        <f t="shared" si="175"/>
        <v>119.062</v>
      </c>
      <c r="W423" s="78">
        <f t="shared" si="176"/>
        <v>0</v>
      </c>
      <c r="X423" s="1878" t="str">
        <f t="shared" si="174"/>
        <v>7.- R Aeolus 0020115-OT_257168  Reencauche F101-00019215 IDY3-220</v>
      </c>
      <c r="Z423" s="19" t="str">
        <f t="shared" si="170"/>
        <v>ReencaucheReencauchadora RENOVA</v>
      </c>
    </row>
    <row r="424" spans="2:26" ht="15.2" customHeight="1">
      <c r="B424" s="37"/>
      <c r="E424" s="3061">
        <v>8</v>
      </c>
      <c r="F424" s="2297" t="s">
        <v>723</v>
      </c>
      <c r="G424" s="68" t="s">
        <v>737</v>
      </c>
      <c r="H424" s="69" t="s">
        <v>2705</v>
      </c>
      <c r="I424" s="2014" t="s">
        <v>726</v>
      </c>
      <c r="J424" s="70" t="s">
        <v>760</v>
      </c>
      <c r="K424" s="2305" t="s">
        <v>3559</v>
      </c>
      <c r="L424" s="72">
        <v>43536</v>
      </c>
      <c r="M424" s="2306" t="s">
        <v>729</v>
      </c>
      <c r="N424" s="74">
        <v>43539</v>
      </c>
      <c r="O424" s="75">
        <f t="shared" si="172"/>
        <v>43539</v>
      </c>
      <c r="P424" s="2765" t="s">
        <v>3568</v>
      </c>
      <c r="Q424" s="2954">
        <v>100.9</v>
      </c>
      <c r="R424" s="76"/>
      <c r="S424" s="1945" t="s">
        <v>731</v>
      </c>
      <c r="T424" s="77" t="s">
        <v>2570</v>
      </c>
      <c r="U424" s="1893"/>
      <c r="V424" s="2079">
        <f t="shared" si="175"/>
        <v>119.062</v>
      </c>
      <c r="W424" s="78">
        <f t="shared" si="176"/>
        <v>0</v>
      </c>
      <c r="X424" s="1878" t="str">
        <f t="shared" si="174"/>
        <v>8.- R Vikrant 0270217-OT_257168  Reencauche F101-00019215 IDY3-220</v>
      </c>
      <c r="Z424" s="19" t="str">
        <f t="shared" si="170"/>
        <v>ReencaucheReenc. MASTERCAUCHO</v>
      </c>
    </row>
    <row r="425" spans="2:26" ht="15.2" customHeight="1">
      <c r="B425" s="37"/>
      <c r="E425" s="3061">
        <v>9</v>
      </c>
      <c r="F425" s="2297" t="s">
        <v>723</v>
      </c>
      <c r="G425" s="68" t="s">
        <v>724</v>
      </c>
      <c r="H425" s="69" t="s">
        <v>3557</v>
      </c>
      <c r="I425" s="2014" t="s">
        <v>726</v>
      </c>
      <c r="J425" s="70" t="s">
        <v>760</v>
      </c>
      <c r="K425" s="2305" t="s">
        <v>3560</v>
      </c>
      <c r="L425" s="72">
        <v>43536</v>
      </c>
      <c r="M425" s="2306" t="s">
        <v>729</v>
      </c>
      <c r="N425" s="74">
        <v>43539</v>
      </c>
      <c r="O425" s="75">
        <f t="shared" si="172"/>
        <v>43539</v>
      </c>
      <c r="P425" s="2765" t="s">
        <v>3568</v>
      </c>
      <c r="Q425" s="2954">
        <v>100.9</v>
      </c>
      <c r="R425" s="76"/>
      <c r="S425" s="1945" t="s">
        <v>731</v>
      </c>
      <c r="T425" s="77" t="s">
        <v>2570</v>
      </c>
      <c r="U425" s="1893"/>
      <c r="V425" s="2079">
        <f t="shared" si="175"/>
        <v>119.062</v>
      </c>
      <c r="W425" s="78">
        <f t="shared" si="176"/>
        <v>0</v>
      </c>
      <c r="X425" s="1878" t="str">
        <f t="shared" si="174"/>
        <v>9.- R Aeolus 0380518-OT_257169  Reencauche F101-00019215 IDY3-220</v>
      </c>
      <c r="Z425" s="19" t="str">
        <f t="shared" si="170"/>
        <v>ReencaucheReenc. MASTERCAUCHO</v>
      </c>
    </row>
    <row r="426" spans="2:26" ht="15.2" customHeight="1">
      <c r="B426" s="37"/>
      <c r="E426" s="79">
        <v>10</v>
      </c>
      <c r="F426" s="2294" t="s">
        <v>723</v>
      </c>
      <c r="G426" s="81" t="s">
        <v>724</v>
      </c>
      <c r="H426" s="82" t="s">
        <v>3558</v>
      </c>
      <c r="I426" s="2015" t="s">
        <v>726</v>
      </c>
      <c r="J426" s="83" t="s">
        <v>760</v>
      </c>
      <c r="K426" s="2295" t="s">
        <v>3560</v>
      </c>
      <c r="L426" s="85">
        <v>43536</v>
      </c>
      <c r="M426" s="2296" t="s">
        <v>729</v>
      </c>
      <c r="N426" s="87">
        <v>43539</v>
      </c>
      <c r="O426" s="88">
        <f t="shared" si="172"/>
        <v>43539</v>
      </c>
      <c r="P426" s="2766" t="s">
        <v>3568</v>
      </c>
      <c r="Q426" s="2955">
        <v>100.9</v>
      </c>
      <c r="R426" s="89"/>
      <c r="S426" s="1946" t="s">
        <v>731</v>
      </c>
      <c r="T426" s="77" t="s">
        <v>2570</v>
      </c>
      <c r="U426" s="1893"/>
      <c r="V426" s="2079">
        <f t="shared" si="175"/>
        <v>119.062</v>
      </c>
      <c r="W426" s="78">
        <f t="shared" si="176"/>
        <v>0</v>
      </c>
      <c r="X426" s="1878" t="str">
        <f t="shared" si="174"/>
        <v>10.- R Aeolus 0350518-OT_257169  Reencauche F101-00019215 IDY3-220</v>
      </c>
      <c r="Z426" s="19" t="str">
        <f>CONCATENATE(I429,J429)</f>
        <v>Vulcanizado (curación)Reenc. MASTERCAUCHO</v>
      </c>
    </row>
    <row r="427" spans="2:26" ht="15.2" customHeight="1">
      <c r="B427" s="37"/>
      <c r="E427" s="3061">
        <v>1</v>
      </c>
      <c r="F427" s="2297" t="s">
        <v>723</v>
      </c>
      <c r="G427" s="68" t="s">
        <v>2460</v>
      </c>
      <c r="H427" s="69" t="s">
        <v>2852</v>
      </c>
      <c r="I427" s="2014" t="s">
        <v>726</v>
      </c>
      <c r="J427" s="70" t="s">
        <v>727</v>
      </c>
      <c r="K427" s="2305" t="s">
        <v>3556</v>
      </c>
      <c r="L427" s="72">
        <v>43536</v>
      </c>
      <c r="M427" s="2306" t="s">
        <v>729</v>
      </c>
      <c r="N427" s="74">
        <v>43542</v>
      </c>
      <c r="O427" s="75">
        <f t="shared" si="172"/>
        <v>43542</v>
      </c>
      <c r="P427" s="2765" t="s">
        <v>3573</v>
      </c>
      <c r="Q427" s="2954"/>
      <c r="R427" s="76">
        <v>279.661</v>
      </c>
      <c r="S427" s="1945" t="s">
        <v>731</v>
      </c>
      <c r="T427" s="77" t="s">
        <v>2712</v>
      </c>
      <c r="U427" s="1893"/>
      <c r="V427" s="2079">
        <f t="shared" si="175"/>
        <v>0</v>
      </c>
      <c r="W427" s="78">
        <f t="shared" si="176"/>
        <v>329.99997999999999</v>
      </c>
      <c r="X427" s="1878" t="str">
        <f t="shared" si="174"/>
        <v>1.- R MICHELLIN 46880114-OT_011066  Reencauche F001-00001775 MDY-220</v>
      </c>
      <c r="Z427" s="19" t="str">
        <f t="shared" ref="Z427" si="177">CONCATENATE(I430,J430)</f>
        <v>Casc 2a trnsplReenc. MASTERCAUCHO</v>
      </c>
    </row>
    <row r="428" spans="2:26" ht="15.2" customHeight="1">
      <c r="B428" s="37"/>
      <c r="E428" s="3061">
        <v>2</v>
      </c>
      <c r="F428" s="2297" t="s">
        <v>723</v>
      </c>
      <c r="G428" s="68" t="s">
        <v>724</v>
      </c>
      <c r="H428" s="69" t="s">
        <v>3574</v>
      </c>
      <c r="I428" s="2014" t="s">
        <v>726</v>
      </c>
      <c r="J428" s="70" t="s">
        <v>727</v>
      </c>
      <c r="K428" s="2305" t="s">
        <v>3556</v>
      </c>
      <c r="L428" s="72">
        <v>43536</v>
      </c>
      <c r="M428" s="73" t="s">
        <v>729</v>
      </c>
      <c r="N428" s="74">
        <v>43542</v>
      </c>
      <c r="O428" s="75">
        <v>43542</v>
      </c>
      <c r="P428" s="2765" t="s">
        <v>3573</v>
      </c>
      <c r="Q428" s="2954"/>
      <c r="R428" s="76">
        <v>279.661</v>
      </c>
      <c r="S428" s="1945" t="s">
        <v>731</v>
      </c>
      <c r="T428" s="77" t="s">
        <v>2712</v>
      </c>
      <c r="U428" s="1893"/>
      <c r="V428" s="2079">
        <f t="shared" si="175"/>
        <v>0</v>
      </c>
      <c r="W428" s="78">
        <f t="shared" si="176"/>
        <v>329.99997999999999</v>
      </c>
      <c r="X428" s="1878" t="str">
        <f t="shared" si="174"/>
        <v>2.- R Aeolus 0820917-OT_011066  Reencauche F001-00001775 MDY-220</v>
      </c>
      <c r="Z428" s="19" t="str">
        <f>CONCATENATE(I431,J431)</f>
        <v>ReencaucheReenc. MASTERCAUCHO</v>
      </c>
    </row>
    <row r="429" spans="2:26" ht="15.2" customHeight="1">
      <c r="B429" s="37"/>
      <c r="E429" s="3061">
        <v>3</v>
      </c>
      <c r="F429" s="2297" t="s">
        <v>723</v>
      </c>
      <c r="G429" s="68" t="s">
        <v>724</v>
      </c>
      <c r="H429" s="69" t="s">
        <v>762</v>
      </c>
      <c r="I429" s="3067" t="s">
        <v>811</v>
      </c>
      <c r="J429" s="70" t="s">
        <v>727</v>
      </c>
      <c r="K429" s="2305" t="s">
        <v>3556</v>
      </c>
      <c r="L429" s="72">
        <v>43536</v>
      </c>
      <c r="M429" s="2306" t="s">
        <v>729</v>
      </c>
      <c r="N429" s="74">
        <v>43542</v>
      </c>
      <c r="O429" s="75">
        <f t="shared" si="172"/>
        <v>43542</v>
      </c>
      <c r="P429" s="2765" t="s">
        <v>3573</v>
      </c>
      <c r="Q429" s="2954"/>
      <c r="R429" s="76">
        <v>84.745699999999999</v>
      </c>
      <c r="S429" s="1945" t="s">
        <v>731</v>
      </c>
      <c r="T429" s="77" t="s">
        <v>3229</v>
      </c>
      <c r="U429" s="1893"/>
      <c r="V429" s="2079">
        <f t="shared" si="175"/>
        <v>0</v>
      </c>
      <c r="W429" s="78">
        <f t="shared" si="176"/>
        <v>99.999925999999988</v>
      </c>
      <c r="X429" s="1878" t="str">
        <f t="shared" si="174"/>
        <v>3.- R Aeolus 0270814-OT_011066  Vulcanizado (curación) F001-00001775 Corte lateral</v>
      </c>
      <c r="Z429" s="19" t="str">
        <f t="shared" ref="Z429:Z436" si="178">CONCATENATE(I432,J432)</f>
        <v>Sacar_BandaReenc. MASTERCAUCHO</v>
      </c>
    </row>
    <row r="430" spans="2:26" ht="15.2" customHeight="1">
      <c r="B430" s="37"/>
      <c r="E430" s="3062">
        <v>4</v>
      </c>
      <c r="F430" s="2297" t="s">
        <v>723</v>
      </c>
      <c r="G430" s="68" t="s">
        <v>3482</v>
      </c>
      <c r="H430" s="69" t="s">
        <v>3572</v>
      </c>
      <c r="I430" s="2014" t="s">
        <v>3224</v>
      </c>
      <c r="J430" s="70" t="s">
        <v>727</v>
      </c>
      <c r="K430" s="2305" t="s">
        <v>857</v>
      </c>
      <c r="L430" s="72"/>
      <c r="M430" s="2306" t="s">
        <v>729</v>
      </c>
      <c r="N430" s="74">
        <v>43542</v>
      </c>
      <c r="O430" s="75">
        <f t="shared" ref="O430" si="179">+N430</f>
        <v>43542</v>
      </c>
      <c r="P430" s="2765" t="s">
        <v>3573</v>
      </c>
      <c r="Q430" s="2954"/>
      <c r="R430" s="76">
        <v>211.86439999999999</v>
      </c>
      <c r="S430" s="1945" t="s">
        <v>731</v>
      </c>
      <c r="T430" s="77" t="s">
        <v>3571</v>
      </c>
      <c r="U430" s="1893"/>
      <c r="V430" s="2079">
        <f t="shared" si="175"/>
        <v>0</v>
      </c>
      <c r="W430" s="78">
        <f t="shared" si="176"/>
        <v>249.99999199999996</v>
      </c>
      <c r="X430" s="1878" t="str">
        <f t="shared" si="174"/>
        <v>4.- R SuperHawk 8060319-OT_S/D  Casc 2a trnspl F001-00001775 SuperHawk HK859 3415 China</v>
      </c>
      <c r="Z430" s="19" t="str">
        <f t="shared" si="178"/>
        <v>Casc 2a trnsplReenc. MASTERCAUCHO</v>
      </c>
    </row>
    <row r="431" spans="2:26" ht="15.2" customHeight="1">
      <c r="B431" s="37"/>
      <c r="E431" s="3061">
        <v>5</v>
      </c>
      <c r="F431" s="2297" t="s">
        <v>723</v>
      </c>
      <c r="G431" s="68" t="s">
        <v>825</v>
      </c>
      <c r="H431" s="69" t="s">
        <v>859</v>
      </c>
      <c r="I431" s="2014" t="s">
        <v>726</v>
      </c>
      <c r="J431" s="70" t="s">
        <v>727</v>
      </c>
      <c r="K431" s="2305" t="s">
        <v>3556</v>
      </c>
      <c r="L431" s="72">
        <v>43536</v>
      </c>
      <c r="M431" s="2306" t="s">
        <v>729</v>
      </c>
      <c r="N431" s="74">
        <v>43542</v>
      </c>
      <c r="O431" s="75">
        <f>+N431</f>
        <v>43542</v>
      </c>
      <c r="P431" s="2765" t="s">
        <v>3575</v>
      </c>
      <c r="Q431" s="2954"/>
      <c r="R431" s="76">
        <v>0</v>
      </c>
      <c r="S431" s="1945" t="s">
        <v>731</v>
      </c>
      <c r="T431" s="77" t="s">
        <v>3498</v>
      </c>
      <c r="U431" s="1893"/>
      <c r="V431" s="2079">
        <f t="shared" si="175"/>
        <v>0</v>
      </c>
      <c r="W431" s="78">
        <f t="shared" si="176"/>
        <v>0</v>
      </c>
      <c r="X431" s="1878" t="str">
        <f t="shared" si="174"/>
        <v>5.- R Falken 0510611-OT_011066  Reencauche G-EG01-710 Falla estructural</v>
      </c>
      <c r="Z431" s="19" t="str">
        <f t="shared" si="178"/>
        <v>Casc 2a trnsplReenc. MASTERCAUCHO</v>
      </c>
    </row>
    <row r="432" spans="2:26" ht="15.2" customHeight="1">
      <c r="B432" s="37"/>
      <c r="E432" s="79">
        <v>6</v>
      </c>
      <c r="F432" s="2843" t="s">
        <v>723</v>
      </c>
      <c r="G432" s="81" t="s">
        <v>724</v>
      </c>
      <c r="H432" s="82" t="s">
        <v>3446</v>
      </c>
      <c r="I432" s="2015" t="s">
        <v>744</v>
      </c>
      <c r="J432" s="83" t="s">
        <v>727</v>
      </c>
      <c r="K432" s="2295" t="s">
        <v>3556</v>
      </c>
      <c r="L432" s="85">
        <v>43536</v>
      </c>
      <c r="M432" s="2296" t="s">
        <v>729</v>
      </c>
      <c r="N432" s="87">
        <v>43542</v>
      </c>
      <c r="O432" s="88">
        <f t="shared" si="172"/>
        <v>43542</v>
      </c>
      <c r="P432" s="2766" t="s">
        <v>3575</v>
      </c>
      <c r="Q432" s="2955"/>
      <c r="R432" s="89">
        <v>0</v>
      </c>
      <c r="S432" s="1946" t="s">
        <v>731</v>
      </c>
      <c r="T432" s="77" t="s">
        <v>2753</v>
      </c>
      <c r="U432" s="1893"/>
      <c r="V432" s="2079">
        <f t="shared" si="175"/>
        <v>0</v>
      </c>
      <c r="W432" s="78">
        <f t="shared" si="176"/>
        <v>0</v>
      </c>
      <c r="X432" s="1878" t="str">
        <f t="shared" si="174"/>
        <v>6.- R Aeolus 0310518-OT_011066  Sacar_Banda G-EG01-710 Casco pelado</v>
      </c>
      <c r="Z432" s="19" t="str">
        <f t="shared" si="178"/>
        <v>Sacar_BandaReenc. MASTERCAUCHO</v>
      </c>
    </row>
    <row r="433" spans="2:26" ht="15.2" customHeight="1">
      <c r="B433" s="37"/>
      <c r="E433" s="3061">
        <v>1</v>
      </c>
      <c r="F433" s="2297" t="s">
        <v>723</v>
      </c>
      <c r="G433" s="68" t="s">
        <v>3544</v>
      </c>
      <c r="H433" s="69" t="s">
        <v>3542</v>
      </c>
      <c r="I433" s="2014" t="s">
        <v>3224</v>
      </c>
      <c r="J433" s="70" t="s">
        <v>727</v>
      </c>
      <c r="K433" s="2305" t="s">
        <v>857</v>
      </c>
      <c r="L433" s="72"/>
      <c r="M433" s="2306" t="s">
        <v>729</v>
      </c>
      <c r="N433" s="74">
        <v>43532</v>
      </c>
      <c r="O433" s="75">
        <f t="shared" si="172"/>
        <v>43532</v>
      </c>
      <c r="P433" s="2765" t="s">
        <v>3547</v>
      </c>
      <c r="Q433" s="2954"/>
      <c r="R433" s="76">
        <v>127.1186</v>
      </c>
      <c r="S433" s="1945" t="s">
        <v>731</v>
      </c>
      <c r="T433" s="70" t="s">
        <v>3548</v>
      </c>
      <c r="U433" s="1893"/>
      <c r="V433" s="2079">
        <f t="shared" si="175"/>
        <v>0</v>
      </c>
      <c r="W433" s="78">
        <f t="shared" si="176"/>
        <v>149.99994799999999</v>
      </c>
      <c r="X433" s="1878" t="str">
        <f t="shared" si="174"/>
        <v>1.- R Lanvigator 8030319-OT_S/D  Casc 2a trnspl F001-00001668 Lanvigator S600 0118 China</v>
      </c>
      <c r="Z433" s="19" t="str">
        <f t="shared" si="178"/>
        <v>Sacar_BandaReenc. MASTERCAUCHO</v>
      </c>
    </row>
    <row r="434" spans="2:26" ht="15.2" customHeight="1">
      <c r="B434" s="37"/>
      <c r="E434" s="3061">
        <v>2</v>
      </c>
      <c r="F434" s="2297" t="s">
        <v>723</v>
      </c>
      <c r="G434" s="68" t="s">
        <v>3544</v>
      </c>
      <c r="H434" s="69" t="s">
        <v>3543</v>
      </c>
      <c r="I434" s="68" t="s">
        <v>3224</v>
      </c>
      <c r="J434" s="70" t="s">
        <v>727</v>
      </c>
      <c r="K434" s="2305" t="s">
        <v>857</v>
      </c>
      <c r="L434" s="72"/>
      <c r="M434" s="2306" t="s">
        <v>729</v>
      </c>
      <c r="N434" s="74">
        <v>43532</v>
      </c>
      <c r="O434" s="75">
        <f t="shared" si="172"/>
        <v>43532</v>
      </c>
      <c r="P434" s="2765" t="s">
        <v>3547</v>
      </c>
      <c r="Q434" s="2954"/>
      <c r="R434" s="76">
        <v>127.1186</v>
      </c>
      <c r="S434" s="1945" t="s">
        <v>731</v>
      </c>
      <c r="T434" s="70" t="s">
        <v>3548</v>
      </c>
      <c r="U434" s="1893"/>
      <c r="V434" s="2079">
        <f t="shared" si="175"/>
        <v>0</v>
      </c>
      <c r="W434" s="78">
        <f t="shared" si="176"/>
        <v>149.99994799999999</v>
      </c>
      <c r="X434" s="1878" t="str">
        <f t="shared" si="174"/>
        <v>2.- R Lanvigator 8040319-OT_S/D  Casc 2a trnspl F001-00001668 Lanvigator S600 0118 China</v>
      </c>
      <c r="Z434" s="19" t="str">
        <f t="shared" si="178"/>
        <v>Vulcanizado (curación)Reenc. MASTERCAUCHO</v>
      </c>
    </row>
    <row r="435" spans="2:26" ht="15.2" customHeight="1">
      <c r="B435" s="37"/>
      <c r="E435" s="3061">
        <v>3</v>
      </c>
      <c r="F435" s="2297" t="s">
        <v>732</v>
      </c>
      <c r="G435" s="68" t="s">
        <v>737</v>
      </c>
      <c r="H435" s="69" t="s">
        <v>1331</v>
      </c>
      <c r="I435" s="68" t="s">
        <v>744</v>
      </c>
      <c r="J435" s="70" t="s">
        <v>727</v>
      </c>
      <c r="K435" s="2305" t="s">
        <v>3541</v>
      </c>
      <c r="L435" s="72">
        <v>43526</v>
      </c>
      <c r="M435" s="2306" t="s">
        <v>729</v>
      </c>
      <c r="N435" s="74">
        <v>43532</v>
      </c>
      <c r="O435" s="75">
        <f t="shared" si="172"/>
        <v>43532</v>
      </c>
      <c r="P435" s="2765"/>
      <c r="Q435" s="2954"/>
      <c r="R435" s="76">
        <v>0</v>
      </c>
      <c r="S435" s="1945" t="s">
        <v>731</v>
      </c>
      <c r="T435" s="77" t="s">
        <v>2753</v>
      </c>
      <c r="U435" s="1893"/>
      <c r="V435" s="2079">
        <f t="shared" si="175"/>
        <v>0</v>
      </c>
      <c r="W435" s="78">
        <f t="shared" si="176"/>
        <v>0</v>
      </c>
      <c r="X435" s="1878" t="str">
        <f t="shared" si="174"/>
        <v>3.- C Vikrant 0150310-OT_011646  Sacar_Banda  Casco pelado</v>
      </c>
      <c r="Z435" s="19" t="str">
        <f t="shared" si="178"/>
        <v>Transpl BandaReenc. MASTERCAUCHO</v>
      </c>
    </row>
    <row r="436" spans="2:26" ht="15.2" customHeight="1">
      <c r="B436" s="37"/>
      <c r="E436" s="79">
        <v>4</v>
      </c>
      <c r="F436" s="2294" t="s">
        <v>732</v>
      </c>
      <c r="G436" s="81" t="s">
        <v>733</v>
      </c>
      <c r="H436" s="82" t="s">
        <v>1244</v>
      </c>
      <c r="I436" s="81" t="s">
        <v>744</v>
      </c>
      <c r="J436" s="83" t="s">
        <v>727</v>
      </c>
      <c r="K436" s="2295" t="s">
        <v>3541</v>
      </c>
      <c r="L436" s="85">
        <v>43526</v>
      </c>
      <c r="M436" s="2296" t="s">
        <v>729</v>
      </c>
      <c r="N436" s="87">
        <v>43532</v>
      </c>
      <c r="O436" s="88">
        <f t="shared" si="172"/>
        <v>43532</v>
      </c>
      <c r="P436" s="2766"/>
      <c r="Q436" s="2955"/>
      <c r="R436" s="89">
        <v>0</v>
      </c>
      <c r="S436" s="1946" t="s">
        <v>731</v>
      </c>
      <c r="T436" s="77" t="s">
        <v>2753</v>
      </c>
      <c r="U436" s="1893"/>
      <c r="V436" s="2079">
        <f t="shared" si="175"/>
        <v>0</v>
      </c>
      <c r="W436" s="78">
        <f t="shared" si="176"/>
        <v>0</v>
      </c>
      <c r="X436" s="1878" t="str">
        <f t="shared" si="174"/>
        <v>4.- C Lima Caucho 1201210-OT_011646  Sacar_Banda  Casco pelado</v>
      </c>
      <c r="Z436" s="19" t="str">
        <f t="shared" si="178"/>
        <v>Transpl BandaReenc. MASTERCAUCHO</v>
      </c>
    </row>
    <row r="437" spans="2:26" ht="15.2" customHeight="1">
      <c r="B437" s="37"/>
      <c r="E437" s="3061">
        <v>1</v>
      </c>
      <c r="F437" s="2297" t="s">
        <v>723</v>
      </c>
      <c r="G437" s="68" t="s">
        <v>737</v>
      </c>
      <c r="H437" s="69" t="s">
        <v>2936</v>
      </c>
      <c r="I437" s="68" t="s">
        <v>811</v>
      </c>
      <c r="J437" s="70" t="s">
        <v>727</v>
      </c>
      <c r="K437" s="2305" t="s">
        <v>3538</v>
      </c>
      <c r="L437" s="72">
        <v>43519</v>
      </c>
      <c r="M437" s="2306" t="s">
        <v>729</v>
      </c>
      <c r="N437" s="74">
        <v>43526</v>
      </c>
      <c r="O437" s="75">
        <f t="shared" si="172"/>
        <v>43526</v>
      </c>
      <c r="P437" s="2765" t="s">
        <v>3540</v>
      </c>
      <c r="Q437" s="2954"/>
      <c r="R437" s="76">
        <v>84.745699999999999</v>
      </c>
      <c r="S437" s="1945" t="s">
        <v>731</v>
      </c>
      <c r="T437" s="77"/>
      <c r="U437" s="1893"/>
      <c r="V437" s="2079">
        <f t="shared" si="175"/>
        <v>0</v>
      </c>
      <c r="W437" s="78">
        <f t="shared" si="176"/>
        <v>99.999925999999988</v>
      </c>
      <c r="X437" s="1878" t="str">
        <f t="shared" si="174"/>
        <v xml:space="preserve">1.- R Vikrant 0390317-OT_011632  Vulcanizado (curación) F001-00001598 </v>
      </c>
      <c r="Z437" s="19" t="str">
        <f t="shared" ref="Z437:Z458" si="180">CONCATENATE(I440,J440)</f>
        <v>Sacar_BandaReenc. MASTERCAUCHO</v>
      </c>
    </row>
    <row r="438" spans="2:26" ht="15.2" customHeight="1">
      <c r="B438" s="37"/>
      <c r="E438" s="3061">
        <v>2</v>
      </c>
      <c r="F438" s="2297" t="s">
        <v>723</v>
      </c>
      <c r="G438" s="68" t="s">
        <v>724</v>
      </c>
      <c r="H438" s="69" t="s">
        <v>1593</v>
      </c>
      <c r="I438" s="68" t="s">
        <v>740</v>
      </c>
      <c r="J438" s="70" t="s">
        <v>727</v>
      </c>
      <c r="K438" s="71" t="s">
        <v>3538</v>
      </c>
      <c r="L438" s="72">
        <v>43519</v>
      </c>
      <c r="M438" s="2306" t="s">
        <v>729</v>
      </c>
      <c r="N438" s="74">
        <v>43526</v>
      </c>
      <c r="O438" s="75">
        <f t="shared" si="172"/>
        <v>43526</v>
      </c>
      <c r="P438" s="2765" t="s">
        <v>3540</v>
      </c>
      <c r="Q438" s="2954"/>
      <c r="R438" s="76">
        <v>127.1186</v>
      </c>
      <c r="S438" s="1945" t="s">
        <v>731</v>
      </c>
      <c r="T438" s="77"/>
      <c r="U438" s="1893"/>
      <c r="V438" s="2079">
        <f t="shared" si="175"/>
        <v>0</v>
      </c>
      <c r="W438" s="78">
        <f t="shared" si="176"/>
        <v>149.99994799999999</v>
      </c>
      <c r="X438" s="1878" t="str">
        <f t="shared" si="174"/>
        <v xml:space="preserve">2.- R Aeolus 8140616-OT_011632  Transpl Banda F001-00001598 </v>
      </c>
      <c r="Z438" s="19" t="str">
        <f t="shared" ref="Z438:Z452" si="181">CONCATENATE(I441,J441)</f>
        <v>Sacar_BandaReenc. MASTERCAUCHO</v>
      </c>
    </row>
    <row r="439" spans="2:26" ht="15.2" customHeight="1">
      <c r="B439" s="37"/>
      <c r="E439" s="3049">
        <v>3</v>
      </c>
      <c r="F439" s="2297" t="s">
        <v>723</v>
      </c>
      <c r="G439" s="68" t="s">
        <v>737</v>
      </c>
      <c r="H439" s="69" t="s">
        <v>3520</v>
      </c>
      <c r="I439" s="68" t="s">
        <v>740</v>
      </c>
      <c r="J439" s="70" t="s">
        <v>727</v>
      </c>
      <c r="K439" s="71" t="s">
        <v>3538</v>
      </c>
      <c r="L439" s="72">
        <v>43519</v>
      </c>
      <c r="M439" s="2306" t="s">
        <v>729</v>
      </c>
      <c r="N439" s="74">
        <v>43526</v>
      </c>
      <c r="O439" s="75">
        <f>+N439</f>
        <v>43526</v>
      </c>
      <c r="P439" s="2765" t="s">
        <v>3540</v>
      </c>
      <c r="Q439" s="2954"/>
      <c r="R439" s="76">
        <v>127.1186</v>
      </c>
      <c r="S439" s="1945" t="s">
        <v>731</v>
      </c>
      <c r="T439" s="77"/>
      <c r="U439" s="1893"/>
      <c r="V439" s="2079">
        <f t="shared" si="175"/>
        <v>0</v>
      </c>
      <c r="W439" s="78">
        <f t="shared" si="176"/>
        <v>149.99994799999999</v>
      </c>
      <c r="X439" s="1878" t="str">
        <f t="shared" si="174"/>
        <v xml:space="preserve">3.- R Vikrant 0610617-OT_011632  Transpl Banda F001-00001598 </v>
      </c>
      <c r="Z439" s="19" t="str">
        <f t="shared" si="181"/>
        <v>ReencaucheReencauchadora RENOVA</v>
      </c>
    </row>
    <row r="440" spans="2:26" ht="15.2" customHeight="1">
      <c r="B440" s="37"/>
      <c r="E440" s="3049">
        <v>4</v>
      </c>
      <c r="F440" s="2297" t="s">
        <v>732</v>
      </c>
      <c r="G440" s="68" t="s">
        <v>737</v>
      </c>
      <c r="H440" s="69" t="s">
        <v>2271</v>
      </c>
      <c r="I440" s="68" t="s">
        <v>744</v>
      </c>
      <c r="J440" s="70" t="s">
        <v>727</v>
      </c>
      <c r="K440" s="71" t="s">
        <v>3538</v>
      </c>
      <c r="L440" s="72">
        <v>43519</v>
      </c>
      <c r="M440" s="2306" t="s">
        <v>729</v>
      </c>
      <c r="N440" s="74">
        <v>43526</v>
      </c>
      <c r="O440" s="75">
        <f t="shared" ref="O440:O461" si="182">+N440</f>
        <v>43526</v>
      </c>
      <c r="P440" s="2765" t="s">
        <v>3539</v>
      </c>
      <c r="Q440" s="2954"/>
      <c r="R440" s="76">
        <v>0</v>
      </c>
      <c r="S440" s="1945" t="s">
        <v>731</v>
      </c>
      <c r="T440" s="77" t="s">
        <v>2753</v>
      </c>
      <c r="U440" s="1893"/>
      <c r="V440" s="2079">
        <f t="shared" si="175"/>
        <v>0</v>
      </c>
      <c r="W440" s="78">
        <f t="shared" si="176"/>
        <v>0</v>
      </c>
      <c r="X440" s="1878" t="str">
        <f t="shared" si="174"/>
        <v>4.- C Vikrant 0680906-OT_011632  Sacar_Banda EG01-608 Casco pelado</v>
      </c>
      <c r="Z440" s="19" t="str">
        <f t="shared" si="181"/>
        <v>ReencaucheReencauchadora RENOVA</v>
      </c>
    </row>
    <row r="441" spans="2:26" ht="15.2" customHeight="1">
      <c r="B441" s="37"/>
      <c r="E441" s="79">
        <v>5</v>
      </c>
      <c r="F441" s="2294" t="s">
        <v>723</v>
      </c>
      <c r="G441" s="81" t="s">
        <v>151</v>
      </c>
      <c r="H441" s="82" t="s">
        <v>2817</v>
      </c>
      <c r="I441" s="81" t="s">
        <v>744</v>
      </c>
      <c r="J441" s="83" t="s">
        <v>727</v>
      </c>
      <c r="K441" s="84" t="s">
        <v>3538</v>
      </c>
      <c r="L441" s="85">
        <v>43519</v>
      </c>
      <c r="M441" s="2296" t="s">
        <v>729</v>
      </c>
      <c r="N441" s="87">
        <v>43526</v>
      </c>
      <c r="O441" s="88">
        <f t="shared" ref="O441:O455" si="183">+N441</f>
        <v>43526</v>
      </c>
      <c r="P441" s="2766" t="s">
        <v>3539</v>
      </c>
      <c r="Q441" s="2955"/>
      <c r="R441" s="89">
        <v>0</v>
      </c>
      <c r="S441" s="1946" t="s">
        <v>731</v>
      </c>
      <c r="T441" s="77" t="s">
        <v>2753</v>
      </c>
      <c r="U441" s="1893"/>
      <c r="V441" s="2079">
        <f t="shared" si="175"/>
        <v>0</v>
      </c>
      <c r="W441" s="78">
        <f t="shared" si="176"/>
        <v>0</v>
      </c>
      <c r="X441" s="1878" t="str">
        <f t="shared" si="174"/>
        <v>5.- R WindPower 0791115-OT_011632  Sacar_Banda EG01-608 Casco pelado</v>
      </c>
      <c r="Z441" s="19" t="str">
        <f t="shared" si="181"/>
        <v>ReencaucheReencauchadora RENOVA</v>
      </c>
    </row>
    <row r="442" spans="2:26" ht="15.2" customHeight="1">
      <c r="B442" s="37"/>
      <c r="E442" s="3057">
        <v>1</v>
      </c>
      <c r="F442" s="2297" t="s">
        <v>2825</v>
      </c>
      <c r="G442" s="68" t="s">
        <v>724</v>
      </c>
      <c r="H442" s="69" t="s">
        <v>3529</v>
      </c>
      <c r="I442" s="68" t="s">
        <v>726</v>
      </c>
      <c r="J442" s="70" t="s">
        <v>760</v>
      </c>
      <c r="K442" s="2305" t="s">
        <v>3533</v>
      </c>
      <c r="L442" s="72">
        <v>43504</v>
      </c>
      <c r="M442" s="2306" t="s">
        <v>729</v>
      </c>
      <c r="N442" s="74">
        <v>43514</v>
      </c>
      <c r="O442" s="75">
        <f t="shared" si="183"/>
        <v>43514</v>
      </c>
      <c r="P442" s="2765" t="s">
        <v>3534</v>
      </c>
      <c r="Q442" s="2954">
        <v>178.32</v>
      </c>
      <c r="R442" s="76"/>
      <c r="S442" s="1945" t="s">
        <v>731</v>
      </c>
      <c r="T442" s="77" t="s">
        <v>3535</v>
      </c>
      <c r="U442" s="1893"/>
      <c r="V442" s="2079">
        <f t="shared" si="175"/>
        <v>210.41759999999999</v>
      </c>
      <c r="W442" s="78">
        <f t="shared" si="176"/>
        <v>0</v>
      </c>
      <c r="X442" s="1878" t="str">
        <f t="shared" si="174"/>
        <v>1.- B Aeolus 0811116-OT_256000  Reencauche F1010-00018806 IZY3W-3345</v>
      </c>
      <c r="Z442" s="19" t="str">
        <f t="shared" si="181"/>
        <v>ReencaucheReencauchadora RENOVA</v>
      </c>
    </row>
    <row r="443" spans="2:26" ht="15.2" customHeight="1">
      <c r="B443" s="37"/>
      <c r="E443" s="3057">
        <v>2</v>
      </c>
      <c r="F443" s="2297" t="s">
        <v>2825</v>
      </c>
      <c r="G443" s="68" t="s">
        <v>724</v>
      </c>
      <c r="H443" s="69" t="s">
        <v>3530</v>
      </c>
      <c r="I443" s="68" t="s">
        <v>726</v>
      </c>
      <c r="J443" s="70" t="s">
        <v>760</v>
      </c>
      <c r="K443" s="71" t="s">
        <v>3533</v>
      </c>
      <c r="L443" s="72">
        <v>43504</v>
      </c>
      <c r="M443" s="2306" t="s">
        <v>729</v>
      </c>
      <c r="N443" s="74">
        <v>43514</v>
      </c>
      <c r="O443" s="75">
        <f t="shared" ref="O443:O448" si="184">+N443</f>
        <v>43514</v>
      </c>
      <c r="P443" s="2765" t="s">
        <v>3534</v>
      </c>
      <c r="Q443" s="2954">
        <v>178.32</v>
      </c>
      <c r="R443" s="76"/>
      <c r="S443" s="1945" t="s">
        <v>731</v>
      </c>
      <c r="T443" s="77" t="s">
        <v>3535</v>
      </c>
      <c r="U443" s="1893"/>
      <c r="V443" s="2079">
        <f t="shared" si="175"/>
        <v>210.41759999999999</v>
      </c>
      <c r="W443" s="78">
        <f t="shared" si="176"/>
        <v>0</v>
      </c>
      <c r="X443" s="1878" t="str">
        <f t="shared" si="174"/>
        <v>2.- B Aeolus 0831116-OT_256000  Reencauche F1010-00018806 IZY3W-3345</v>
      </c>
      <c r="Z443" s="19" t="str">
        <f t="shared" si="181"/>
        <v>ReencaucheReencauchadora RENOVA</v>
      </c>
    </row>
    <row r="444" spans="2:26" ht="15.2" customHeight="1">
      <c r="B444" s="37"/>
      <c r="E444" s="3057">
        <v>3</v>
      </c>
      <c r="F444" s="2297" t="s">
        <v>2825</v>
      </c>
      <c r="G444" s="68" t="s">
        <v>757</v>
      </c>
      <c r="H444" s="69" t="s">
        <v>2828</v>
      </c>
      <c r="I444" s="68" t="s">
        <v>726</v>
      </c>
      <c r="J444" s="70" t="s">
        <v>760</v>
      </c>
      <c r="K444" s="71" t="s">
        <v>3533</v>
      </c>
      <c r="L444" s="72">
        <v>43504</v>
      </c>
      <c r="M444" s="2306" t="s">
        <v>729</v>
      </c>
      <c r="N444" s="74">
        <v>43514</v>
      </c>
      <c r="O444" s="75">
        <f t="shared" si="184"/>
        <v>43514</v>
      </c>
      <c r="P444" s="2765" t="s">
        <v>3534</v>
      </c>
      <c r="Q444" s="2954">
        <v>178.32</v>
      </c>
      <c r="R444" s="76"/>
      <c r="S444" s="1945" t="s">
        <v>731</v>
      </c>
      <c r="T444" s="77" t="s">
        <v>3535</v>
      </c>
      <c r="U444" s="1893"/>
      <c r="V444" s="2079">
        <f t="shared" si="175"/>
        <v>210.41759999999999</v>
      </c>
      <c r="W444" s="78">
        <f t="shared" si="176"/>
        <v>0</v>
      </c>
      <c r="X444" s="1878" t="str">
        <f t="shared" si="174"/>
        <v>3.- B Goodyear 0670816-OT_256000  Reencauche F1010-00018806 IZY3W-3345</v>
      </c>
      <c r="Z444" s="19" t="str">
        <f t="shared" si="181"/>
        <v>ReencaucheReencauchadora RENOVA</v>
      </c>
    </row>
    <row r="445" spans="2:26" ht="15.2" customHeight="1">
      <c r="B445" s="37"/>
      <c r="E445" s="3057">
        <v>4</v>
      </c>
      <c r="F445" s="2297" t="s">
        <v>2825</v>
      </c>
      <c r="G445" s="68" t="s">
        <v>757</v>
      </c>
      <c r="H445" s="69" t="s">
        <v>2829</v>
      </c>
      <c r="I445" s="68" t="s">
        <v>726</v>
      </c>
      <c r="J445" s="70" t="s">
        <v>760</v>
      </c>
      <c r="K445" s="71" t="s">
        <v>3533</v>
      </c>
      <c r="L445" s="72">
        <v>43504</v>
      </c>
      <c r="M445" s="2306" t="s">
        <v>729</v>
      </c>
      <c r="N445" s="74">
        <v>43514</v>
      </c>
      <c r="O445" s="75">
        <f t="shared" si="184"/>
        <v>43514</v>
      </c>
      <c r="P445" s="2765" t="s">
        <v>3534</v>
      </c>
      <c r="Q445" s="2954">
        <v>178.32</v>
      </c>
      <c r="R445" s="76"/>
      <c r="S445" s="1945" t="s">
        <v>731</v>
      </c>
      <c r="T445" s="77" t="s">
        <v>3535</v>
      </c>
      <c r="U445" s="1893"/>
      <c r="V445" s="2079">
        <f t="shared" si="175"/>
        <v>210.41759999999999</v>
      </c>
      <c r="W445" s="78">
        <f t="shared" si="176"/>
        <v>0</v>
      </c>
      <c r="X445" s="1878" t="str">
        <f t="shared" si="174"/>
        <v>4.- B Goodyear 0660816-OT_256000  Reencauche F1010-00018806 IZY3W-3345</v>
      </c>
      <c r="Z445" s="19" t="str">
        <f t="shared" si="181"/>
        <v>ReencaucheReencauchadora RENOVA</v>
      </c>
    </row>
    <row r="446" spans="2:26" ht="15.2" customHeight="1">
      <c r="B446" s="37"/>
      <c r="E446" s="3057">
        <v>5</v>
      </c>
      <c r="F446" s="2297" t="s">
        <v>723</v>
      </c>
      <c r="G446" s="68" t="s">
        <v>724</v>
      </c>
      <c r="H446" s="69" t="s">
        <v>3395</v>
      </c>
      <c r="I446" s="68" t="s">
        <v>726</v>
      </c>
      <c r="J446" s="70" t="s">
        <v>760</v>
      </c>
      <c r="K446" s="71" t="s">
        <v>3533</v>
      </c>
      <c r="L446" s="72">
        <v>43504</v>
      </c>
      <c r="M446" s="2306" t="s">
        <v>729</v>
      </c>
      <c r="N446" s="74">
        <v>43514</v>
      </c>
      <c r="O446" s="75">
        <f t="shared" si="184"/>
        <v>43514</v>
      </c>
      <c r="P446" s="2765" t="s">
        <v>3534</v>
      </c>
      <c r="Q446" s="2954">
        <v>100.9</v>
      </c>
      <c r="R446" s="76"/>
      <c r="S446" s="1945" t="s">
        <v>731</v>
      </c>
      <c r="T446" s="77" t="s">
        <v>2570</v>
      </c>
      <c r="U446" s="1893"/>
      <c r="V446" s="2079">
        <f t="shared" si="175"/>
        <v>119.062</v>
      </c>
      <c r="W446" s="78">
        <f t="shared" si="176"/>
        <v>0</v>
      </c>
      <c r="X446" s="1878" t="str">
        <f t="shared" si="174"/>
        <v>5.- R Aeolus 027912-OT_256000  Reencauche F1010-00018806 IDY3-220</v>
      </c>
      <c r="Z446" s="19" t="str">
        <f t="shared" si="181"/>
        <v>ReencaucheReencauchadora RENOVA</v>
      </c>
    </row>
    <row r="447" spans="2:26" ht="15.2" customHeight="1">
      <c r="B447" s="37"/>
      <c r="E447" s="3057">
        <v>6</v>
      </c>
      <c r="F447" s="2297" t="s">
        <v>723</v>
      </c>
      <c r="G447" s="68" t="s">
        <v>724</v>
      </c>
      <c r="H447" s="69" t="s">
        <v>3531</v>
      </c>
      <c r="I447" s="68" t="s">
        <v>726</v>
      </c>
      <c r="J447" s="70" t="s">
        <v>760</v>
      </c>
      <c r="K447" s="71" t="s">
        <v>3533</v>
      </c>
      <c r="L447" s="72">
        <v>43504</v>
      </c>
      <c r="M447" s="2306" t="s">
        <v>729</v>
      </c>
      <c r="N447" s="74">
        <v>43514</v>
      </c>
      <c r="O447" s="75">
        <f t="shared" si="184"/>
        <v>43514</v>
      </c>
      <c r="P447" s="2765" t="s">
        <v>3534</v>
      </c>
      <c r="Q447" s="2954">
        <v>100.9</v>
      </c>
      <c r="R447" s="76"/>
      <c r="S447" s="1945" t="s">
        <v>731</v>
      </c>
      <c r="T447" s="77" t="s">
        <v>2570</v>
      </c>
      <c r="U447" s="1893"/>
      <c r="V447" s="2079">
        <f t="shared" si="175"/>
        <v>119.062</v>
      </c>
      <c r="W447" s="78">
        <f t="shared" si="176"/>
        <v>0</v>
      </c>
      <c r="X447" s="1878" t="str">
        <f t="shared" si="174"/>
        <v>6.- R Aeolus 0991216-OT_256000  Reencauche F1010-00018806 IDY3-220</v>
      </c>
      <c r="Z447" s="19" t="str">
        <f t="shared" si="181"/>
        <v>ReencaucheReencauchadora RENOVA</v>
      </c>
    </row>
    <row r="448" spans="2:26" ht="15.2" customHeight="1">
      <c r="B448" s="37"/>
      <c r="E448" s="79">
        <v>7</v>
      </c>
      <c r="F448" s="2843" t="s">
        <v>723</v>
      </c>
      <c r="G448" s="81" t="s">
        <v>724</v>
      </c>
      <c r="H448" s="82" t="s">
        <v>3532</v>
      </c>
      <c r="I448" s="81" t="s">
        <v>726</v>
      </c>
      <c r="J448" s="83" t="s">
        <v>760</v>
      </c>
      <c r="K448" s="84" t="s">
        <v>3533</v>
      </c>
      <c r="L448" s="85">
        <v>43504</v>
      </c>
      <c r="M448" s="2296" t="s">
        <v>729</v>
      </c>
      <c r="N448" s="87">
        <v>43514</v>
      </c>
      <c r="O448" s="88">
        <f t="shared" si="184"/>
        <v>43514</v>
      </c>
      <c r="P448" s="2766" t="s">
        <v>3534</v>
      </c>
      <c r="Q448" s="2955">
        <v>100.9</v>
      </c>
      <c r="R448" s="89"/>
      <c r="S448" s="1946" t="s">
        <v>731</v>
      </c>
      <c r="T448" s="77" t="s">
        <v>2570</v>
      </c>
      <c r="U448" s="1893"/>
      <c r="V448" s="2079">
        <f t="shared" si="175"/>
        <v>119.062</v>
      </c>
      <c r="W448" s="78">
        <f t="shared" si="176"/>
        <v>0</v>
      </c>
      <c r="X448" s="1878" t="str">
        <f t="shared" si="174"/>
        <v>7.- R Aeolus 1011216-OT_256000  Reencauche F1010-00018806 IDY3-220</v>
      </c>
      <c r="Z448" s="19" t="str">
        <f t="shared" si="181"/>
        <v>ReencaucheReencauchadora RENOVA</v>
      </c>
    </row>
    <row r="449" spans="2:26" ht="15.2" customHeight="1">
      <c r="B449" s="37"/>
      <c r="E449" s="3057">
        <v>1</v>
      </c>
      <c r="F449" s="67" t="s">
        <v>723</v>
      </c>
      <c r="G449" s="3060" t="s">
        <v>151</v>
      </c>
      <c r="H449" s="3059" t="s">
        <v>2917</v>
      </c>
      <c r="I449" s="68" t="s">
        <v>726</v>
      </c>
      <c r="J449" s="70" t="s">
        <v>760</v>
      </c>
      <c r="K449" s="2305" t="s">
        <v>3524</v>
      </c>
      <c r="L449" s="72">
        <v>43494</v>
      </c>
      <c r="M449" s="2306" t="s">
        <v>729</v>
      </c>
      <c r="N449" s="74">
        <v>43503</v>
      </c>
      <c r="O449" s="75">
        <f t="shared" si="183"/>
        <v>43503</v>
      </c>
      <c r="P449" s="2765" t="s">
        <v>3528</v>
      </c>
      <c r="Q449" s="2954">
        <v>100.9</v>
      </c>
      <c r="R449" s="76"/>
      <c r="S449" s="1945" t="s">
        <v>731</v>
      </c>
      <c r="T449" s="77" t="s">
        <v>2570</v>
      </c>
      <c r="U449" s="1893"/>
      <c r="V449" s="2079">
        <f t="shared" si="175"/>
        <v>119.062</v>
      </c>
      <c r="W449" s="78">
        <f t="shared" si="176"/>
        <v>0</v>
      </c>
      <c r="X449" s="1878" t="str">
        <f t="shared" si="174"/>
        <v>1.- R WindPower 0721115-OT_255964  Reencauche F101-00018629 IDY3-220</v>
      </c>
      <c r="Z449" s="19" t="str">
        <f t="shared" si="181"/>
        <v>ReencaucheReencauchadora RENOVA</v>
      </c>
    </row>
    <row r="450" spans="2:26" ht="15.2" customHeight="1">
      <c r="B450" s="37"/>
      <c r="E450" s="3057">
        <v>2</v>
      </c>
      <c r="F450" s="67" t="s">
        <v>723</v>
      </c>
      <c r="G450" s="68" t="s">
        <v>151</v>
      </c>
      <c r="H450" s="69" t="s">
        <v>2916</v>
      </c>
      <c r="I450" s="68" t="s">
        <v>726</v>
      </c>
      <c r="J450" s="70" t="s">
        <v>760</v>
      </c>
      <c r="K450" s="2305" t="s">
        <v>3524</v>
      </c>
      <c r="L450" s="72">
        <v>43494</v>
      </c>
      <c r="M450" s="73" t="s">
        <v>729</v>
      </c>
      <c r="N450" s="74">
        <v>43503</v>
      </c>
      <c r="O450" s="75">
        <f t="shared" si="183"/>
        <v>43503</v>
      </c>
      <c r="P450" s="2765" t="s">
        <v>3528</v>
      </c>
      <c r="Q450" s="2954">
        <v>100.9</v>
      </c>
      <c r="R450" s="76"/>
      <c r="S450" s="1945" t="s">
        <v>731</v>
      </c>
      <c r="T450" s="77" t="s">
        <v>2570</v>
      </c>
      <c r="U450" s="1893"/>
      <c r="V450" s="2079">
        <f t="shared" si="175"/>
        <v>119.062</v>
      </c>
      <c r="W450" s="78">
        <f t="shared" si="176"/>
        <v>0</v>
      </c>
      <c r="X450" s="1878" t="str">
        <f t="shared" si="174"/>
        <v>2.- R WindPower 0711115-OT_255964  Reencauche F101-00018629 IDY3-220</v>
      </c>
      <c r="Z450" s="19" t="str">
        <f t="shared" si="181"/>
        <v>ReencaucheReencauchadora RENOVA</v>
      </c>
    </row>
    <row r="451" spans="2:26" ht="15.2" customHeight="1">
      <c r="B451" s="37"/>
      <c r="E451" s="3057">
        <v>3</v>
      </c>
      <c r="F451" s="67" t="s">
        <v>723</v>
      </c>
      <c r="G451" s="68" t="s">
        <v>737</v>
      </c>
      <c r="H451" s="69" t="s">
        <v>3525</v>
      </c>
      <c r="I451" s="68" t="s">
        <v>726</v>
      </c>
      <c r="J451" s="70" t="s">
        <v>760</v>
      </c>
      <c r="K451" s="2305" t="s">
        <v>3524</v>
      </c>
      <c r="L451" s="72">
        <v>43494</v>
      </c>
      <c r="M451" s="73" t="s">
        <v>729</v>
      </c>
      <c r="N451" s="74">
        <v>43503</v>
      </c>
      <c r="O451" s="75">
        <f t="shared" si="183"/>
        <v>43503</v>
      </c>
      <c r="P451" s="2765" t="s">
        <v>3528</v>
      </c>
      <c r="Q451" s="2954">
        <v>100.9</v>
      </c>
      <c r="R451" s="76"/>
      <c r="S451" s="1945" t="s">
        <v>731</v>
      </c>
      <c r="T451" s="77" t="s">
        <v>2570</v>
      </c>
      <c r="U451" s="1893"/>
      <c r="V451" s="2079">
        <f t="shared" si="175"/>
        <v>119.062</v>
      </c>
      <c r="W451" s="78">
        <f t="shared" si="176"/>
        <v>0</v>
      </c>
      <c r="X451" s="1878" t="str">
        <f t="shared" si="174"/>
        <v>3.- R Vikrant 0090118-OT_255964  Reencauche F101-00018629 IDY3-220</v>
      </c>
      <c r="Z451" s="19" t="str">
        <f t="shared" si="181"/>
        <v>ReencaucheReencauchadora RENOVA</v>
      </c>
    </row>
    <row r="452" spans="2:26" ht="15.2" customHeight="1">
      <c r="B452" s="37"/>
      <c r="E452" s="3057">
        <v>4</v>
      </c>
      <c r="F452" s="67" t="s">
        <v>723</v>
      </c>
      <c r="G452" s="68" t="s">
        <v>737</v>
      </c>
      <c r="H452" s="69" t="s">
        <v>3450</v>
      </c>
      <c r="I452" s="68" t="s">
        <v>726</v>
      </c>
      <c r="J452" s="70" t="s">
        <v>760</v>
      </c>
      <c r="K452" s="2305" t="s">
        <v>3524</v>
      </c>
      <c r="L452" s="72">
        <v>43494</v>
      </c>
      <c r="M452" s="73" t="s">
        <v>729</v>
      </c>
      <c r="N452" s="74">
        <v>43503</v>
      </c>
      <c r="O452" s="75">
        <f t="shared" si="183"/>
        <v>43503</v>
      </c>
      <c r="P452" s="2765" t="s">
        <v>3528</v>
      </c>
      <c r="Q452" s="2954">
        <v>100.9</v>
      </c>
      <c r="R452" s="76"/>
      <c r="S452" s="1945" t="s">
        <v>731</v>
      </c>
      <c r="T452" s="77" t="s">
        <v>2570</v>
      </c>
      <c r="U452" s="1893"/>
      <c r="V452" s="2079">
        <f t="shared" si="175"/>
        <v>119.062</v>
      </c>
      <c r="W452" s="78">
        <f t="shared" si="176"/>
        <v>0</v>
      </c>
      <c r="X452" s="1878" t="str">
        <f t="shared" si="174"/>
        <v>4.- R Vikrant 0010118-OT_255964  Reencauche F101-00018629 IDY3-220</v>
      </c>
      <c r="Z452" s="19" t="str">
        <f t="shared" si="181"/>
        <v>ReencaucheReencauchadora RENOVA</v>
      </c>
    </row>
    <row r="453" spans="2:26" ht="15.2" customHeight="1">
      <c r="B453" s="37"/>
      <c r="E453" s="3057">
        <v>5</v>
      </c>
      <c r="F453" s="67" t="s">
        <v>723</v>
      </c>
      <c r="G453" s="68" t="s">
        <v>737</v>
      </c>
      <c r="H453" s="69" t="s">
        <v>3526</v>
      </c>
      <c r="I453" s="68" t="s">
        <v>726</v>
      </c>
      <c r="J453" s="70" t="s">
        <v>760</v>
      </c>
      <c r="K453" s="2305" t="s">
        <v>3524</v>
      </c>
      <c r="L453" s="72">
        <v>43494</v>
      </c>
      <c r="M453" s="73" t="s">
        <v>729</v>
      </c>
      <c r="N453" s="74">
        <v>43503</v>
      </c>
      <c r="O453" s="75">
        <f t="shared" si="183"/>
        <v>43503</v>
      </c>
      <c r="P453" s="2765" t="s">
        <v>3528</v>
      </c>
      <c r="Q453" s="2954">
        <v>100.9</v>
      </c>
      <c r="R453" s="76"/>
      <c r="S453" s="1945" t="s">
        <v>731</v>
      </c>
      <c r="T453" s="77" t="s">
        <v>2570</v>
      </c>
      <c r="U453" s="1893"/>
      <c r="V453" s="2079">
        <f t="shared" si="175"/>
        <v>119.062</v>
      </c>
      <c r="W453" s="78">
        <f t="shared" si="176"/>
        <v>0</v>
      </c>
      <c r="X453" s="1878" t="str">
        <f t="shared" si="174"/>
        <v>5.- R Vikrant 1131217-OT_255964  Reencauche F101-00018629 IDY3-220</v>
      </c>
      <c r="Z453" s="19" t="str">
        <f t="shared" si="180"/>
        <v>ReencaucheReencauchadora RENOVA</v>
      </c>
    </row>
    <row r="454" spans="2:26" ht="15.2" customHeight="1">
      <c r="B454" s="37"/>
      <c r="E454" s="3057">
        <v>6</v>
      </c>
      <c r="F454" s="67" t="s">
        <v>723</v>
      </c>
      <c r="G454" s="68" t="s">
        <v>737</v>
      </c>
      <c r="H454" s="69" t="s">
        <v>3527</v>
      </c>
      <c r="I454" s="68" t="s">
        <v>726</v>
      </c>
      <c r="J454" s="70" t="s">
        <v>760</v>
      </c>
      <c r="K454" s="2305" t="s">
        <v>3524</v>
      </c>
      <c r="L454" s="72">
        <v>43494</v>
      </c>
      <c r="M454" s="73" t="s">
        <v>729</v>
      </c>
      <c r="N454" s="74">
        <v>43503</v>
      </c>
      <c r="O454" s="75">
        <f t="shared" si="183"/>
        <v>43503</v>
      </c>
      <c r="P454" s="2765" t="s">
        <v>3528</v>
      </c>
      <c r="Q454" s="2954">
        <v>100.9</v>
      </c>
      <c r="R454" s="76"/>
      <c r="S454" s="1945" t="s">
        <v>731</v>
      </c>
      <c r="T454" s="77" t="s">
        <v>2570</v>
      </c>
      <c r="U454" s="1893"/>
      <c r="V454" s="2079">
        <f t="shared" si="175"/>
        <v>119.062</v>
      </c>
      <c r="W454" s="78">
        <f t="shared" si="176"/>
        <v>0</v>
      </c>
      <c r="X454" s="1878" t="str">
        <f t="shared" si="174"/>
        <v>6.- R Vikrant 1121217-OT_255964  Reencauche F101-00018629 IDY3-220</v>
      </c>
      <c r="Z454" s="19" t="str">
        <f t="shared" si="180"/>
        <v>ReencaucheReencauchadora RENOVA</v>
      </c>
    </row>
    <row r="455" spans="2:26" ht="15.2" customHeight="1">
      <c r="B455" s="37"/>
      <c r="E455" s="3057">
        <v>7</v>
      </c>
      <c r="F455" s="67" t="s">
        <v>723</v>
      </c>
      <c r="G455" s="68" t="s">
        <v>737</v>
      </c>
      <c r="H455" s="69" t="s">
        <v>3519</v>
      </c>
      <c r="I455" s="68" t="s">
        <v>726</v>
      </c>
      <c r="J455" s="70" t="s">
        <v>760</v>
      </c>
      <c r="K455" s="2305" t="s">
        <v>3523</v>
      </c>
      <c r="L455" s="72">
        <v>43494</v>
      </c>
      <c r="M455" s="73" t="s">
        <v>729</v>
      </c>
      <c r="N455" s="74">
        <v>43503</v>
      </c>
      <c r="O455" s="75">
        <f t="shared" si="183"/>
        <v>43503</v>
      </c>
      <c r="P455" s="2765" t="s">
        <v>3528</v>
      </c>
      <c r="Q455" s="2954">
        <v>100.9</v>
      </c>
      <c r="R455" s="76"/>
      <c r="S455" s="1945" t="s">
        <v>731</v>
      </c>
      <c r="T455" s="77" t="s">
        <v>2570</v>
      </c>
      <c r="U455" s="1893"/>
      <c r="V455" s="2079">
        <f t="shared" si="175"/>
        <v>119.062</v>
      </c>
      <c r="W455" s="78">
        <f t="shared" si="176"/>
        <v>0</v>
      </c>
      <c r="X455" s="1878" t="str">
        <f t="shared" si="174"/>
        <v>7.- R Vikrant 0580617-OT_255963  Reencauche F101-00018629 IDY3-220</v>
      </c>
      <c r="Z455" s="19" t="str">
        <f t="shared" si="180"/>
        <v>ReencaucheReencauchadora RENOVA</v>
      </c>
    </row>
    <row r="456" spans="2:26" ht="15.2" customHeight="1">
      <c r="B456" s="37"/>
      <c r="E456" s="3057">
        <v>8</v>
      </c>
      <c r="F456" s="67" t="s">
        <v>723</v>
      </c>
      <c r="G456" s="68" t="s">
        <v>3005</v>
      </c>
      <c r="H456" s="69" t="s">
        <v>3003</v>
      </c>
      <c r="I456" s="68" t="s">
        <v>726</v>
      </c>
      <c r="J456" s="70" t="s">
        <v>760</v>
      </c>
      <c r="K456" s="71" t="s">
        <v>3523</v>
      </c>
      <c r="L456" s="72">
        <v>43494</v>
      </c>
      <c r="M456" s="73" t="s">
        <v>729</v>
      </c>
      <c r="N456" s="74">
        <v>43503</v>
      </c>
      <c r="O456" s="75">
        <f t="shared" si="182"/>
        <v>43503</v>
      </c>
      <c r="P456" s="2765" t="s">
        <v>3528</v>
      </c>
      <c r="Q456" s="2954">
        <v>100.9</v>
      </c>
      <c r="R456" s="76"/>
      <c r="S456" s="1945" t="s">
        <v>731</v>
      </c>
      <c r="T456" s="77" t="s">
        <v>2570</v>
      </c>
      <c r="U456" s="1893"/>
      <c r="V456" s="2079">
        <f t="shared" si="175"/>
        <v>119.062</v>
      </c>
      <c r="W456" s="78">
        <f t="shared" si="176"/>
        <v>0</v>
      </c>
      <c r="X456" s="1878" t="str">
        <f t="shared" si="174"/>
        <v>8.- R KAPSEN 8100418-OT_255963  Reencauche F101-00018629 IDY3-220</v>
      </c>
      <c r="Z456" s="19" t="str">
        <f t="shared" si="180"/>
        <v>ReencaucheReencauchadora RENOVA</v>
      </c>
    </row>
    <row r="457" spans="2:26" ht="15.2" customHeight="1">
      <c r="B457" s="37"/>
      <c r="E457" s="3057">
        <v>9</v>
      </c>
      <c r="F457" s="67" t="s">
        <v>723</v>
      </c>
      <c r="G457" s="68" t="s">
        <v>3065</v>
      </c>
      <c r="H457" s="69" t="s">
        <v>3080</v>
      </c>
      <c r="I457" s="68" t="s">
        <v>726</v>
      </c>
      <c r="J457" s="70" t="s">
        <v>760</v>
      </c>
      <c r="K457" s="71" t="s">
        <v>3523</v>
      </c>
      <c r="L457" s="72">
        <v>43494</v>
      </c>
      <c r="M457" s="73" t="s">
        <v>729</v>
      </c>
      <c r="N457" s="74">
        <v>43503</v>
      </c>
      <c r="O457" s="75">
        <f t="shared" si="182"/>
        <v>43503</v>
      </c>
      <c r="P457" s="2765" t="s">
        <v>3528</v>
      </c>
      <c r="Q457" s="2954">
        <v>100.9</v>
      </c>
      <c r="R457" s="76"/>
      <c r="S457" s="1945" t="s">
        <v>731</v>
      </c>
      <c r="T457" s="77" t="s">
        <v>2570</v>
      </c>
      <c r="U457" s="1893"/>
      <c r="V457" s="2079">
        <f t="shared" si="175"/>
        <v>119.062</v>
      </c>
      <c r="W457" s="78">
        <f t="shared" si="176"/>
        <v>0</v>
      </c>
      <c r="X457" s="1878" t="str">
        <f t="shared" si="174"/>
        <v>9.- R Yokohama 8190418-OT_255963  Reencauche F101-00018629 IDY3-220</v>
      </c>
      <c r="Z457" s="19" t="str">
        <f t="shared" si="180"/>
        <v>ReencaucheReencauchadora RENOVA</v>
      </c>
    </row>
    <row r="458" spans="2:26" ht="15.2" customHeight="1">
      <c r="B458" s="37"/>
      <c r="E458" s="3057">
        <v>10</v>
      </c>
      <c r="F458" s="67" t="s">
        <v>723</v>
      </c>
      <c r="G458" s="68" t="s">
        <v>724</v>
      </c>
      <c r="H458" s="69" t="s">
        <v>3521</v>
      </c>
      <c r="I458" s="68" t="s">
        <v>726</v>
      </c>
      <c r="J458" s="70" t="s">
        <v>760</v>
      </c>
      <c r="K458" s="71" t="s">
        <v>3523</v>
      </c>
      <c r="L458" s="72">
        <v>43494</v>
      </c>
      <c r="M458" s="73" t="s">
        <v>729</v>
      </c>
      <c r="N458" s="74">
        <v>43503</v>
      </c>
      <c r="O458" s="75">
        <f t="shared" si="182"/>
        <v>43503</v>
      </c>
      <c r="P458" s="2765" t="s">
        <v>3528</v>
      </c>
      <c r="Q458" s="2954">
        <v>100.9</v>
      </c>
      <c r="R458" s="76"/>
      <c r="S458" s="1945" t="s">
        <v>731</v>
      </c>
      <c r="T458" s="77" t="s">
        <v>2570</v>
      </c>
      <c r="U458" s="1893"/>
      <c r="V458" s="2079">
        <f t="shared" si="175"/>
        <v>119.062</v>
      </c>
      <c r="W458" s="78">
        <f t="shared" si="176"/>
        <v>0</v>
      </c>
      <c r="X458" s="1878" t="str">
        <f t="shared" si="174"/>
        <v>10.- R Aeolus 0360518-OT_255963  Reencauche F101-00018629 IDY3-220</v>
      </c>
      <c r="Z458" s="19" t="str">
        <f t="shared" si="180"/>
        <v>ReencaucheReencauchadora RENOVA</v>
      </c>
    </row>
    <row r="459" spans="2:26" ht="15.2" customHeight="1">
      <c r="B459" s="37"/>
      <c r="E459" s="3057">
        <v>11</v>
      </c>
      <c r="F459" s="67" t="s">
        <v>723</v>
      </c>
      <c r="G459" s="68" t="s">
        <v>724</v>
      </c>
      <c r="H459" s="69" t="s">
        <v>749</v>
      </c>
      <c r="I459" s="68" t="s">
        <v>726</v>
      </c>
      <c r="J459" s="70" t="s">
        <v>760</v>
      </c>
      <c r="K459" s="71" t="s">
        <v>3523</v>
      </c>
      <c r="L459" s="72">
        <v>43494</v>
      </c>
      <c r="M459" s="73" t="s">
        <v>729</v>
      </c>
      <c r="N459" s="74">
        <v>43503</v>
      </c>
      <c r="O459" s="75">
        <f t="shared" si="182"/>
        <v>43503</v>
      </c>
      <c r="P459" s="2765" t="s">
        <v>3528</v>
      </c>
      <c r="Q459" s="2954">
        <v>100.9</v>
      </c>
      <c r="R459" s="76"/>
      <c r="S459" s="1945" t="s">
        <v>731</v>
      </c>
      <c r="T459" s="77" t="s">
        <v>2570</v>
      </c>
      <c r="U459" s="1893"/>
      <c r="V459" s="2079">
        <f t="shared" si="175"/>
        <v>119.062</v>
      </c>
      <c r="W459" s="78">
        <f t="shared" si="176"/>
        <v>0</v>
      </c>
      <c r="X459" s="1878" t="str">
        <f t="shared" si="174"/>
        <v>11.- R Aeolus 0200413-OT_255963  Reencauche F101-00018629 IDY3-220</v>
      </c>
      <c r="Z459" s="19" t="str">
        <f t="shared" ref="Z459:Z472" si="185">CONCATENATE(I462,J462)</f>
        <v>ReencaucheReencauchadora RENOVA</v>
      </c>
    </row>
    <row r="460" spans="2:26" ht="15.2" customHeight="1">
      <c r="B460" s="37"/>
      <c r="E460" s="3057">
        <v>12</v>
      </c>
      <c r="F460" s="67" t="s">
        <v>723</v>
      </c>
      <c r="G460" s="68" t="s">
        <v>724</v>
      </c>
      <c r="H460" s="69" t="s">
        <v>2927</v>
      </c>
      <c r="I460" s="68" t="s">
        <v>726</v>
      </c>
      <c r="J460" s="70" t="s">
        <v>760</v>
      </c>
      <c r="K460" s="71" t="s">
        <v>3523</v>
      </c>
      <c r="L460" s="72">
        <v>43494</v>
      </c>
      <c r="M460" s="73" t="s">
        <v>729</v>
      </c>
      <c r="N460" s="74">
        <v>43503</v>
      </c>
      <c r="O460" s="75">
        <f t="shared" si="182"/>
        <v>43503</v>
      </c>
      <c r="P460" s="2765" t="s">
        <v>3528</v>
      </c>
      <c r="Q460" s="2954">
        <v>100.9</v>
      </c>
      <c r="R460" s="76"/>
      <c r="S460" s="1945" t="s">
        <v>731</v>
      </c>
      <c r="T460" s="77" t="s">
        <v>2570</v>
      </c>
      <c r="U460" s="1893"/>
      <c r="V460" s="2079">
        <f t="shared" si="175"/>
        <v>119.062</v>
      </c>
      <c r="W460" s="78">
        <f t="shared" si="176"/>
        <v>0</v>
      </c>
      <c r="X460" s="1878" t="str">
        <f t="shared" si="174"/>
        <v>12.- R Aeolus 0660617-OT_255963  Reencauche F101-00018629 IDY3-220</v>
      </c>
      <c r="Z460" s="19" t="str">
        <f>CONCATENATE(I463,J463)</f>
        <v>ReencaucheReencauchadora RENOVA</v>
      </c>
    </row>
    <row r="461" spans="2:26" ht="15.2" customHeight="1">
      <c r="B461" s="37"/>
      <c r="E461" s="3049">
        <v>13</v>
      </c>
      <c r="F461" s="67" t="s">
        <v>723</v>
      </c>
      <c r="G461" s="68" t="s">
        <v>724</v>
      </c>
      <c r="H461" s="69" t="s">
        <v>2099</v>
      </c>
      <c r="I461" s="68" t="s">
        <v>726</v>
      </c>
      <c r="J461" s="70" t="s">
        <v>760</v>
      </c>
      <c r="K461" s="71" t="s">
        <v>3523</v>
      </c>
      <c r="L461" s="72">
        <v>43494</v>
      </c>
      <c r="M461" s="73" t="s">
        <v>729</v>
      </c>
      <c r="N461" s="74">
        <v>43503</v>
      </c>
      <c r="O461" s="75">
        <f t="shared" si="182"/>
        <v>43503</v>
      </c>
      <c r="P461" s="2765" t="s">
        <v>3528</v>
      </c>
      <c r="Q461" s="2954">
        <v>100.9</v>
      </c>
      <c r="R461" s="76"/>
      <c r="S461" s="1945" t="s">
        <v>731</v>
      </c>
      <c r="T461" s="77" t="s">
        <v>2570</v>
      </c>
      <c r="U461" s="1893"/>
      <c r="V461" s="2079">
        <f t="shared" si="175"/>
        <v>119.062</v>
      </c>
      <c r="W461" s="78">
        <f t="shared" si="176"/>
        <v>0</v>
      </c>
      <c r="X461" s="1878" t="str">
        <f t="shared" si="174"/>
        <v>13.- R Aeolus 0350814-OT_255963  Reencauche F101-00018629 IDY3-220</v>
      </c>
      <c r="Z461" s="19" t="str">
        <f>CONCATENATE(I464,J464)</f>
        <v>ReencaucheReencauchadora RENOVA</v>
      </c>
    </row>
    <row r="462" spans="2:26" ht="15.2" customHeight="1">
      <c r="B462" s="37"/>
      <c r="E462" s="3058">
        <v>14</v>
      </c>
      <c r="F462" s="67" t="s">
        <v>723</v>
      </c>
      <c r="G462" s="68" t="s">
        <v>737</v>
      </c>
      <c r="H462" s="69" t="s">
        <v>3522</v>
      </c>
      <c r="I462" s="68" t="s">
        <v>726</v>
      </c>
      <c r="J462" s="70" t="s">
        <v>760</v>
      </c>
      <c r="K462" s="71" t="s">
        <v>3523</v>
      </c>
      <c r="L462" s="72">
        <v>43494</v>
      </c>
      <c r="M462" s="73" t="s">
        <v>729</v>
      </c>
      <c r="N462" s="74">
        <v>43503</v>
      </c>
      <c r="O462" s="75">
        <f t="shared" ref="O462:O475" si="186">+N462</f>
        <v>43503</v>
      </c>
      <c r="P462" s="2765" t="s">
        <v>3528</v>
      </c>
      <c r="Q462" s="2954">
        <v>100.9</v>
      </c>
      <c r="R462" s="76"/>
      <c r="S462" s="1945" t="s">
        <v>731</v>
      </c>
      <c r="T462" s="77" t="s">
        <v>2570</v>
      </c>
      <c r="U462" s="1893"/>
      <c r="V462" s="2079">
        <f t="shared" si="175"/>
        <v>119.062</v>
      </c>
      <c r="W462" s="78">
        <f t="shared" si="176"/>
        <v>0</v>
      </c>
      <c r="X462" s="1878" t="str">
        <f t="shared" si="174"/>
        <v>14.- R Vikrant 0090117-OT_255963  Reencauche F101-00018629 IDY3-220</v>
      </c>
      <c r="Z462" s="19" t="str">
        <f t="shared" si="185"/>
        <v>ReencaucheReenc. MASTERCAUCHO</v>
      </c>
    </row>
    <row r="463" spans="2:26" ht="15.2" customHeight="1">
      <c r="B463" s="37"/>
      <c r="E463" s="3058">
        <v>15</v>
      </c>
      <c r="F463" s="94" t="s">
        <v>723</v>
      </c>
      <c r="G463" s="299" t="s">
        <v>724</v>
      </c>
      <c r="H463" s="300" t="s">
        <v>1593</v>
      </c>
      <c r="I463" s="299" t="s">
        <v>726</v>
      </c>
      <c r="J463" s="301" t="s">
        <v>760</v>
      </c>
      <c r="K463" s="71" t="s">
        <v>3523</v>
      </c>
      <c r="L463" s="72">
        <v>43494</v>
      </c>
      <c r="M463" s="2306" t="s">
        <v>729</v>
      </c>
      <c r="N463" s="74">
        <v>43503</v>
      </c>
      <c r="O463" s="75">
        <f>+N463</f>
        <v>43503</v>
      </c>
      <c r="P463" s="2776" t="s">
        <v>3501</v>
      </c>
      <c r="Q463" s="2954"/>
      <c r="R463" s="76"/>
      <c r="S463" s="1945" t="s">
        <v>731</v>
      </c>
      <c r="T463" s="77" t="s">
        <v>3498</v>
      </c>
      <c r="U463" s="1893"/>
      <c r="V463" s="2079">
        <f t="shared" si="175"/>
        <v>0</v>
      </c>
      <c r="W463" s="78">
        <f t="shared" si="176"/>
        <v>0</v>
      </c>
      <c r="X463" s="1878" t="str">
        <f t="shared" si="174"/>
        <v>15.- R Aeolus 8140616-OT_255963  Reencauche G031-0028774 Falla estructural</v>
      </c>
      <c r="Z463" s="19" t="str">
        <f t="shared" si="185"/>
        <v>ReencaucheReenc. MASTERCAUCHO</v>
      </c>
    </row>
    <row r="464" spans="2:26" ht="15.2" customHeight="1">
      <c r="B464" s="37"/>
      <c r="E464" s="3123">
        <v>16</v>
      </c>
      <c r="F464" s="2908" t="s">
        <v>723</v>
      </c>
      <c r="G464" s="2909" t="s">
        <v>737</v>
      </c>
      <c r="H464" s="2910" t="s">
        <v>3520</v>
      </c>
      <c r="I464" s="2909" t="s">
        <v>726</v>
      </c>
      <c r="J464" s="2911" t="s">
        <v>760</v>
      </c>
      <c r="K464" s="2912" t="s">
        <v>3523</v>
      </c>
      <c r="L464" s="2913">
        <v>43494</v>
      </c>
      <c r="M464" s="2581" t="s">
        <v>729</v>
      </c>
      <c r="N464" s="2582">
        <v>43517</v>
      </c>
      <c r="O464" s="2583">
        <f>+N464</f>
        <v>43517</v>
      </c>
      <c r="P464" s="2941" t="s">
        <v>3536</v>
      </c>
      <c r="Q464" s="2957"/>
      <c r="R464" s="2584"/>
      <c r="S464" s="2585" t="s">
        <v>731</v>
      </c>
      <c r="T464" s="77" t="s">
        <v>3537</v>
      </c>
      <c r="U464" s="1893"/>
      <c r="V464" s="2079">
        <f t="shared" si="175"/>
        <v>0</v>
      </c>
      <c r="W464" s="78">
        <f t="shared" si="176"/>
        <v>0</v>
      </c>
      <c r="X464" s="1878" t="str">
        <f t="shared" si="174"/>
        <v>16.- R Vikrant 0610617-OT_255963  Reencauche G030-0078457 Falla estructural - pelada</v>
      </c>
      <c r="Z464" s="19" t="str">
        <f t="shared" si="185"/>
        <v>ReencaucheReenc. MASTERCAUCHO</v>
      </c>
    </row>
    <row r="465" spans="2:26" ht="15.2" customHeight="1">
      <c r="B465" s="37"/>
      <c r="E465" s="3048">
        <v>1</v>
      </c>
      <c r="F465" s="2297" t="s">
        <v>723</v>
      </c>
      <c r="G465" s="68" t="s">
        <v>2533</v>
      </c>
      <c r="H465" s="69" t="s">
        <v>3358</v>
      </c>
      <c r="I465" s="68" t="s">
        <v>726</v>
      </c>
      <c r="J465" s="70" t="s">
        <v>727</v>
      </c>
      <c r="K465" s="71" t="s">
        <v>3509</v>
      </c>
      <c r="L465" s="72">
        <v>43487</v>
      </c>
      <c r="M465" s="2306" t="s">
        <v>729</v>
      </c>
      <c r="N465" s="74">
        <v>43491</v>
      </c>
      <c r="O465" s="75">
        <f t="shared" si="186"/>
        <v>43491</v>
      </c>
      <c r="P465" s="2765" t="s">
        <v>3513</v>
      </c>
      <c r="Q465" s="2954"/>
      <c r="R465" s="76">
        <v>279.661</v>
      </c>
      <c r="S465" s="1945" t="s">
        <v>731</v>
      </c>
      <c r="T465" s="77" t="s">
        <v>2712</v>
      </c>
      <c r="U465" s="1893"/>
      <c r="V465" s="2079">
        <f t="shared" si="175"/>
        <v>0</v>
      </c>
      <c r="W465" s="78">
        <f t="shared" si="176"/>
        <v>329.99997999999999</v>
      </c>
      <c r="X465" s="1878" t="str">
        <f t="shared" si="174"/>
        <v>1.- R Stellmark 8300617-OT_009695  Reencauche F001-00001228 MDY-220</v>
      </c>
      <c r="Z465" s="19" t="str">
        <f t="shared" ref="Z465" si="187">CONCATENATE(I468,J468)</f>
        <v>Transpl BandaReenc. MASTERCAUCHO</v>
      </c>
    </row>
    <row r="466" spans="2:26" ht="15.2" customHeight="1">
      <c r="B466" s="37"/>
      <c r="E466" s="3048">
        <v>2</v>
      </c>
      <c r="F466" s="2297" t="s">
        <v>723</v>
      </c>
      <c r="G466" s="68" t="s">
        <v>3066</v>
      </c>
      <c r="H466" s="69" t="s">
        <v>3081</v>
      </c>
      <c r="I466" s="68" t="s">
        <v>726</v>
      </c>
      <c r="J466" s="70" t="s">
        <v>727</v>
      </c>
      <c r="K466" s="71" t="s">
        <v>3509</v>
      </c>
      <c r="L466" s="72">
        <v>43487</v>
      </c>
      <c r="M466" s="2306" t="s">
        <v>729</v>
      </c>
      <c r="N466" s="74">
        <v>43491</v>
      </c>
      <c r="O466" s="75">
        <f t="shared" si="186"/>
        <v>43491</v>
      </c>
      <c r="P466" s="2765" t="s">
        <v>3513</v>
      </c>
      <c r="Q466" s="2954"/>
      <c r="R466" s="76">
        <v>279.661</v>
      </c>
      <c r="S466" s="1945" t="s">
        <v>731</v>
      </c>
      <c r="T466" s="77" t="s">
        <v>2712</v>
      </c>
      <c r="U466" s="1893"/>
      <c r="V466" s="2079">
        <f t="shared" si="175"/>
        <v>0</v>
      </c>
      <c r="W466" s="78">
        <f t="shared" si="176"/>
        <v>329.99997999999999</v>
      </c>
      <c r="X466" s="1878" t="str">
        <f t="shared" si="174"/>
        <v>2.- R Roadwing 8200418-OT_009695  Reencauche F001-00001228 MDY-220</v>
      </c>
      <c r="Z466" s="19" t="str">
        <f t="shared" si="185"/>
        <v>Sacar_BandaReenc. MASTERCAUCHO</v>
      </c>
    </row>
    <row r="467" spans="2:26" ht="15.2" customHeight="1">
      <c r="B467" s="37"/>
      <c r="E467" s="3048">
        <v>3</v>
      </c>
      <c r="F467" s="2297" t="s">
        <v>723</v>
      </c>
      <c r="G467" s="68" t="s">
        <v>3029</v>
      </c>
      <c r="H467" s="69" t="s">
        <v>3508</v>
      </c>
      <c r="I467" s="68" t="s">
        <v>726</v>
      </c>
      <c r="J467" s="70" t="s">
        <v>727</v>
      </c>
      <c r="K467" s="71" t="s">
        <v>3509</v>
      </c>
      <c r="L467" s="72">
        <v>43487</v>
      </c>
      <c r="M467" s="2306" t="s">
        <v>729</v>
      </c>
      <c r="N467" s="74">
        <v>43491</v>
      </c>
      <c r="O467" s="75">
        <f t="shared" si="186"/>
        <v>43491</v>
      </c>
      <c r="P467" s="2765" t="s">
        <v>3513</v>
      </c>
      <c r="Q467" s="2954"/>
      <c r="R467" s="76">
        <v>279.661</v>
      </c>
      <c r="S467" s="1945" t="s">
        <v>731</v>
      </c>
      <c r="T467" s="77" t="s">
        <v>2712</v>
      </c>
      <c r="U467" s="1893"/>
      <c r="V467" s="2079">
        <f t="shared" si="175"/>
        <v>0</v>
      </c>
      <c r="W467" s="78">
        <f t="shared" si="176"/>
        <v>329.99997999999999</v>
      </c>
      <c r="X467" s="1878" t="str">
        <f t="shared" si="174"/>
        <v>3.- R Triangle 8120418-OT_009695  Reencauche F001-00001228 MDY-220</v>
      </c>
      <c r="Z467" s="19" t="str">
        <f t="shared" si="185"/>
        <v>ReencaucheReenc. MASTERCAUCHO</v>
      </c>
    </row>
    <row r="468" spans="2:26" ht="15.2" customHeight="1">
      <c r="B468" s="37"/>
      <c r="E468" s="3056">
        <v>4</v>
      </c>
      <c r="F468" s="2297" t="s">
        <v>723</v>
      </c>
      <c r="G468" s="68" t="s">
        <v>724</v>
      </c>
      <c r="H468" s="69" t="s">
        <v>876</v>
      </c>
      <c r="I468" s="68" t="s">
        <v>740</v>
      </c>
      <c r="J468" s="70" t="s">
        <v>727</v>
      </c>
      <c r="K468" s="2305" t="s">
        <v>3509</v>
      </c>
      <c r="L468" s="72">
        <v>43487</v>
      </c>
      <c r="M468" s="2306" t="s">
        <v>729</v>
      </c>
      <c r="N468" s="74">
        <v>43491</v>
      </c>
      <c r="O468" s="75">
        <f t="shared" ref="O468" si="188">+N468</f>
        <v>43491</v>
      </c>
      <c r="P468" s="2765" t="s">
        <v>3513</v>
      </c>
      <c r="Q468" s="2954"/>
      <c r="R468" s="76">
        <v>127.1186</v>
      </c>
      <c r="S468" s="1945" t="s">
        <v>731</v>
      </c>
      <c r="T468" s="77" t="s">
        <v>3514</v>
      </c>
      <c r="U468" s="1893"/>
      <c r="V468" s="2079">
        <f t="shared" si="175"/>
        <v>0</v>
      </c>
      <c r="W468" s="78">
        <f t="shared" si="176"/>
        <v>149.99994799999999</v>
      </c>
      <c r="X468" s="1878" t="str">
        <f t="shared" si="174"/>
        <v>4.- R Aeolus 0230413-OT_009695  Transpl Banda F001-00001228 Banda de 2da. Propia</v>
      </c>
      <c r="Z468" s="19" t="str">
        <f t="shared" si="185"/>
        <v>Transpl BandaReenc. MASTERCAUCHO</v>
      </c>
    </row>
    <row r="469" spans="2:26" ht="15.2" customHeight="1">
      <c r="B469" s="37"/>
      <c r="E469" s="79">
        <v>5</v>
      </c>
      <c r="F469" s="2294" t="s">
        <v>723</v>
      </c>
      <c r="G469" s="81" t="s">
        <v>825</v>
      </c>
      <c r="H469" s="82" t="s">
        <v>1594</v>
      </c>
      <c r="I469" s="81" t="s">
        <v>744</v>
      </c>
      <c r="J469" s="83" t="s">
        <v>727</v>
      </c>
      <c r="K469" s="84" t="s">
        <v>3509</v>
      </c>
      <c r="L469" s="85">
        <v>43487</v>
      </c>
      <c r="M469" s="2296" t="s">
        <v>729</v>
      </c>
      <c r="N469" s="87">
        <v>43491</v>
      </c>
      <c r="O469" s="88">
        <f t="shared" si="186"/>
        <v>43491</v>
      </c>
      <c r="P469" s="2766"/>
      <c r="Q469" s="2955"/>
      <c r="R469" s="89">
        <v>0</v>
      </c>
      <c r="S469" s="1946" t="s">
        <v>731</v>
      </c>
      <c r="T469" s="77" t="s">
        <v>2753</v>
      </c>
      <c r="U469" s="1893"/>
      <c r="V469" s="2079">
        <f t="shared" si="175"/>
        <v>0</v>
      </c>
      <c r="W469" s="78">
        <f t="shared" si="176"/>
        <v>0</v>
      </c>
      <c r="X469" s="1878" t="str">
        <f t="shared" si="174"/>
        <v>5.- R Falken 8150616-OT_009695  Sacar_Banda  Casco pelado</v>
      </c>
      <c r="Z469" s="19" t="str">
        <f t="shared" si="185"/>
        <v>ReencaucheReenc. MASTERCAUCHO</v>
      </c>
    </row>
    <row r="470" spans="2:26" ht="15.2" customHeight="1">
      <c r="B470" s="37"/>
      <c r="E470" s="3048">
        <v>1</v>
      </c>
      <c r="F470" s="2297" t="s">
        <v>723</v>
      </c>
      <c r="G470" s="68" t="s">
        <v>724</v>
      </c>
      <c r="H470" s="69" t="s">
        <v>3242</v>
      </c>
      <c r="I470" s="68" t="s">
        <v>726</v>
      </c>
      <c r="J470" s="70" t="s">
        <v>727</v>
      </c>
      <c r="K470" s="2305" t="s">
        <v>3500</v>
      </c>
      <c r="L470" s="72">
        <v>43479</v>
      </c>
      <c r="M470" s="2306" t="s">
        <v>729</v>
      </c>
      <c r="N470" s="74">
        <v>43487</v>
      </c>
      <c r="O470" s="75">
        <f t="shared" si="186"/>
        <v>43487</v>
      </c>
      <c r="P470" s="2765" t="s">
        <v>3511</v>
      </c>
      <c r="Q470" s="2954"/>
      <c r="R470" s="76">
        <v>279.661</v>
      </c>
      <c r="S470" s="1945" t="s">
        <v>731</v>
      </c>
      <c r="T470" s="77" t="s">
        <v>3512</v>
      </c>
      <c r="U470" s="1893"/>
      <c r="V470" s="2079">
        <f t="shared" si="175"/>
        <v>0</v>
      </c>
      <c r="W470" s="78">
        <f t="shared" si="176"/>
        <v>329.99997999999999</v>
      </c>
      <c r="X470" s="1878" t="str">
        <f t="shared" si="174"/>
        <v>1.- R Aeolus 0290215-OT_009678  Reencauche F001-00001185 MDY-235</v>
      </c>
      <c r="Z470" s="19" t="str">
        <f t="shared" si="185"/>
        <v>Sacar_BandaReenc. MASTERCAUCHO</v>
      </c>
    </row>
    <row r="471" spans="2:26" ht="15.2" customHeight="1">
      <c r="B471" s="69"/>
      <c r="E471" s="3048">
        <v>2</v>
      </c>
      <c r="F471" s="2297" t="s">
        <v>723</v>
      </c>
      <c r="G471" s="68" t="s">
        <v>724</v>
      </c>
      <c r="H471" s="69" t="s">
        <v>3120</v>
      </c>
      <c r="I471" s="68" t="s">
        <v>740</v>
      </c>
      <c r="J471" s="70" t="s">
        <v>727</v>
      </c>
      <c r="K471" s="71" t="s">
        <v>3500</v>
      </c>
      <c r="L471" s="72">
        <v>43479</v>
      </c>
      <c r="M471" s="2306" t="s">
        <v>729</v>
      </c>
      <c r="N471" s="74">
        <v>43487</v>
      </c>
      <c r="O471" s="75">
        <f t="shared" si="186"/>
        <v>43487</v>
      </c>
      <c r="P471" s="2765" t="s">
        <v>3511</v>
      </c>
      <c r="Q471" s="2954"/>
      <c r="R471" s="76">
        <v>127.1186</v>
      </c>
      <c r="S471" s="1945" t="s">
        <v>731</v>
      </c>
      <c r="T471" s="77" t="s">
        <v>2960</v>
      </c>
      <c r="U471" s="1893"/>
      <c r="V471" s="2079">
        <f t="shared" si="175"/>
        <v>0</v>
      </c>
      <c r="W471" s="78">
        <f t="shared" si="176"/>
        <v>149.99994799999999</v>
      </c>
      <c r="X471" s="1878" t="str">
        <f t="shared" si="174"/>
        <v>2.- R Aeolus 1001216-OT_009678  Transpl Banda F001-00001185 Anillado</v>
      </c>
      <c r="Z471" s="19" t="str">
        <f t="shared" si="185"/>
        <v>ReencaucheReencauchadora RENOVA</v>
      </c>
    </row>
    <row r="472" spans="2:26" ht="15.2" customHeight="1">
      <c r="B472" s="69"/>
      <c r="D472" s="69"/>
      <c r="E472" s="3048">
        <v>3</v>
      </c>
      <c r="F472" s="2297" t="s">
        <v>723</v>
      </c>
      <c r="G472" s="68" t="s">
        <v>724</v>
      </c>
      <c r="H472" s="69" t="s">
        <v>827</v>
      </c>
      <c r="I472" s="68" t="s">
        <v>726</v>
      </c>
      <c r="J472" s="70" t="s">
        <v>727</v>
      </c>
      <c r="K472" s="71" t="s">
        <v>3500</v>
      </c>
      <c r="L472" s="72">
        <v>43479</v>
      </c>
      <c r="M472" s="2306" t="s">
        <v>729</v>
      </c>
      <c r="N472" s="74">
        <v>43487</v>
      </c>
      <c r="O472" s="75">
        <f t="shared" si="186"/>
        <v>43487</v>
      </c>
      <c r="P472" s="2765" t="s">
        <v>3510</v>
      </c>
      <c r="Q472" s="2954"/>
      <c r="R472" s="76">
        <v>0</v>
      </c>
      <c r="S472" s="1945" t="s">
        <v>731</v>
      </c>
      <c r="T472" s="77" t="s">
        <v>3498</v>
      </c>
      <c r="U472" s="1893"/>
      <c r="V472" s="2079">
        <f t="shared" si="175"/>
        <v>0</v>
      </c>
      <c r="W472" s="78">
        <f t="shared" si="176"/>
        <v>0</v>
      </c>
      <c r="X472" s="1878" t="str">
        <f t="shared" si="174"/>
        <v>3.- R Aeolus 170812-OT_009678  Reencauche EG01-407 Falla estructural</v>
      </c>
      <c r="Z472" s="19" t="str">
        <f t="shared" si="185"/>
        <v>ReencaucheReencauchadora RENOVA</v>
      </c>
    </row>
    <row r="473" spans="2:26" ht="15.2" customHeight="1">
      <c r="B473" s="37"/>
      <c r="E473" s="79">
        <v>4</v>
      </c>
      <c r="F473" s="2294" t="s">
        <v>723</v>
      </c>
      <c r="G473" s="81" t="s">
        <v>724</v>
      </c>
      <c r="H473" s="82" t="s">
        <v>3499</v>
      </c>
      <c r="I473" s="81" t="s">
        <v>744</v>
      </c>
      <c r="J473" s="83" t="s">
        <v>727</v>
      </c>
      <c r="K473" s="84" t="s">
        <v>3500</v>
      </c>
      <c r="L473" s="85">
        <v>43479</v>
      </c>
      <c r="M473" s="2296" t="s">
        <v>729</v>
      </c>
      <c r="N473" s="87">
        <v>43487</v>
      </c>
      <c r="O473" s="88">
        <f t="shared" si="186"/>
        <v>43487</v>
      </c>
      <c r="P473" s="2766" t="s">
        <v>3510</v>
      </c>
      <c r="Q473" s="2955"/>
      <c r="R473" s="89">
        <v>0</v>
      </c>
      <c r="S473" s="1946" t="s">
        <v>731</v>
      </c>
      <c r="T473" s="77" t="s">
        <v>2753</v>
      </c>
      <c r="U473" s="1893"/>
      <c r="V473" s="2079">
        <f t="shared" si="175"/>
        <v>0</v>
      </c>
      <c r="W473" s="78">
        <f t="shared" si="176"/>
        <v>0</v>
      </c>
      <c r="X473" s="1878" t="str">
        <f t="shared" si="174"/>
        <v>4.- R Aeolus 0670617-OT_009678  Sacar_Banda EG01-407 Casco pelado</v>
      </c>
      <c r="Z473" s="19" t="str">
        <f t="shared" ref="Z473:Z478" si="189">CONCATENATE(I476,J476)</f>
        <v>ReencaucheReencauchadora RENOVA</v>
      </c>
    </row>
    <row r="474" spans="2:26" ht="15.2" customHeight="1">
      <c r="B474" s="37"/>
      <c r="E474" s="3048">
        <v>1</v>
      </c>
      <c r="F474" s="2297" t="s">
        <v>723</v>
      </c>
      <c r="G474" s="68" t="s">
        <v>724</v>
      </c>
      <c r="H474" s="69" t="s">
        <v>2500</v>
      </c>
      <c r="I474" s="68" t="s">
        <v>726</v>
      </c>
      <c r="J474" s="70" t="s">
        <v>760</v>
      </c>
      <c r="K474" s="2305" t="s">
        <v>3488</v>
      </c>
      <c r="L474" s="72">
        <v>43475</v>
      </c>
      <c r="M474" s="2306" t="s">
        <v>729</v>
      </c>
      <c r="N474" s="74">
        <v>43482</v>
      </c>
      <c r="O474" s="75">
        <f t="shared" si="186"/>
        <v>43482</v>
      </c>
      <c r="P474" s="2765" t="s">
        <v>3502</v>
      </c>
      <c r="Q474" s="2954">
        <v>100.9</v>
      </c>
      <c r="R474" s="76"/>
      <c r="S474" s="1945" t="s">
        <v>731</v>
      </c>
      <c r="T474" s="77" t="s">
        <v>2570</v>
      </c>
      <c r="U474" s="1893"/>
      <c r="V474" s="2079">
        <f t="shared" si="175"/>
        <v>119.062</v>
      </c>
      <c r="W474" s="78">
        <f t="shared" si="176"/>
        <v>0</v>
      </c>
      <c r="X474" s="1878" t="str">
        <f t="shared" si="174"/>
        <v>1.- R Aeolus 0020114-OT_255410  Reencauche F102-00013925 IDY3-220</v>
      </c>
      <c r="Z474" s="19" t="str">
        <f t="shared" si="189"/>
        <v>ReencaucheReencauchadora RENOVA</v>
      </c>
    </row>
    <row r="475" spans="2:26" ht="15.2" customHeight="1">
      <c r="B475" s="37"/>
      <c r="E475" s="3048">
        <v>2</v>
      </c>
      <c r="F475" s="2297" t="s">
        <v>723</v>
      </c>
      <c r="G475" s="68" t="s">
        <v>825</v>
      </c>
      <c r="H475" s="69" t="s">
        <v>862</v>
      </c>
      <c r="I475" s="68" t="s">
        <v>726</v>
      </c>
      <c r="J475" s="70" t="s">
        <v>760</v>
      </c>
      <c r="K475" s="71" t="s">
        <v>3488</v>
      </c>
      <c r="L475" s="72">
        <v>43475</v>
      </c>
      <c r="M475" s="2306" t="s">
        <v>729</v>
      </c>
      <c r="N475" s="74">
        <v>43482</v>
      </c>
      <c r="O475" s="75">
        <f t="shared" si="186"/>
        <v>43482</v>
      </c>
      <c r="P475" s="2765" t="s">
        <v>3502</v>
      </c>
      <c r="Q475" s="2954">
        <v>100.9</v>
      </c>
      <c r="R475" s="76"/>
      <c r="S475" s="1945" t="s">
        <v>731</v>
      </c>
      <c r="T475" s="77" t="s">
        <v>2570</v>
      </c>
      <c r="U475" s="1893"/>
      <c r="V475" s="2079">
        <f t="shared" si="175"/>
        <v>119.062</v>
      </c>
      <c r="W475" s="78">
        <f t="shared" si="176"/>
        <v>0</v>
      </c>
      <c r="X475" s="1878" t="str">
        <f t="shared" si="174"/>
        <v>2.- R Falken 0540611-OT_255410  Reencauche F102-00013925 IDY3-220</v>
      </c>
      <c r="Z475" s="19" t="str">
        <f t="shared" si="189"/>
        <v>ReencaucheReencauchadora RENOVA</v>
      </c>
    </row>
    <row r="476" spans="2:26" ht="15.2" customHeight="1">
      <c r="B476" s="37"/>
      <c r="E476" s="3047">
        <v>3</v>
      </c>
      <c r="F476" s="2297" t="s">
        <v>723</v>
      </c>
      <c r="G476" s="68" t="s">
        <v>247</v>
      </c>
      <c r="H476" s="69" t="s">
        <v>3483</v>
      </c>
      <c r="I476" s="68" t="s">
        <v>726</v>
      </c>
      <c r="J476" s="70" t="s">
        <v>760</v>
      </c>
      <c r="K476" s="71" t="s">
        <v>3488</v>
      </c>
      <c r="L476" s="72">
        <v>43475</v>
      </c>
      <c r="M476" s="2306" t="s">
        <v>729</v>
      </c>
      <c r="N476" s="74">
        <v>43482</v>
      </c>
      <c r="O476" s="75">
        <f t="shared" si="149"/>
        <v>43482</v>
      </c>
      <c r="P476" s="2765" t="s">
        <v>3502</v>
      </c>
      <c r="Q476" s="2954">
        <v>100.9</v>
      </c>
      <c r="R476" s="76"/>
      <c r="S476" s="1945" t="s">
        <v>731</v>
      </c>
      <c r="T476" s="77" t="s">
        <v>2570</v>
      </c>
      <c r="U476" s="1893"/>
      <c r="V476" s="2079">
        <f t="shared" si="175"/>
        <v>119.062</v>
      </c>
      <c r="W476" s="78">
        <f t="shared" si="176"/>
        <v>0</v>
      </c>
      <c r="X476" s="1878" t="str">
        <f t="shared" si="174"/>
        <v>3.- R Double Happines 8310717-OT_255410  Reencauche F102-00013925 IDY3-220</v>
      </c>
      <c r="Z476" s="19" t="str">
        <f t="shared" si="189"/>
        <v>ReencaucheReencauchadora RENOVA</v>
      </c>
    </row>
    <row r="477" spans="2:26" ht="15.2" customHeight="1">
      <c r="B477" s="37"/>
      <c r="E477" s="3047">
        <v>4</v>
      </c>
      <c r="F477" s="2297" t="s">
        <v>723</v>
      </c>
      <c r="G477" s="68" t="s">
        <v>151</v>
      </c>
      <c r="H477" s="69" t="s">
        <v>2664</v>
      </c>
      <c r="I477" s="68" t="s">
        <v>726</v>
      </c>
      <c r="J477" s="70" t="s">
        <v>760</v>
      </c>
      <c r="K477" s="71" t="s">
        <v>3488</v>
      </c>
      <c r="L477" s="72">
        <v>43475</v>
      </c>
      <c r="M477" s="2306" t="s">
        <v>729</v>
      </c>
      <c r="N477" s="74">
        <v>43482</v>
      </c>
      <c r="O477" s="75">
        <f t="shared" si="149"/>
        <v>43482</v>
      </c>
      <c r="P477" s="2765" t="s">
        <v>3502</v>
      </c>
      <c r="Q477" s="2954">
        <v>100.9</v>
      </c>
      <c r="R477" s="76"/>
      <c r="S477" s="1945" t="s">
        <v>731</v>
      </c>
      <c r="T477" s="77" t="s">
        <v>2570</v>
      </c>
      <c r="U477" s="1893"/>
      <c r="V477" s="2079">
        <f t="shared" si="175"/>
        <v>119.062</v>
      </c>
      <c r="W477" s="78">
        <f t="shared" si="176"/>
        <v>0</v>
      </c>
      <c r="X477" s="1878" t="str">
        <f t="shared" si="174"/>
        <v>4.- R WindPower 0410815-OT_255410  Reencauche F102-00013925 IDY3-220</v>
      </c>
      <c r="Z477" s="19" t="str">
        <f t="shared" si="189"/>
        <v>ReencaucheReencauchadora RENOVA</v>
      </c>
    </row>
    <row r="478" spans="2:26" ht="15.2" customHeight="1">
      <c r="B478" s="37"/>
      <c r="E478" s="3047">
        <v>5</v>
      </c>
      <c r="F478" s="2297" t="s">
        <v>723</v>
      </c>
      <c r="G478" s="68" t="s">
        <v>3345</v>
      </c>
      <c r="H478" s="69" t="s">
        <v>3356</v>
      </c>
      <c r="I478" s="68" t="s">
        <v>726</v>
      </c>
      <c r="J478" s="70" t="s">
        <v>760</v>
      </c>
      <c r="K478" s="71" t="s">
        <v>3488</v>
      </c>
      <c r="L478" s="72">
        <v>43475</v>
      </c>
      <c r="M478" s="2306" t="s">
        <v>729</v>
      </c>
      <c r="N478" s="74">
        <v>43482</v>
      </c>
      <c r="O478" s="75">
        <f t="shared" si="149"/>
        <v>43482</v>
      </c>
      <c r="P478" s="2765" t="s">
        <v>3502</v>
      </c>
      <c r="Q478" s="2954">
        <v>100.9</v>
      </c>
      <c r="R478" s="76"/>
      <c r="S478" s="1945" t="s">
        <v>731</v>
      </c>
      <c r="T478" s="77" t="s">
        <v>2570</v>
      </c>
      <c r="U478" s="1893"/>
      <c r="V478" s="2079">
        <f t="shared" si="175"/>
        <v>119.062</v>
      </c>
      <c r="W478" s="78">
        <f t="shared" si="176"/>
        <v>0</v>
      </c>
      <c r="X478" s="1878" t="str">
        <f t="shared" si="174"/>
        <v>5.- R YellowSea 8310918-OT_255410  Reencauche F102-00013925 IDY3-220</v>
      </c>
      <c r="Z478" s="19" t="str">
        <f t="shared" si="189"/>
        <v>ReencaucheReencauchadora RENOVA</v>
      </c>
    </row>
    <row r="479" spans="2:26" ht="15.2" customHeight="1">
      <c r="B479" s="37"/>
      <c r="E479" s="3047">
        <v>6</v>
      </c>
      <c r="F479" s="2297" t="s">
        <v>723</v>
      </c>
      <c r="G479" s="68" t="s">
        <v>3482</v>
      </c>
      <c r="H479" s="69" t="s">
        <v>3484</v>
      </c>
      <c r="I479" s="68" t="s">
        <v>726</v>
      </c>
      <c r="J479" s="70" t="s">
        <v>760</v>
      </c>
      <c r="K479" s="71" t="s">
        <v>3488</v>
      </c>
      <c r="L479" s="72">
        <v>43475</v>
      </c>
      <c r="M479" s="2306" t="s">
        <v>729</v>
      </c>
      <c r="N479" s="74">
        <v>43482</v>
      </c>
      <c r="O479" s="75">
        <f t="shared" si="149"/>
        <v>43482</v>
      </c>
      <c r="P479" s="2765" t="s">
        <v>3502</v>
      </c>
      <c r="Q479" s="2954">
        <v>100.9</v>
      </c>
      <c r="R479" s="76"/>
      <c r="S479" s="1945" t="s">
        <v>731</v>
      </c>
      <c r="T479" s="77" t="s">
        <v>2570</v>
      </c>
      <c r="U479" s="1893"/>
      <c r="V479" s="2079">
        <f t="shared" si="175"/>
        <v>119.062</v>
      </c>
      <c r="W479" s="78">
        <f t="shared" si="176"/>
        <v>0</v>
      </c>
      <c r="X479" s="1878" t="str">
        <f t="shared" si="174"/>
        <v>6.- R SuperHawk 0791016-OT_255410  Reencauche F102-00013925 IDY3-220</v>
      </c>
      <c r="Z479" s="19" t="str">
        <f t="shared" ref="Z479:Z560" si="190">CONCATENATE(I482,J482)</f>
        <v>ReencaucheReencauchadora RENOVA</v>
      </c>
    </row>
    <row r="480" spans="2:26" ht="15.2" customHeight="1">
      <c r="B480" s="37"/>
      <c r="E480" s="3047">
        <v>7</v>
      </c>
      <c r="F480" s="2297" t="s">
        <v>723</v>
      </c>
      <c r="G480" s="68" t="s">
        <v>3482</v>
      </c>
      <c r="H480" s="69" t="s">
        <v>3485</v>
      </c>
      <c r="I480" s="68" t="s">
        <v>726</v>
      </c>
      <c r="J480" s="70" t="s">
        <v>760</v>
      </c>
      <c r="K480" s="71" t="s">
        <v>3488</v>
      </c>
      <c r="L480" s="72">
        <v>43475</v>
      </c>
      <c r="M480" s="2306" t="s">
        <v>729</v>
      </c>
      <c r="N480" s="74">
        <v>43482</v>
      </c>
      <c r="O480" s="75">
        <f t="shared" si="149"/>
        <v>43482</v>
      </c>
      <c r="P480" s="2765" t="s">
        <v>3502</v>
      </c>
      <c r="Q480" s="2954">
        <v>100.9</v>
      </c>
      <c r="R480" s="76"/>
      <c r="S480" s="1945" t="s">
        <v>731</v>
      </c>
      <c r="T480" s="77" t="s">
        <v>2570</v>
      </c>
      <c r="U480" s="1893"/>
      <c r="V480" s="2079">
        <f t="shared" si="175"/>
        <v>119.062</v>
      </c>
      <c r="W480" s="78">
        <f t="shared" si="176"/>
        <v>0</v>
      </c>
      <c r="X480" s="1878" t="str">
        <f t="shared" si="174"/>
        <v>7.- R SuperHawk 0781016-OT_255410  Reencauche F102-00013925 IDY3-220</v>
      </c>
      <c r="Z480" s="19" t="str">
        <f>CONCATENATE(I483,J483)</f>
        <v>ReencaucheReencauchadora RENOVA</v>
      </c>
    </row>
    <row r="481" spans="2:26" ht="15.2" customHeight="1">
      <c r="B481" s="37"/>
      <c r="E481" s="3047">
        <v>8</v>
      </c>
      <c r="F481" s="2297" t="s">
        <v>723</v>
      </c>
      <c r="G481" s="68" t="s">
        <v>737</v>
      </c>
      <c r="H481" s="69" t="s">
        <v>3486</v>
      </c>
      <c r="I481" s="68" t="s">
        <v>726</v>
      </c>
      <c r="J481" s="70" t="s">
        <v>760</v>
      </c>
      <c r="K481" s="2305" t="s">
        <v>3489</v>
      </c>
      <c r="L481" s="72">
        <v>43475</v>
      </c>
      <c r="M481" s="2306" t="s">
        <v>729</v>
      </c>
      <c r="N481" s="74">
        <v>43482</v>
      </c>
      <c r="O481" s="75">
        <f t="shared" si="149"/>
        <v>43482</v>
      </c>
      <c r="P481" s="2765" t="s">
        <v>3502</v>
      </c>
      <c r="Q481" s="2954">
        <v>100.9</v>
      </c>
      <c r="R481" s="76"/>
      <c r="S481" s="1945" t="s">
        <v>731</v>
      </c>
      <c r="T481" s="77" t="s">
        <v>2570</v>
      </c>
      <c r="U481" s="1893"/>
      <c r="V481" s="2079">
        <f t="shared" si="175"/>
        <v>119.062</v>
      </c>
      <c r="W481" s="78">
        <f t="shared" si="176"/>
        <v>0</v>
      </c>
      <c r="X481" s="1878" t="str">
        <f t="shared" si="174"/>
        <v>8.- R Vikrant 0110118-OT_255411  Reencauche F102-00013925 IDY3-220</v>
      </c>
      <c r="Z481" s="19" t="str">
        <f>CONCATENATE(I484,J484)</f>
        <v>ReencaucheReencauchadora RENOVA</v>
      </c>
    </row>
    <row r="482" spans="2:26" ht="15.2" customHeight="1">
      <c r="B482" s="37"/>
      <c r="E482" s="3053">
        <v>9</v>
      </c>
      <c r="F482" s="2297" t="s">
        <v>723</v>
      </c>
      <c r="G482" s="68" t="s">
        <v>737</v>
      </c>
      <c r="H482" s="69" t="s">
        <v>3487</v>
      </c>
      <c r="I482" s="68" t="s">
        <v>726</v>
      </c>
      <c r="J482" s="70" t="s">
        <v>760</v>
      </c>
      <c r="K482" s="2305" t="s">
        <v>3489</v>
      </c>
      <c r="L482" s="72">
        <v>43475</v>
      </c>
      <c r="M482" s="2306" t="s">
        <v>729</v>
      </c>
      <c r="N482" s="74">
        <v>43482</v>
      </c>
      <c r="O482" s="75">
        <f t="shared" ref="O482:O561" si="191">+N482</f>
        <v>43482</v>
      </c>
      <c r="P482" s="2765" t="s">
        <v>3502</v>
      </c>
      <c r="Q482" s="2954">
        <v>100.9</v>
      </c>
      <c r="R482" s="76"/>
      <c r="S482" s="1945" t="s">
        <v>731</v>
      </c>
      <c r="T482" s="77" t="s">
        <v>2570</v>
      </c>
      <c r="U482" s="1893"/>
      <c r="V482" s="2079">
        <f t="shared" si="175"/>
        <v>119.062</v>
      </c>
      <c r="W482" s="78">
        <f t="shared" si="176"/>
        <v>0</v>
      </c>
      <c r="X482" s="1878" t="str">
        <f t="shared" ref="X482:X545" si="192">CONCATENATE(E482,".- ",F482," ",G482," ",H482,"-OT_",K482," "," ",I482," ",P482," ",T482)</f>
        <v>9.- R Vikrant 0120118-OT_255411  Reencauche F102-00013925 IDY3-220</v>
      </c>
      <c r="Z482" s="19" t="str">
        <f>CONCATENATE(I485,J485)</f>
        <v>ReencaucheReencauchadora RENOVA</v>
      </c>
    </row>
    <row r="483" spans="2:26" ht="15.2" customHeight="1">
      <c r="B483" s="37"/>
      <c r="E483" s="3047">
        <v>10</v>
      </c>
      <c r="F483" s="2297" t="s">
        <v>723</v>
      </c>
      <c r="G483" s="68" t="s">
        <v>2533</v>
      </c>
      <c r="H483" s="69" t="s">
        <v>3358</v>
      </c>
      <c r="I483" s="68" t="s">
        <v>726</v>
      </c>
      <c r="J483" s="70" t="s">
        <v>760</v>
      </c>
      <c r="K483" s="71" t="s">
        <v>3488</v>
      </c>
      <c r="L483" s="72">
        <v>43475</v>
      </c>
      <c r="M483" s="2306" t="s">
        <v>729</v>
      </c>
      <c r="N483" s="74">
        <v>43482</v>
      </c>
      <c r="O483" s="75">
        <f>+N483</f>
        <v>43482</v>
      </c>
      <c r="P483" s="2765" t="s">
        <v>3501</v>
      </c>
      <c r="Q483" s="2954"/>
      <c r="R483" s="76"/>
      <c r="S483" s="1945" t="s">
        <v>731</v>
      </c>
      <c r="T483" s="77" t="s">
        <v>3498</v>
      </c>
      <c r="U483" s="1893"/>
      <c r="V483" s="2079">
        <f t="shared" ref="V483:V546" si="193">+Q483*(1.18)</f>
        <v>0</v>
      </c>
      <c r="W483" s="78">
        <f t="shared" ref="W483:W546" si="194">+R483*(1.18)</f>
        <v>0</v>
      </c>
      <c r="X483" s="1878" t="str">
        <f t="shared" si="192"/>
        <v>10.- R Stellmark 8300617-OT_255410  Reencauche G031-0028774 Falla estructural</v>
      </c>
      <c r="Z483" s="19" t="str">
        <f t="shared" si="190"/>
        <v>ReencaucheReencauchadora RENOVA</v>
      </c>
    </row>
    <row r="484" spans="2:26" ht="15.2" customHeight="1">
      <c r="B484" s="37"/>
      <c r="E484" s="3053">
        <v>11</v>
      </c>
      <c r="F484" s="2297" t="s">
        <v>723</v>
      </c>
      <c r="G484" s="68" t="s">
        <v>724</v>
      </c>
      <c r="H484" s="69" t="s">
        <v>876</v>
      </c>
      <c r="I484" s="68" t="s">
        <v>726</v>
      </c>
      <c r="J484" s="70" t="s">
        <v>760</v>
      </c>
      <c r="K484" s="71" t="s">
        <v>3488</v>
      </c>
      <c r="L484" s="72">
        <v>43475</v>
      </c>
      <c r="M484" s="2306" t="s">
        <v>729</v>
      </c>
      <c r="N484" s="74">
        <v>43482</v>
      </c>
      <c r="O484" s="75">
        <f>+N484</f>
        <v>43482</v>
      </c>
      <c r="P484" s="2765" t="s">
        <v>3501</v>
      </c>
      <c r="Q484" s="2954"/>
      <c r="R484" s="76"/>
      <c r="S484" s="1945" t="s">
        <v>731</v>
      </c>
      <c r="T484" s="77" t="s">
        <v>3498</v>
      </c>
      <c r="U484" s="1893"/>
      <c r="V484" s="2079">
        <f t="shared" si="193"/>
        <v>0</v>
      </c>
      <c r="W484" s="78">
        <f t="shared" si="194"/>
        <v>0</v>
      </c>
      <c r="X484" s="1878" t="str">
        <f t="shared" si="192"/>
        <v>11.- R Aeolus 0230413-OT_255410  Reencauche G031-0028774 Falla estructural</v>
      </c>
      <c r="Z484" s="19" t="str">
        <f t="shared" ref="Z484:Z530" si="195">CONCATENATE(I487,J487)</f>
        <v>ReencaucheReencauchadora RENOVA</v>
      </c>
    </row>
    <row r="485" spans="2:26" ht="15" customHeight="1">
      <c r="B485" s="37"/>
      <c r="E485" s="79">
        <v>12</v>
      </c>
      <c r="F485" s="2575" t="s">
        <v>723</v>
      </c>
      <c r="G485" s="3127" t="s">
        <v>724</v>
      </c>
      <c r="H485" s="3128" t="s">
        <v>745</v>
      </c>
      <c r="I485" s="2576" t="s">
        <v>726</v>
      </c>
      <c r="J485" s="2578" t="s">
        <v>760</v>
      </c>
      <c r="K485" s="2579" t="s">
        <v>3488</v>
      </c>
      <c r="L485" s="2580">
        <v>43475</v>
      </c>
      <c r="M485" s="2581" t="s">
        <v>729</v>
      </c>
      <c r="N485" s="2582">
        <v>43503</v>
      </c>
      <c r="O485" s="2583">
        <f>+N485</f>
        <v>43503</v>
      </c>
      <c r="P485" s="2941" t="s">
        <v>3528</v>
      </c>
      <c r="Q485" s="2957">
        <v>100.9</v>
      </c>
      <c r="R485" s="2584"/>
      <c r="S485" s="2585" t="s">
        <v>731</v>
      </c>
      <c r="T485" s="77" t="s">
        <v>2570</v>
      </c>
      <c r="U485" s="1893"/>
      <c r="V485" s="2079">
        <f t="shared" si="193"/>
        <v>119.062</v>
      </c>
      <c r="W485" s="78">
        <f t="shared" si="194"/>
        <v>0</v>
      </c>
      <c r="X485" s="1878" t="str">
        <f t="shared" si="192"/>
        <v>12.- R Aeolus 0290413-OT_255410  Reencauche F101-00018629 IDY3-220</v>
      </c>
      <c r="Z485" s="19" t="str">
        <f t="shared" si="195"/>
        <v>ReencaucheReencauchadora RENOVA</v>
      </c>
    </row>
    <row r="486" spans="2:26" ht="15" customHeight="1">
      <c r="B486" s="37"/>
      <c r="E486" s="3017">
        <v>1</v>
      </c>
      <c r="F486" s="2297" t="s">
        <v>723</v>
      </c>
      <c r="G486" s="68" t="s">
        <v>247</v>
      </c>
      <c r="H486" s="69" t="s">
        <v>3471</v>
      </c>
      <c r="I486" s="68" t="s">
        <v>726</v>
      </c>
      <c r="J486" s="70" t="s">
        <v>760</v>
      </c>
      <c r="K486" s="71" t="s">
        <v>3476</v>
      </c>
      <c r="L486" s="72">
        <v>43461</v>
      </c>
      <c r="M486" s="2306" t="s">
        <v>729</v>
      </c>
      <c r="N486" s="74">
        <v>43475</v>
      </c>
      <c r="O486" s="75">
        <f t="shared" si="191"/>
        <v>43475</v>
      </c>
      <c r="P486" s="2765" t="s">
        <v>3496</v>
      </c>
      <c r="Q486" s="2954">
        <v>100.9</v>
      </c>
      <c r="R486" s="76"/>
      <c r="S486" s="1945" t="s">
        <v>731</v>
      </c>
      <c r="T486" s="77"/>
      <c r="U486" s="1893"/>
      <c r="V486" s="2079">
        <f t="shared" si="193"/>
        <v>119.062</v>
      </c>
      <c r="W486" s="78">
        <f t="shared" si="194"/>
        <v>0</v>
      </c>
      <c r="X486" s="1878" t="str">
        <f t="shared" si="192"/>
        <v xml:space="preserve">1.- R Double Happines 8401018-OT_254544  Reencauche F101-00018425 </v>
      </c>
      <c r="Z486" s="19" t="str">
        <f t="shared" ref="Z486:Z491" si="196">CONCATENATE(I489,J489)</f>
        <v>ReencaucheReencauchadora RENOVA</v>
      </c>
    </row>
    <row r="487" spans="2:26" ht="15" customHeight="1">
      <c r="B487" s="37"/>
      <c r="E487" s="3022">
        <v>2</v>
      </c>
      <c r="F487" s="2297" t="s">
        <v>723</v>
      </c>
      <c r="G487" s="68" t="s">
        <v>737</v>
      </c>
      <c r="H487" s="69" t="s">
        <v>3472</v>
      </c>
      <c r="I487" s="68" t="s">
        <v>726</v>
      </c>
      <c r="J487" s="70" t="s">
        <v>760</v>
      </c>
      <c r="K487" s="71" t="s">
        <v>3476</v>
      </c>
      <c r="L487" s="72">
        <v>43461</v>
      </c>
      <c r="M487" s="2306" t="s">
        <v>729</v>
      </c>
      <c r="N487" s="74">
        <v>43475</v>
      </c>
      <c r="O487" s="75">
        <f t="shared" ref="O487:O495" si="197">+N487</f>
        <v>43475</v>
      </c>
      <c r="P487" s="2765" t="s">
        <v>3496</v>
      </c>
      <c r="Q487" s="2954">
        <v>100.9</v>
      </c>
      <c r="R487" s="76"/>
      <c r="S487" s="1945" t="s">
        <v>731</v>
      </c>
      <c r="T487" s="77"/>
      <c r="U487" s="1893"/>
      <c r="V487" s="2079">
        <f t="shared" si="193"/>
        <v>119.062</v>
      </c>
      <c r="W487" s="78">
        <f t="shared" si="194"/>
        <v>0</v>
      </c>
      <c r="X487" s="1878" t="str">
        <f t="shared" si="192"/>
        <v xml:space="preserve">2.- R Vikrant 0890917-OT_254544  Reencauche F101-00018425 </v>
      </c>
      <c r="Z487" s="19" t="str">
        <f t="shared" si="196"/>
        <v>ReencaucheReencauchadora RENOVA</v>
      </c>
    </row>
    <row r="488" spans="2:26" ht="15" customHeight="1">
      <c r="B488" s="37"/>
      <c r="E488" s="3022">
        <v>3</v>
      </c>
      <c r="F488" s="2297" t="s">
        <v>723</v>
      </c>
      <c r="G488" s="68" t="s">
        <v>724</v>
      </c>
      <c r="H488" s="69" t="s">
        <v>2926</v>
      </c>
      <c r="I488" s="68" t="s">
        <v>726</v>
      </c>
      <c r="J488" s="70" t="s">
        <v>760</v>
      </c>
      <c r="K488" s="71" t="s">
        <v>3476</v>
      </c>
      <c r="L488" s="72">
        <v>43461</v>
      </c>
      <c r="M488" s="2306" t="s">
        <v>729</v>
      </c>
      <c r="N488" s="74">
        <v>43475</v>
      </c>
      <c r="O488" s="75">
        <f t="shared" si="197"/>
        <v>43475</v>
      </c>
      <c r="P488" s="2765" t="s">
        <v>3496</v>
      </c>
      <c r="Q488" s="2954">
        <v>100.9</v>
      </c>
      <c r="R488" s="76"/>
      <c r="S488" s="1945" t="s">
        <v>731</v>
      </c>
      <c r="T488" s="77"/>
      <c r="U488" s="1893"/>
      <c r="V488" s="2079">
        <f t="shared" si="193"/>
        <v>119.062</v>
      </c>
      <c r="W488" s="78">
        <f t="shared" si="194"/>
        <v>0</v>
      </c>
      <c r="X488" s="1878" t="str">
        <f t="shared" si="192"/>
        <v xml:space="preserve">3.- R Aeolus 0110215-OT_254544  Reencauche F101-00018425 </v>
      </c>
      <c r="Z488" s="19" t="str">
        <f t="shared" si="196"/>
        <v>ReencaucheReencauchadora RENOVA</v>
      </c>
    </row>
    <row r="489" spans="2:26" ht="15" customHeight="1">
      <c r="B489" s="37"/>
      <c r="E489" s="3046">
        <v>4</v>
      </c>
      <c r="F489" s="2297" t="s">
        <v>723</v>
      </c>
      <c r="G489" s="68" t="s">
        <v>247</v>
      </c>
      <c r="H489" s="69" t="s">
        <v>249</v>
      </c>
      <c r="I489" s="68" t="s">
        <v>726</v>
      </c>
      <c r="J489" s="70" t="s">
        <v>760</v>
      </c>
      <c r="K489" s="71" t="s">
        <v>3476</v>
      </c>
      <c r="L489" s="72">
        <v>43461</v>
      </c>
      <c r="M489" s="2306" t="s">
        <v>729</v>
      </c>
      <c r="N489" s="74">
        <v>43475</v>
      </c>
      <c r="O489" s="75">
        <f t="shared" si="197"/>
        <v>43475</v>
      </c>
      <c r="P489" s="2765" t="s">
        <v>3496</v>
      </c>
      <c r="Q489" s="2954">
        <v>100.9</v>
      </c>
      <c r="R489" s="76"/>
      <c r="S489" s="1945" t="s">
        <v>731</v>
      </c>
      <c r="T489" s="77"/>
      <c r="U489" s="1893"/>
      <c r="V489" s="2079">
        <f t="shared" si="193"/>
        <v>119.062</v>
      </c>
      <c r="W489" s="78">
        <f t="shared" si="194"/>
        <v>0</v>
      </c>
      <c r="X489" s="1878" t="str">
        <f t="shared" si="192"/>
        <v xml:space="preserve">4.- R Double Happines 8110316-OT_254544  Reencauche F101-00018425 </v>
      </c>
      <c r="Z489" s="19" t="str">
        <f t="shared" si="196"/>
        <v>ReencaucheReencauchadora RENOVA</v>
      </c>
    </row>
    <row r="490" spans="2:26" ht="15" customHeight="1">
      <c r="B490" s="37"/>
      <c r="E490" s="3046">
        <v>5</v>
      </c>
      <c r="F490" s="2297" t="s">
        <v>723</v>
      </c>
      <c r="G490" s="68" t="s">
        <v>724</v>
      </c>
      <c r="H490" s="69" t="s">
        <v>3473</v>
      </c>
      <c r="I490" s="68" t="s">
        <v>726</v>
      </c>
      <c r="J490" s="70" t="s">
        <v>760</v>
      </c>
      <c r="K490" s="71" t="s">
        <v>3476</v>
      </c>
      <c r="L490" s="72">
        <v>43461</v>
      </c>
      <c r="M490" s="2306" t="s">
        <v>729</v>
      </c>
      <c r="N490" s="74">
        <v>43475</v>
      </c>
      <c r="O490" s="75">
        <f t="shared" si="197"/>
        <v>43475</v>
      </c>
      <c r="P490" s="2765" t="s">
        <v>3496</v>
      </c>
      <c r="Q490" s="2954">
        <v>100.9</v>
      </c>
      <c r="R490" s="76"/>
      <c r="S490" s="1945" t="s">
        <v>731</v>
      </c>
      <c r="T490" s="77"/>
      <c r="U490" s="1893"/>
      <c r="V490" s="2079">
        <f t="shared" si="193"/>
        <v>119.062</v>
      </c>
      <c r="W490" s="78">
        <f t="shared" si="194"/>
        <v>0</v>
      </c>
      <c r="X490" s="1878" t="str">
        <f t="shared" si="192"/>
        <v xml:space="preserve">5.- R Aeolus 0430616-OT_254544  Reencauche F101-00018425 </v>
      </c>
      <c r="Z490" s="19" t="str">
        <f t="shared" si="196"/>
        <v>ReencaucheReencauchadora RENOVA</v>
      </c>
    </row>
    <row r="491" spans="2:26" ht="15" customHeight="1">
      <c r="B491" s="37"/>
      <c r="E491" s="3046">
        <v>6</v>
      </c>
      <c r="F491" s="2297" t="s">
        <v>723</v>
      </c>
      <c r="G491" s="68" t="s">
        <v>737</v>
      </c>
      <c r="H491" s="69" t="s">
        <v>3474</v>
      </c>
      <c r="I491" s="68" t="s">
        <v>726</v>
      </c>
      <c r="J491" s="70" t="s">
        <v>760</v>
      </c>
      <c r="K491" s="71" t="s">
        <v>3476</v>
      </c>
      <c r="L491" s="72">
        <v>43461</v>
      </c>
      <c r="M491" s="2306" t="s">
        <v>729</v>
      </c>
      <c r="N491" s="74">
        <v>43475</v>
      </c>
      <c r="O491" s="75">
        <f t="shared" si="197"/>
        <v>43475</v>
      </c>
      <c r="P491" s="2765" t="s">
        <v>3496</v>
      </c>
      <c r="Q491" s="2954">
        <v>100.9</v>
      </c>
      <c r="R491" s="76"/>
      <c r="S491" s="1945" t="s">
        <v>731</v>
      </c>
      <c r="T491" s="77"/>
      <c r="U491" s="1893"/>
      <c r="V491" s="2079">
        <f t="shared" si="193"/>
        <v>119.062</v>
      </c>
      <c r="W491" s="78">
        <f t="shared" si="194"/>
        <v>0</v>
      </c>
      <c r="X491" s="1878" t="str">
        <f t="shared" si="192"/>
        <v xml:space="preserve">6.- R Vikrant 1141217-OT_254544  Reencauche F101-00018425 </v>
      </c>
      <c r="Z491" s="19" t="str">
        <f t="shared" si="196"/>
        <v>ReencaucheReencauchadora RENOVA</v>
      </c>
    </row>
    <row r="492" spans="2:26" ht="15.2" customHeight="1">
      <c r="B492" s="37"/>
      <c r="E492" s="3046">
        <v>7</v>
      </c>
      <c r="F492" s="2297" t="s">
        <v>723</v>
      </c>
      <c r="G492" s="68" t="s">
        <v>724</v>
      </c>
      <c r="H492" s="69" t="s">
        <v>764</v>
      </c>
      <c r="I492" s="68" t="s">
        <v>726</v>
      </c>
      <c r="J492" s="70" t="s">
        <v>760</v>
      </c>
      <c r="K492" s="71" t="s">
        <v>3476</v>
      </c>
      <c r="L492" s="72">
        <v>43461</v>
      </c>
      <c r="M492" s="2306" t="s">
        <v>729</v>
      </c>
      <c r="N492" s="74">
        <v>43475</v>
      </c>
      <c r="O492" s="75">
        <f t="shared" si="197"/>
        <v>43475</v>
      </c>
      <c r="P492" s="2765" t="s">
        <v>3496</v>
      </c>
      <c r="Q492" s="2954">
        <v>100.9</v>
      </c>
      <c r="R492" s="76"/>
      <c r="S492" s="1945" t="s">
        <v>731</v>
      </c>
      <c r="T492" s="77"/>
      <c r="U492" s="1893"/>
      <c r="V492" s="2079">
        <f t="shared" si="193"/>
        <v>119.062</v>
      </c>
      <c r="W492" s="78">
        <f t="shared" si="194"/>
        <v>0</v>
      </c>
      <c r="X492" s="1878" t="str">
        <f t="shared" si="192"/>
        <v xml:space="preserve">7.- R Aeolus 0280814-OT_254544  Reencauche F101-00018425 </v>
      </c>
      <c r="Z492" s="19" t="str">
        <f t="shared" ref="Z492:Z511" si="198">CONCATENATE(I495,J495)</f>
        <v>ReencaucheReencauchadora RENOVA</v>
      </c>
    </row>
    <row r="493" spans="2:26" ht="15.2" customHeight="1">
      <c r="B493" s="37"/>
      <c r="E493" s="3046">
        <v>8</v>
      </c>
      <c r="F493" s="2297" t="s">
        <v>723</v>
      </c>
      <c r="G493" s="68" t="s">
        <v>737</v>
      </c>
      <c r="H493" s="69" t="s">
        <v>3475</v>
      </c>
      <c r="I493" s="68" t="s">
        <v>726</v>
      </c>
      <c r="J493" s="70" t="s">
        <v>760</v>
      </c>
      <c r="K493" s="2305" t="s">
        <v>3476</v>
      </c>
      <c r="L493" s="72">
        <v>43461</v>
      </c>
      <c r="M493" s="2306" t="s">
        <v>729</v>
      </c>
      <c r="N493" s="74">
        <v>43475</v>
      </c>
      <c r="O493" s="75">
        <f t="shared" si="197"/>
        <v>43475</v>
      </c>
      <c r="P493" s="2765" t="s">
        <v>3496</v>
      </c>
      <c r="Q493" s="2954">
        <v>100.9</v>
      </c>
      <c r="R493" s="76"/>
      <c r="S493" s="1945" t="s">
        <v>731</v>
      </c>
      <c r="T493" s="77"/>
      <c r="U493" s="1893"/>
      <c r="V493" s="2079">
        <f t="shared" si="193"/>
        <v>119.062</v>
      </c>
      <c r="W493" s="78">
        <f t="shared" si="194"/>
        <v>0</v>
      </c>
      <c r="X493" s="1878" t="str">
        <f t="shared" si="192"/>
        <v xml:space="preserve">8.- R Vikrant 0861216-OT_254544  Reencauche F101-00018425 </v>
      </c>
      <c r="Z493" s="19" t="str">
        <f>CONCATENATE(I496,J496)</f>
        <v>ReencaucheReencauchadora RENOVA</v>
      </c>
    </row>
    <row r="494" spans="2:26" ht="15.2" customHeight="1">
      <c r="B494" s="37"/>
      <c r="E494" s="3046">
        <v>9</v>
      </c>
      <c r="F494" s="2297" t="s">
        <v>723</v>
      </c>
      <c r="G494" s="68" t="s">
        <v>724</v>
      </c>
      <c r="H494" s="69" t="s">
        <v>3468</v>
      </c>
      <c r="I494" s="68" t="s">
        <v>726</v>
      </c>
      <c r="J494" s="70" t="s">
        <v>760</v>
      </c>
      <c r="K494" s="2305" t="s">
        <v>3469</v>
      </c>
      <c r="L494" s="72">
        <v>43461</v>
      </c>
      <c r="M494" s="2306" t="s">
        <v>729</v>
      </c>
      <c r="N494" s="74">
        <v>43475</v>
      </c>
      <c r="O494" s="75">
        <f t="shared" si="197"/>
        <v>43475</v>
      </c>
      <c r="P494" s="2765" t="s">
        <v>3496</v>
      </c>
      <c r="Q494" s="2954">
        <v>100.9</v>
      </c>
      <c r="R494" s="76"/>
      <c r="S494" s="1945" t="s">
        <v>731</v>
      </c>
      <c r="T494" s="77"/>
      <c r="U494" s="1893"/>
      <c r="V494" s="2079">
        <f t="shared" si="193"/>
        <v>119.062</v>
      </c>
      <c r="W494" s="78">
        <f t="shared" si="194"/>
        <v>0</v>
      </c>
      <c r="X494" s="1878" t="str">
        <f t="shared" si="192"/>
        <v xml:space="preserve">9.- R Aeolus 0440616-OT_254545  Reencauche F101-00018425 </v>
      </c>
      <c r="Z494" s="19" t="str">
        <f t="shared" si="198"/>
        <v>ReencaucheReencauchadora RENOVA</v>
      </c>
    </row>
    <row r="495" spans="2:26" ht="15" customHeight="1">
      <c r="B495" s="37"/>
      <c r="E495" s="3045">
        <v>10</v>
      </c>
      <c r="F495" s="2297" t="s">
        <v>723</v>
      </c>
      <c r="G495" s="68" t="s">
        <v>737</v>
      </c>
      <c r="H495" s="69" t="s">
        <v>2930</v>
      </c>
      <c r="I495" s="68" t="s">
        <v>726</v>
      </c>
      <c r="J495" s="70" t="s">
        <v>760</v>
      </c>
      <c r="K495" s="71" t="s">
        <v>3469</v>
      </c>
      <c r="L495" s="72">
        <v>43461</v>
      </c>
      <c r="M495" s="2306" t="s">
        <v>729</v>
      </c>
      <c r="N495" s="74">
        <v>43475</v>
      </c>
      <c r="O495" s="75">
        <f t="shared" si="197"/>
        <v>43475</v>
      </c>
      <c r="P495" s="2765" t="s">
        <v>3496</v>
      </c>
      <c r="Q495" s="2954">
        <v>100.9</v>
      </c>
      <c r="R495" s="76"/>
      <c r="S495" s="1945" t="s">
        <v>731</v>
      </c>
      <c r="T495" s="77"/>
      <c r="U495" s="1893"/>
      <c r="V495" s="2079">
        <f t="shared" si="193"/>
        <v>119.062</v>
      </c>
      <c r="W495" s="78">
        <f t="shared" si="194"/>
        <v>0</v>
      </c>
      <c r="X495" s="1878" t="str">
        <f t="shared" si="192"/>
        <v xml:space="preserve">10.- R Vikrant 0941216-OT_254545  Reencauche F101-00018425 </v>
      </c>
      <c r="Z495" s="19" t="str">
        <f>CONCATENATE(I498,J498)</f>
        <v>ReencaucheReencauchadora RENOVA</v>
      </c>
    </row>
    <row r="496" spans="2:26" ht="15.2" customHeight="1">
      <c r="B496" s="37"/>
      <c r="E496" s="3022">
        <v>11</v>
      </c>
      <c r="F496" s="2297" t="s">
        <v>723</v>
      </c>
      <c r="G496" s="68" t="s">
        <v>724</v>
      </c>
      <c r="H496" s="69" t="s">
        <v>3242</v>
      </c>
      <c r="I496" s="68" t="s">
        <v>726</v>
      </c>
      <c r="J496" s="70" t="s">
        <v>760</v>
      </c>
      <c r="K496" s="71" t="s">
        <v>3476</v>
      </c>
      <c r="L496" s="72">
        <v>43461</v>
      </c>
      <c r="M496" s="2306" t="s">
        <v>729</v>
      </c>
      <c r="N496" s="74">
        <v>43475</v>
      </c>
      <c r="O496" s="75">
        <f>+N496</f>
        <v>43475</v>
      </c>
      <c r="P496" s="2765" t="s">
        <v>3497</v>
      </c>
      <c r="Q496" s="2954"/>
      <c r="R496" s="76"/>
      <c r="S496" s="1945" t="s">
        <v>731</v>
      </c>
      <c r="T496" s="77" t="s">
        <v>3498</v>
      </c>
      <c r="U496" s="1893"/>
      <c r="V496" s="2079">
        <f t="shared" si="193"/>
        <v>0</v>
      </c>
      <c r="W496" s="78">
        <f t="shared" si="194"/>
        <v>0</v>
      </c>
      <c r="X496" s="1878" t="str">
        <f t="shared" si="192"/>
        <v>11.- R Aeolus 0290215-OT_254544  Reencauche G030-0077906 Falla estructural</v>
      </c>
      <c r="Z496" s="19" t="str">
        <f t="shared" si="198"/>
        <v>Vulcanizado (curación)Reenc. MASTERCAUCHO</v>
      </c>
    </row>
    <row r="497" spans="2:26" ht="15.2" customHeight="1">
      <c r="B497" s="37"/>
      <c r="E497" s="3048">
        <v>12</v>
      </c>
      <c r="F497" s="2297" t="s">
        <v>723</v>
      </c>
      <c r="G497" s="68" t="s">
        <v>724</v>
      </c>
      <c r="H497" s="69" t="s">
        <v>827</v>
      </c>
      <c r="I497" s="68" t="s">
        <v>726</v>
      </c>
      <c r="J497" s="70" t="s">
        <v>760</v>
      </c>
      <c r="K497" s="71" t="s">
        <v>3469</v>
      </c>
      <c r="L497" s="72">
        <v>43461</v>
      </c>
      <c r="M497" s="2306" t="s">
        <v>729</v>
      </c>
      <c r="N497" s="74">
        <v>43475</v>
      </c>
      <c r="O497" s="75">
        <f t="shared" ref="O497:O514" si="199">+N497</f>
        <v>43475</v>
      </c>
      <c r="P497" s="2765" t="s">
        <v>3497</v>
      </c>
      <c r="Q497" s="2954"/>
      <c r="R497" s="76"/>
      <c r="S497" s="1945" t="s">
        <v>731</v>
      </c>
      <c r="T497" s="77" t="s">
        <v>3498</v>
      </c>
      <c r="U497" s="1893"/>
      <c r="V497" s="2079">
        <f t="shared" si="193"/>
        <v>0</v>
      </c>
      <c r="W497" s="78">
        <f t="shared" si="194"/>
        <v>0</v>
      </c>
      <c r="X497" s="1878" t="str">
        <f t="shared" si="192"/>
        <v>12.- R Aeolus 170812-OT_254545  Reencauche G030-0077906 Falla estructural</v>
      </c>
      <c r="Z497" s="19" t="str">
        <f t="shared" si="198"/>
        <v>Vulcanizado (curación)Reenc. MASTERCAUCHO</v>
      </c>
    </row>
    <row r="498" spans="2:26" ht="15.2" customHeight="1">
      <c r="B498" s="37"/>
      <c r="E498" s="79">
        <v>13</v>
      </c>
      <c r="F498" s="2575" t="s">
        <v>723</v>
      </c>
      <c r="G498" s="2576" t="s">
        <v>3470</v>
      </c>
      <c r="H498" s="2577" t="s">
        <v>1567</v>
      </c>
      <c r="I498" s="2576" t="s">
        <v>726</v>
      </c>
      <c r="J498" s="2578" t="s">
        <v>760</v>
      </c>
      <c r="K498" s="2579" t="s">
        <v>3476</v>
      </c>
      <c r="L498" s="2580">
        <v>43461</v>
      </c>
      <c r="M498" s="2581" t="s">
        <v>729</v>
      </c>
      <c r="N498" s="2582">
        <v>43482</v>
      </c>
      <c r="O498" s="2583">
        <f>+N498</f>
        <v>43482</v>
      </c>
      <c r="P498" s="2941" t="s">
        <v>3502</v>
      </c>
      <c r="Q498" s="2957">
        <v>100.9</v>
      </c>
      <c r="R498" s="2584"/>
      <c r="S498" s="2585" t="s">
        <v>731</v>
      </c>
      <c r="T498" s="77" t="s">
        <v>2570</v>
      </c>
      <c r="U498" s="1893"/>
      <c r="V498" s="2079">
        <f t="shared" si="193"/>
        <v>119.062</v>
      </c>
      <c r="W498" s="78">
        <f t="shared" si="194"/>
        <v>0</v>
      </c>
      <c r="X498" s="1878" t="str">
        <f t="shared" si="192"/>
        <v>13.- R JINYU 8120416-OT_254544  Reencauche F102-00013925 IDY3-220</v>
      </c>
      <c r="Z498" s="19" t="str">
        <f t="shared" si="198"/>
        <v>Vulcanizado (curación)Reenc. MASTERCAUCHO</v>
      </c>
    </row>
    <row r="499" spans="2:26" ht="15.2" customHeight="1">
      <c r="B499" s="37"/>
      <c r="E499" s="3045">
        <v>1</v>
      </c>
      <c r="F499" s="2297" t="s">
        <v>723</v>
      </c>
      <c r="G499" s="68" t="s">
        <v>151</v>
      </c>
      <c r="H499" s="69" t="s">
        <v>2756</v>
      </c>
      <c r="I499" s="68" t="s">
        <v>811</v>
      </c>
      <c r="J499" s="70" t="s">
        <v>727</v>
      </c>
      <c r="K499" s="2305" t="s">
        <v>3466</v>
      </c>
      <c r="L499" s="72">
        <v>43460</v>
      </c>
      <c r="M499" s="2306" t="s">
        <v>729</v>
      </c>
      <c r="N499" s="74">
        <v>43463</v>
      </c>
      <c r="O499" s="75">
        <f t="shared" si="199"/>
        <v>43463</v>
      </c>
      <c r="P499" s="2765" t="s">
        <v>3467</v>
      </c>
      <c r="Q499" s="2954"/>
      <c r="R499" s="76">
        <v>84.745699999999999</v>
      </c>
      <c r="S499" s="1945" t="s">
        <v>731</v>
      </c>
      <c r="T499" s="77" t="s">
        <v>3229</v>
      </c>
      <c r="U499" s="1893"/>
      <c r="V499" s="2079">
        <f t="shared" si="193"/>
        <v>0</v>
      </c>
      <c r="W499" s="78">
        <f t="shared" si="194"/>
        <v>99.999925999999988</v>
      </c>
      <c r="X499" s="1878" t="str">
        <f t="shared" si="192"/>
        <v>1.- R WindPower 0851215-OT_009667  Vulcanizado (curación) F001-00000969 Corte lateral</v>
      </c>
      <c r="Z499" s="19" t="str">
        <f t="shared" ref="Z499:Z500" si="200">CONCATENATE(I502,J502)</f>
        <v>Casc 2a trnsplReenc. MASTERCAUCHO</v>
      </c>
    </row>
    <row r="500" spans="2:26" ht="15.2" customHeight="1">
      <c r="B500" s="37"/>
      <c r="E500" s="3045">
        <v>2</v>
      </c>
      <c r="F500" s="2297" t="s">
        <v>723</v>
      </c>
      <c r="G500" s="68" t="s">
        <v>737</v>
      </c>
      <c r="H500" s="69" t="s">
        <v>2869</v>
      </c>
      <c r="I500" s="68" t="s">
        <v>811</v>
      </c>
      <c r="J500" s="70" t="s">
        <v>727</v>
      </c>
      <c r="K500" s="2305" t="s">
        <v>3466</v>
      </c>
      <c r="L500" s="72">
        <v>43460</v>
      </c>
      <c r="M500" s="2306" t="s">
        <v>729</v>
      </c>
      <c r="N500" s="74">
        <v>43463</v>
      </c>
      <c r="O500" s="75">
        <f t="shared" ref="O500:O503" si="201">+N500</f>
        <v>43463</v>
      </c>
      <c r="P500" s="2765" t="s">
        <v>3467</v>
      </c>
      <c r="Q500" s="2954"/>
      <c r="R500" s="76">
        <v>84.745699999999999</v>
      </c>
      <c r="S500" s="1945" t="s">
        <v>731</v>
      </c>
      <c r="T500" s="77" t="s">
        <v>3229</v>
      </c>
      <c r="U500" s="1893"/>
      <c r="V500" s="2079">
        <f t="shared" si="193"/>
        <v>0</v>
      </c>
      <c r="W500" s="78">
        <f t="shared" si="194"/>
        <v>99.999925999999988</v>
      </c>
      <c r="X500" s="1878" t="str">
        <f t="shared" si="192"/>
        <v>2.- R Vikrant 0961216-OT_009667  Vulcanizado (curación) F001-00000969 Corte lateral</v>
      </c>
      <c r="Z500" s="19" t="str">
        <f t="shared" si="200"/>
        <v>Casc 2a trnsplReenc. MASTERCAUCHO</v>
      </c>
    </row>
    <row r="501" spans="2:26" ht="15.2" customHeight="1">
      <c r="B501" s="37"/>
      <c r="E501" s="3045">
        <v>3</v>
      </c>
      <c r="F501" s="2297" t="s">
        <v>723</v>
      </c>
      <c r="G501" s="68" t="s">
        <v>724</v>
      </c>
      <c r="H501" s="69" t="s">
        <v>3395</v>
      </c>
      <c r="I501" s="68" t="s">
        <v>811</v>
      </c>
      <c r="J501" s="70" t="s">
        <v>727</v>
      </c>
      <c r="K501" s="2305" t="s">
        <v>3466</v>
      </c>
      <c r="L501" s="72">
        <v>43460</v>
      </c>
      <c r="M501" s="2306" t="s">
        <v>729</v>
      </c>
      <c r="N501" s="74">
        <v>43463</v>
      </c>
      <c r="O501" s="75">
        <f t="shared" si="201"/>
        <v>43463</v>
      </c>
      <c r="P501" s="2765" t="s">
        <v>3467</v>
      </c>
      <c r="Q501" s="2954"/>
      <c r="R501" s="76">
        <v>84.745699999999999</v>
      </c>
      <c r="S501" s="1945" t="s">
        <v>731</v>
      </c>
      <c r="T501" s="77" t="s">
        <v>3229</v>
      </c>
      <c r="U501" s="1893"/>
      <c r="V501" s="2079">
        <f t="shared" si="193"/>
        <v>0</v>
      </c>
      <c r="W501" s="78">
        <f t="shared" si="194"/>
        <v>99.999925999999988</v>
      </c>
      <c r="X501" s="1878" t="str">
        <f t="shared" si="192"/>
        <v>3.- R Aeolus 027912-OT_009667  Vulcanizado (curación) F001-00000969 Corte lateral</v>
      </c>
      <c r="Z501" s="19" t="str">
        <f t="shared" si="198"/>
        <v>Sacar_BandaReenc. MASTERCAUCHO</v>
      </c>
    </row>
    <row r="502" spans="2:26" ht="15.2" customHeight="1">
      <c r="B502" s="37"/>
      <c r="E502" s="3048">
        <v>4</v>
      </c>
      <c r="F502" s="2297" t="s">
        <v>723</v>
      </c>
      <c r="G502" s="68" t="s">
        <v>3479</v>
      </c>
      <c r="H502" s="69" t="s">
        <v>3492</v>
      </c>
      <c r="I502" s="68" t="s">
        <v>3224</v>
      </c>
      <c r="J502" s="70" t="s">
        <v>727</v>
      </c>
      <c r="K502" s="2305" t="s">
        <v>857</v>
      </c>
      <c r="L502" s="72"/>
      <c r="M502" s="2306" t="s">
        <v>729</v>
      </c>
      <c r="N502" s="74">
        <v>43475</v>
      </c>
      <c r="O502" s="75">
        <f t="shared" si="201"/>
        <v>43475</v>
      </c>
      <c r="P502" s="2765" t="s">
        <v>3490</v>
      </c>
      <c r="Q502" s="2954"/>
      <c r="R502" s="76">
        <v>211.86439999999999</v>
      </c>
      <c r="S502" s="1945" t="s">
        <v>731</v>
      </c>
      <c r="T502" s="77" t="s">
        <v>3494</v>
      </c>
      <c r="U502" s="1893"/>
      <c r="V502" s="2079">
        <f t="shared" si="193"/>
        <v>0</v>
      </c>
      <c r="W502" s="78">
        <f t="shared" si="194"/>
        <v>249.99999199999996</v>
      </c>
      <c r="X502" s="1878" t="str">
        <f t="shared" si="192"/>
        <v>4.- R ZETA 8020119-OT_S/D  Casc 2a trnspl F001-00001059 8020119 ZETA DR928 1114 China</v>
      </c>
      <c r="Z502" s="19" t="str">
        <f t="shared" si="198"/>
        <v>Sacar_BandaReenc. MASTERCAUCHO</v>
      </c>
    </row>
    <row r="503" spans="2:26" ht="15.2" customHeight="1">
      <c r="B503" s="37"/>
      <c r="E503" s="3048">
        <v>5</v>
      </c>
      <c r="F503" s="2297" t="s">
        <v>723</v>
      </c>
      <c r="G503" s="68" t="s">
        <v>2877</v>
      </c>
      <c r="H503" s="69" t="s">
        <v>3491</v>
      </c>
      <c r="I503" s="68" t="s">
        <v>3224</v>
      </c>
      <c r="J503" s="70" t="s">
        <v>727</v>
      </c>
      <c r="K503" s="2305" t="s">
        <v>857</v>
      </c>
      <c r="L503" s="72"/>
      <c r="M503" s="73" t="s">
        <v>729</v>
      </c>
      <c r="N503" s="74">
        <v>43475</v>
      </c>
      <c r="O503" s="75">
        <f t="shared" si="201"/>
        <v>43475</v>
      </c>
      <c r="P503" s="2765" t="s">
        <v>3490</v>
      </c>
      <c r="Q503" s="2954"/>
      <c r="R503" s="76">
        <v>211.86439999999999</v>
      </c>
      <c r="S503" s="1945" t="s">
        <v>731</v>
      </c>
      <c r="T503" s="77" t="s">
        <v>3493</v>
      </c>
      <c r="U503" s="1893"/>
      <c r="V503" s="2079">
        <f t="shared" si="193"/>
        <v>0</v>
      </c>
      <c r="W503" s="78">
        <f t="shared" si="194"/>
        <v>249.99999199999996</v>
      </c>
      <c r="X503" s="1878" t="str">
        <f t="shared" si="192"/>
        <v>5.- R Pirelli 8010119-OT_S/D  Casc 2a trnspl F001-00001059 8010119 Pirelli FR85 3414 Brasil</v>
      </c>
      <c r="Z503" s="19" t="str">
        <f t="shared" si="198"/>
        <v>Transpl BandaReenc. MASTERCAUCHO</v>
      </c>
    </row>
    <row r="504" spans="2:26" ht="15.2" customHeight="1">
      <c r="B504" s="37"/>
      <c r="E504" s="3045">
        <v>6</v>
      </c>
      <c r="F504" s="2297" t="s">
        <v>723</v>
      </c>
      <c r="G504" s="68" t="s">
        <v>724</v>
      </c>
      <c r="H504" s="69" t="s">
        <v>2746</v>
      </c>
      <c r="I504" s="68" t="s">
        <v>744</v>
      </c>
      <c r="J504" s="70" t="s">
        <v>727</v>
      </c>
      <c r="K504" s="71" t="s">
        <v>3466</v>
      </c>
      <c r="L504" s="72">
        <v>43460</v>
      </c>
      <c r="M504" s="73" t="s">
        <v>729</v>
      </c>
      <c r="N504" s="74">
        <v>43475</v>
      </c>
      <c r="O504" s="75">
        <f t="shared" si="199"/>
        <v>43475</v>
      </c>
      <c r="P504" s="2765" t="s">
        <v>3495</v>
      </c>
      <c r="Q504" s="2954"/>
      <c r="R504" s="76"/>
      <c r="S504" s="1945" t="s">
        <v>731</v>
      </c>
      <c r="T504" s="77" t="s">
        <v>2753</v>
      </c>
      <c r="U504" s="1893"/>
      <c r="V504" s="2079">
        <f t="shared" si="193"/>
        <v>0</v>
      </c>
      <c r="W504" s="78">
        <f t="shared" si="194"/>
        <v>0</v>
      </c>
      <c r="X504" s="1878" t="str">
        <f t="shared" si="192"/>
        <v>6.- R Aeolus 8180517-OT_009667  Sacar_Banda EG01-351 Casco pelado</v>
      </c>
      <c r="Z504" s="19" t="str">
        <f t="shared" si="198"/>
        <v>Transpl BandaReenc. MASTERCAUCHO</v>
      </c>
    </row>
    <row r="505" spans="2:26" ht="15.2" customHeight="1">
      <c r="B505" s="37"/>
      <c r="E505" s="79">
        <v>7</v>
      </c>
      <c r="F505" s="2294" t="s">
        <v>723</v>
      </c>
      <c r="G505" s="81" t="s">
        <v>724</v>
      </c>
      <c r="H505" s="82" t="s">
        <v>3299</v>
      </c>
      <c r="I505" s="81" t="s">
        <v>744</v>
      </c>
      <c r="J505" s="83" t="s">
        <v>727</v>
      </c>
      <c r="K505" s="84" t="s">
        <v>3466</v>
      </c>
      <c r="L505" s="85">
        <v>43460</v>
      </c>
      <c r="M505" s="86" t="s">
        <v>729</v>
      </c>
      <c r="N505" s="87">
        <v>43475</v>
      </c>
      <c r="O505" s="88">
        <f t="shared" si="199"/>
        <v>43475</v>
      </c>
      <c r="P505" s="2766" t="s">
        <v>3495</v>
      </c>
      <c r="Q505" s="2955"/>
      <c r="R505" s="89"/>
      <c r="S505" s="1946" t="s">
        <v>731</v>
      </c>
      <c r="T505" s="77" t="s">
        <v>2753</v>
      </c>
      <c r="U505" s="1893"/>
      <c r="V505" s="2079">
        <f t="shared" si="193"/>
        <v>0</v>
      </c>
      <c r="W505" s="78">
        <f t="shared" si="194"/>
        <v>0</v>
      </c>
      <c r="X505" s="1878" t="str">
        <f t="shared" si="192"/>
        <v>7.- R Aeolus 0220215-OT_009667  Sacar_Banda EG01-351 Casco pelado</v>
      </c>
      <c r="Z505" s="19" t="str">
        <f t="shared" si="198"/>
        <v>Sacar_BandaReenc. MASTERCAUCHO</v>
      </c>
    </row>
    <row r="506" spans="2:26" ht="15.2" customHeight="1">
      <c r="B506" s="37"/>
      <c r="E506" s="3045">
        <v>1</v>
      </c>
      <c r="F506" s="2297" t="s">
        <v>723</v>
      </c>
      <c r="G506" s="68" t="s">
        <v>724</v>
      </c>
      <c r="H506" s="69" t="s">
        <v>3462</v>
      </c>
      <c r="I506" s="68" t="s">
        <v>740</v>
      </c>
      <c r="J506" s="70" t="s">
        <v>727</v>
      </c>
      <c r="K506" s="2305" t="s">
        <v>3463</v>
      </c>
      <c r="L506" s="72">
        <v>43452</v>
      </c>
      <c r="M506" s="2306" t="s">
        <v>729</v>
      </c>
      <c r="N506" s="74">
        <v>43460</v>
      </c>
      <c r="O506" s="75">
        <f t="shared" si="199"/>
        <v>43460</v>
      </c>
      <c r="P506" s="2765" t="s">
        <v>3464</v>
      </c>
      <c r="Q506" s="2954"/>
      <c r="R506" s="76">
        <v>127.1186</v>
      </c>
      <c r="S506" s="1945" t="s">
        <v>731</v>
      </c>
      <c r="T506" s="77"/>
      <c r="U506" s="1893"/>
      <c r="V506" s="2079">
        <f t="shared" si="193"/>
        <v>0</v>
      </c>
      <c r="W506" s="78">
        <f t="shared" si="194"/>
        <v>149.99994799999999</v>
      </c>
      <c r="X506" s="1878" t="str">
        <f t="shared" si="192"/>
        <v xml:space="preserve">1.- R Aeolus 0310814-OT_010894  Transpl Banda F001-00000905 </v>
      </c>
      <c r="Z506" s="19" t="str">
        <f t="shared" si="198"/>
        <v>Sacar_BandaReenc. MASTERCAUCHO</v>
      </c>
    </row>
    <row r="507" spans="2:26" ht="15.2" customHeight="1">
      <c r="B507" s="37"/>
      <c r="E507" s="3045">
        <v>2</v>
      </c>
      <c r="F507" s="2297" t="s">
        <v>723</v>
      </c>
      <c r="G507" s="68" t="s">
        <v>151</v>
      </c>
      <c r="H507" s="69" t="s">
        <v>3047</v>
      </c>
      <c r="I507" s="68" t="s">
        <v>740</v>
      </c>
      <c r="J507" s="70" t="s">
        <v>727</v>
      </c>
      <c r="K507" s="71" t="s">
        <v>3463</v>
      </c>
      <c r="L507" s="72">
        <v>43452</v>
      </c>
      <c r="M507" s="73" t="s">
        <v>729</v>
      </c>
      <c r="N507" s="74">
        <v>43460</v>
      </c>
      <c r="O507" s="75">
        <f t="shared" si="199"/>
        <v>43460</v>
      </c>
      <c r="P507" s="2765" t="s">
        <v>3464</v>
      </c>
      <c r="Q507" s="2954"/>
      <c r="R507" s="76">
        <v>127.1186</v>
      </c>
      <c r="S507" s="1945" t="s">
        <v>731</v>
      </c>
      <c r="T507" s="77"/>
      <c r="U507" s="1893"/>
      <c r="V507" s="2079">
        <f t="shared" si="193"/>
        <v>0</v>
      </c>
      <c r="W507" s="78">
        <f t="shared" si="194"/>
        <v>149.99994799999999</v>
      </c>
      <c r="X507" s="1878" t="str">
        <f t="shared" si="192"/>
        <v xml:space="preserve">2.- R WindPower 0530915-OT_010894  Transpl Banda F001-00000905 </v>
      </c>
      <c r="Z507" s="19" t="str">
        <f t="shared" si="198"/>
        <v>Sacar_BandaReenc. MASTERCAUCHO</v>
      </c>
    </row>
    <row r="508" spans="2:26" ht="15.2" customHeight="1">
      <c r="B508" s="37"/>
      <c r="E508" s="3045">
        <v>3</v>
      </c>
      <c r="F508" s="2297" t="s">
        <v>723</v>
      </c>
      <c r="G508" s="68" t="s">
        <v>151</v>
      </c>
      <c r="H508" s="69" t="s">
        <v>2394</v>
      </c>
      <c r="I508" s="68" t="s">
        <v>744</v>
      </c>
      <c r="J508" s="70" t="s">
        <v>727</v>
      </c>
      <c r="K508" s="71" t="s">
        <v>3463</v>
      </c>
      <c r="L508" s="72">
        <v>43452</v>
      </c>
      <c r="M508" s="73" t="s">
        <v>729</v>
      </c>
      <c r="N508" s="74">
        <v>43460</v>
      </c>
      <c r="O508" s="75">
        <f t="shared" si="199"/>
        <v>43460</v>
      </c>
      <c r="P508" s="2765" t="s">
        <v>3465</v>
      </c>
      <c r="Q508" s="2954"/>
      <c r="R508" s="76"/>
      <c r="S508" s="1945" t="s">
        <v>731</v>
      </c>
      <c r="T508" s="77" t="s">
        <v>2753</v>
      </c>
      <c r="U508" s="1893"/>
      <c r="V508" s="2079">
        <f t="shared" si="193"/>
        <v>0</v>
      </c>
      <c r="W508" s="78">
        <f t="shared" si="194"/>
        <v>0</v>
      </c>
      <c r="X508" s="1878" t="str">
        <f t="shared" si="192"/>
        <v>3.- R WindPower 0811215-OT_010894  Sacar_Banda EG01-296 Casco pelado</v>
      </c>
      <c r="Z508" s="19" t="str">
        <f t="shared" si="198"/>
        <v>Vulcanizado (curación)Reenc. MASTERCAUCHO</v>
      </c>
    </row>
    <row r="509" spans="2:26" ht="15.2" customHeight="1">
      <c r="B509" s="37"/>
      <c r="E509" s="3045">
        <v>4</v>
      </c>
      <c r="F509" s="2297" t="s">
        <v>723</v>
      </c>
      <c r="G509" s="68" t="s">
        <v>1108</v>
      </c>
      <c r="H509" s="69" t="s">
        <v>3045</v>
      </c>
      <c r="I509" s="68" t="s">
        <v>744</v>
      </c>
      <c r="J509" s="70" t="s">
        <v>727</v>
      </c>
      <c r="K509" s="71" t="s">
        <v>3463</v>
      </c>
      <c r="L509" s="72">
        <v>43452</v>
      </c>
      <c r="M509" s="73" t="s">
        <v>729</v>
      </c>
      <c r="N509" s="74">
        <v>43460</v>
      </c>
      <c r="O509" s="75">
        <f t="shared" si="199"/>
        <v>43460</v>
      </c>
      <c r="P509" s="2765" t="s">
        <v>3465</v>
      </c>
      <c r="Q509" s="2954"/>
      <c r="R509" s="76"/>
      <c r="S509" s="1945" t="s">
        <v>731</v>
      </c>
      <c r="T509" s="77" t="s">
        <v>2753</v>
      </c>
      <c r="U509" s="1893"/>
      <c r="V509" s="2079">
        <f t="shared" si="193"/>
        <v>0</v>
      </c>
      <c r="W509" s="78">
        <f t="shared" si="194"/>
        <v>0</v>
      </c>
      <c r="X509" s="1878" t="str">
        <f t="shared" si="192"/>
        <v>4.- R Hankook 8160418-OT_010894  Sacar_Banda EG01-296 Casco pelado</v>
      </c>
      <c r="Z509" s="19" t="str">
        <f t="shared" si="198"/>
        <v>Vulcanizado (curación)Reenc. MASTERCAUCHO</v>
      </c>
    </row>
    <row r="510" spans="2:26" ht="15.2" customHeight="1">
      <c r="B510" s="37"/>
      <c r="E510" s="79">
        <v>5</v>
      </c>
      <c r="F510" s="2294" t="s">
        <v>723</v>
      </c>
      <c r="G510" s="81" t="s">
        <v>724</v>
      </c>
      <c r="H510" s="82" t="s">
        <v>1438</v>
      </c>
      <c r="I510" s="81" t="s">
        <v>744</v>
      </c>
      <c r="J510" s="83" t="s">
        <v>727</v>
      </c>
      <c r="K510" s="84" t="s">
        <v>3463</v>
      </c>
      <c r="L510" s="85">
        <v>43452</v>
      </c>
      <c r="M510" s="86" t="s">
        <v>729</v>
      </c>
      <c r="N510" s="87">
        <v>43460</v>
      </c>
      <c r="O510" s="88">
        <f t="shared" si="199"/>
        <v>43460</v>
      </c>
      <c r="P510" s="2766" t="s">
        <v>3465</v>
      </c>
      <c r="Q510" s="2955"/>
      <c r="R510" s="89"/>
      <c r="S510" s="1946" t="s">
        <v>731</v>
      </c>
      <c r="T510" s="77" t="s">
        <v>2753</v>
      </c>
      <c r="U510" s="1893"/>
      <c r="V510" s="2079">
        <f t="shared" si="193"/>
        <v>0</v>
      </c>
      <c r="W510" s="78">
        <f t="shared" si="194"/>
        <v>0</v>
      </c>
      <c r="X510" s="1878" t="str">
        <f t="shared" si="192"/>
        <v>5.- R Aeolus 0060114-OT_010894  Sacar_Banda EG01-296 Casco pelado</v>
      </c>
      <c r="Z510" s="19" t="str">
        <f t="shared" si="198"/>
        <v>Vulcanizado (curación)Reenc. MASTERCAUCHO</v>
      </c>
    </row>
    <row r="511" spans="2:26" ht="15.2" customHeight="1">
      <c r="B511" s="37"/>
      <c r="E511" s="3045">
        <v>1</v>
      </c>
      <c r="F511" s="2297" t="s">
        <v>723</v>
      </c>
      <c r="G511" s="68" t="s">
        <v>3029</v>
      </c>
      <c r="H511" s="69" t="s">
        <v>3139</v>
      </c>
      <c r="I511" s="68" t="s">
        <v>811</v>
      </c>
      <c r="J511" s="70" t="s">
        <v>727</v>
      </c>
      <c r="K511" s="71" t="s">
        <v>3455</v>
      </c>
      <c r="L511" s="72">
        <v>43444</v>
      </c>
      <c r="M511" s="73" t="s">
        <v>729</v>
      </c>
      <c r="N511" s="74">
        <v>43447</v>
      </c>
      <c r="O511" s="75">
        <f t="shared" si="199"/>
        <v>43447</v>
      </c>
      <c r="P511" s="2765" t="s">
        <v>3461</v>
      </c>
      <c r="Q511" s="2954"/>
      <c r="R511" s="76">
        <v>84.745699999999999</v>
      </c>
      <c r="S511" s="1945" t="s">
        <v>731</v>
      </c>
      <c r="T511" s="77"/>
      <c r="U511" s="1893"/>
      <c r="V511" s="2079">
        <f t="shared" si="193"/>
        <v>0</v>
      </c>
      <c r="W511" s="78">
        <f t="shared" si="194"/>
        <v>99.999925999999988</v>
      </c>
      <c r="X511" s="1878" t="str">
        <f t="shared" si="192"/>
        <v xml:space="preserve">1.- R Triangle 8230518-OT_009661  Vulcanizado (curación) F001-00000829 </v>
      </c>
      <c r="Z511" s="19" t="str">
        <f t="shared" si="198"/>
        <v>RECLAMOReenc. MASTERCAUCHO</v>
      </c>
    </row>
    <row r="512" spans="2:26" ht="15.2" customHeight="1">
      <c r="B512" s="37"/>
      <c r="E512" s="3045">
        <v>2</v>
      </c>
      <c r="F512" s="2297" t="s">
        <v>723</v>
      </c>
      <c r="G512" s="68" t="s">
        <v>3458</v>
      </c>
      <c r="H512" s="69" t="s">
        <v>3459</v>
      </c>
      <c r="I512" s="68" t="s">
        <v>811</v>
      </c>
      <c r="J512" s="70" t="s">
        <v>727</v>
      </c>
      <c r="K512" s="71" t="s">
        <v>3455</v>
      </c>
      <c r="L512" s="72">
        <v>43444</v>
      </c>
      <c r="M512" s="73" t="s">
        <v>729</v>
      </c>
      <c r="N512" s="74">
        <v>43447</v>
      </c>
      <c r="O512" s="75">
        <f t="shared" si="199"/>
        <v>43447</v>
      </c>
      <c r="P512" s="2765" t="s">
        <v>3461</v>
      </c>
      <c r="Q512" s="2954"/>
      <c r="R512" s="76">
        <v>84.745699999999999</v>
      </c>
      <c r="S512" s="1945" t="s">
        <v>731</v>
      </c>
      <c r="T512" s="77"/>
      <c r="U512" s="1893"/>
      <c r="V512" s="2079">
        <f t="shared" si="193"/>
        <v>0</v>
      </c>
      <c r="W512" s="78">
        <f t="shared" si="194"/>
        <v>99.999925999999988</v>
      </c>
      <c r="X512" s="1878" t="str">
        <f t="shared" si="192"/>
        <v xml:space="preserve">2.- R Long March 0560718-OT_009661  Vulcanizado (curación) F001-00000829 </v>
      </c>
      <c r="Z512" s="19" t="str">
        <f t="shared" ref="Z512:Z519" si="202">CONCATENATE(I515,J515)</f>
        <v>ReencaucheReenc. MASTERCAUCHO</v>
      </c>
    </row>
    <row r="513" spans="2:26" ht="15.2" customHeight="1">
      <c r="B513" s="37"/>
      <c r="E513" s="3045">
        <v>3</v>
      </c>
      <c r="F513" s="2297" t="s">
        <v>723</v>
      </c>
      <c r="G513" s="68" t="s">
        <v>724</v>
      </c>
      <c r="H513" s="69" t="s">
        <v>3460</v>
      </c>
      <c r="I513" s="68" t="s">
        <v>811</v>
      </c>
      <c r="J513" s="70" t="s">
        <v>727</v>
      </c>
      <c r="K513" s="71" t="s">
        <v>3455</v>
      </c>
      <c r="L513" s="72">
        <v>43444</v>
      </c>
      <c r="M513" s="73" t="s">
        <v>729</v>
      </c>
      <c r="N513" s="74">
        <v>43447</v>
      </c>
      <c r="O513" s="75">
        <f t="shared" si="199"/>
        <v>43447</v>
      </c>
      <c r="P513" s="2765" t="s">
        <v>3461</v>
      </c>
      <c r="Q513" s="2954"/>
      <c r="R513" s="76">
        <v>84.745699999999999</v>
      </c>
      <c r="S513" s="1945" t="s">
        <v>731</v>
      </c>
      <c r="T513" s="77"/>
      <c r="U513" s="1893"/>
      <c r="V513" s="2079">
        <f t="shared" si="193"/>
        <v>0</v>
      </c>
      <c r="W513" s="78">
        <f t="shared" si="194"/>
        <v>99.999925999999988</v>
      </c>
      <c r="X513" s="1878" t="str">
        <f t="shared" si="192"/>
        <v xml:space="preserve">3.- R Aeolus 0340516-OT_009661  Vulcanizado (curación) F001-00000829 </v>
      </c>
      <c r="Z513" s="19" t="str">
        <f t="shared" si="202"/>
        <v>ReencaucheReencauchadora RENOVA</v>
      </c>
    </row>
    <row r="514" spans="2:26" ht="15.2" customHeight="1">
      <c r="B514" s="37"/>
      <c r="E514" s="3045">
        <v>4</v>
      </c>
      <c r="F514" s="2297" t="s">
        <v>723</v>
      </c>
      <c r="G514" s="68" t="s">
        <v>151</v>
      </c>
      <c r="H514" s="69" t="s">
        <v>2394</v>
      </c>
      <c r="I514" s="68" t="s">
        <v>816</v>
      </c>
      <c r="J514" s="70" t="s">
        <v>727</v>
      </c>
      <c r="K514" s="71" t="s">
        <v>3455</v>
      </c>
      <c r="L514" s="72">
        <v>43444</v>
      </c>
      <c r="M514" s="73" t="s">
        <v>729</v>
      </c>
      <c r="N514" s="74">
        <v>43447</v>
      </c>
      <c r="O514" s="75">
        <f t="shared" si="199"/>
        <v>43447</v>
      </c>
      <c r="P514" s="2765" t="s">
        <v>3456</v>
      </c>
      <c r="Q514" s="2954"/>
      <c r="R514" s="76">
        <v>0</v>
      </c>
      <c r="S514" s="1945" t="s">
        <v>731</v>
      </c>
      <c r="T514" s="2900" t="s">
        <v>3457</v>
      </c>
      <c r="U514" s="1893"/>
      <c r="V514" s="2079">
        <f t="shared" si="193"/>
        <v>0</v>
      </c>
      <c r="W514" s="78">
        <f t="shared" si="194"/>
        <v>0</v>
      </c>
      <c r="X514" s="1878" t="str">
        <f t="shared" si="192"/>
        <v>4.- R WindPower 0811215-OT_009661  RECLAMO EG01-237 Procedio reclamo, REPARADA</v>
      </c>
      <c r="Z514" s="19" t="str">
        <f t="shared" si="202"/>
        <v>ReencaucheReencauchadora RENOVA</v>
      </c>
    </row>
    <row r="515" spans="2:26" ht="15.2" customHeight="1">
      <c r="B515" s="37"/>
      <c r="E515" s="79">
        <v>5</v>
      </c>
      <c r="F515" s="2294" t="s">
        <v>723</v>
      </c>
      <c r="G515" s="81" t="s">
        <v>724</v>
      </c>
      <c r="H515" s="82" t="s">
        <v>2874</v>
      </c>
      <c r="I515" s="81" t="s">
        <v>726</v>
      </c>
      <c r="J515" s="83" t="s">
        <v>727</v>
      </c>
      <c r="K515" s="2295" t="s">
        <v>3455</v>
      </c>
      <c r="L515" s="85">
        <v>43444</v>
      </c>
      <c r="M515" s="2296" t="s">
        <v>729</v>
      </c>
      <c r="N515" s="87">
        <v>43447</v>
      </c>
      <c r="O515" s="88">
        <f t="shared" ref="O515:O522" si="203">+N515</f>
        <v>43447</v>
      </c>
      <c r="P515" s="2766" t="s">
        <v>3456</v>
      </c>
      <c r="Q515" s="2955"/>
      <c r="R515" s="89">
        <v>0</v>
      </c>
      <c r="S515" s="1946" t="s">
        <v>731</v>
      </c>
      <c r="T515" s="2900" t="s">
        <v>3278</v>
      </c>
      <c r="U515" s="1893"/>
      <c r="V515" s="2079">
        <f t="shared" si="193"/>
        <v>0</v>
      </c>
      <c r="W515" s="78">
        <f t="shared" si="194"/>
        <v>0</v>
      </c>
      <c r="X515" s="1878" t="str">
        <f t="shared" si="192"/>
        <v>5.- R Aeolus 0310615-OT_009661  Reencauche EG01-237 Rechazada x Fatiga estruc</v>
      </c>
      <c r="Z515" s="19" t="str">
        <f t="shared" si="202"/>
        <v>ReencaucheReencauchadora RENOVA</v>
      </c>
    </row>
    <row r="516" spans="2:26" ht="15.2" customHeight="1">
      <c r="B516" s="37"/>
      <c r="E516" s="3036">
        <v>1</v>
      </c>
      <c r="F516" s="2297" t="s">
        <v>723</v>
      </c>
      <c r="G516" s="68" t="s">
        <v>737</v>
      </c>
      <c r="H516" s="69" t="s">
        <v>3451</v>
      </c>
      <c r="I516" s="68" t="s">
        <v>726</v>
      </c>
      <c r="J516" s="70" t="s">
        <v>760</v>
      </c>
      <c r="K516" s="2305" t="s">
        <v>3452</v>
      </c>
      <c r="L516" s="72">
        <v>43438</v>
      </c>
      <c r="M516" s="2306" t="s">
        <v>729</v>
      </c>
      <c r="N516" s="74">
        <v>43445</v>
      </c>
      <c r="O516" s="75">
        <f t="shared" si="203"/>
        <v>43445</v>
      </c>
      <c r="P516" s="2765" t="s">
        <v>3454</v>
      </c>
      <c r="Q516" s="2954">
        <v>100.9</v>
      </c>
      <c r="R516" s="76"/>
      <c r="S516" s="1945" t="s">
        <v>731</v>
      </c>
      <c r="T516" s="77" t="s">
        <v>2570</v>
      </c>
      <c r="U516" s="1893"/>
      <c r="V516" s="2079">
        <f t="shared" si="193"/>
        <v>119.062</v>
      </c>
      <c r="W516" s="78">
        <f t="shared" si="194"/>
        <v>0</v>
      </c>
      <c r="X516" s="1878" t="str">
        <f t="shared" si="192"/>
        <v>1.- R Vikrant 0040118-OT_254234  Reencauche F101-00018087 IDY3-220</v>
      </c>
      <c r="Z516" s="19" t="str">
        <f t="shared" si="202"/>
        <v>ReencaucheReencauchadora RENOVA</v>
      </c>
    </row>
    <row r="517" spans="2:26" ht="15.2" customHeight="1">
      <c r="B517" s="37"/>
      <c r="E517" s="3036">
        <v>2</v>
      </c>
      <c r="F517" s="2297" t="s">
        <v>723</v>
      </c>
      <c r="G517" s="68" t="s">
        <v>737</v>
      </c>
      <c r="H517" s="69" t="s">
        <v>3450</v>
      </c>
      <c r="I517" s="68" t="s">
        <v>726</v>
      </c>
      <c r="J517" s="70" t="s">
        <v>760</v>
      </c>
      <c r="K517" s="71" t="s">
        <v>3452</v>
      </c>
      <c r="L517" s="72">
        <v>43438</v>
      </c>
      <c r="M517" s="73" t="s">
        <v>729</v>
      </c>
      <c r="N517" s="74">
        <v>43445</v>
      </c>
      <c r="O517" s="75">
        <f t="shared" si="203"/>
        <v>43445</v>
      </c>
      <c r="P517" s="2765" t="s">
        <v>3454</v>
      </c>
      <c r="Q517" s="2954">
        <v>100.9</v>
      </c>
      <c r="R517" s="76"/>
      <c r="S517" s="1945" t="s">
        <v>731</v>
      </c>
      <c r="T517" s="77" t="s">
        <v>2570</v>
      </c>
      <c r="U517" s="1893"/>
      <c r="V517" s="2079">
        <f t="shared" si="193"/>
        <v>119.062</v>
      </c>
      <c r="W517" s="78">
        <f t="shared" si="194"/>
        <v>0</v>
      </c>
      <c r="X517" s="1878" t="str">
        <f t="shared" si="192"/>
        <v>2.- R Vikrant 0010118-OT_254234  Reencauche F101-00018087 IDY3-220</v>
      </c>
      <c r="Z517" s="19" t="str">
        <f t="shared" si="202"/>
        <v>ReencaucheReencauchadora RENOVA</v>
      </c>
    </row>
    <row r="518" spans="2:26" ht="15.2" customHeight="1">
      <c r="B518" s="37"/>
      <c r="E518" s="3036">
        <v>3</v>
      </c>
      <c r="F518" s="2297" t="s">
        <v>723</v>
      </c>
      <c r="G518" s="68" t="s">
        <v>737</v>
      </c>
      <c r="H518" s="69" t="s">
        <v>3449</v>
      </c>
      <c r="I518" s="68" t="s">
        <v>726</v>
      </c>
      <c r="J518" s="70" t="s">
        <v>760</v>
      </c>
      <c r="K518" s="71" t="s">
        <v>3452</v>
      </c>
      <c r="L518" s="72">
        <v>43438</v>
      </c>
      <c r="M518" s="73" t="s">
        <v>729</v>
      </c>
      <c r="N518" s="74">
        <v>43445</v>
      </c>
      <c r="O518" s="75">
        <f t="shared" si="203"/>
        <v>43445</v>
      </c>
      <c r="P518" s="2765" t="s">
        <v>3454</v>
      </c>
      <c r="Q518" s="2954">
        <v>100.9</v>
      </c>
      <c r="R518" s="76"/>
      <c r="S518" s="1945" t="s">
        <v>731</v>
      </c>
      <c r="T518" s="77" t="s">
        <v>2570</v>
      </c>
      <c r="U518" s="1893"/>
      <c r="V518" s="2079">
        <f t="shared" si="193"/>
        <v>119.062</v>
      </c>
      <c r="W518" s="78">
        <f t="shared" si="194"/>
        <v>0</v>
      </c>
      <c r="X518" s="1878" t="str">
        <f t="shared" si="192"/>
        <v>3.- R Vikrant 0020118-OT_254234  Reencauche F101-00018087 IDY3-220</v>
      </c>
      <c r="Z518" s="19" t="str">
        <f t="shared" si="202"/>
        <v>ReencaucheReencauchadora RENOVA</v>
      </c>
    </row>
    <row r="519" spans="2:26" ht="15.2" customHeight="1">
      <c r="B519" s="37"/>
      <c r="E519" s="3036">
        <v>4</v>
      </c>
      <c r="F519" s="2297" t="s">
        <v>723</v>
      </c>
      <c r="G519" s="68" t="s">
        <v>737</v>
      </c>
      <c r="H519" s="69" t="s">
        <v>3448</v>
      </c>
      <c r="I519" s="68" t="s">
        <v>726</v>
      </c>
      <c r="J519" s="70" t="s">
        <v>760</v>
      </c>
      <c r="K519" s="2305" t="s">
        <v>3453</v>
      </c>
      <c r="L519" s="72">
        <v>43438</v>
      </c>
      <c r="M519" s="73" t="s">
        <v>729</v>
      </c>
      <c r="N519" s="74">
        <v>43445</v>
      </c>
      <c r="O519" s="75">
        <f t="shared" si="203"/>
        <v>43445</v>
      </c>
      <c r="P519" s="2765" t="s">
        <v>3454</v>
      </c>
      <c r="Q519" s="2954">
        <v>100.9</v>
      </c>
      <c r="R519" s="76"/>
      <c r="S519" s="1945" t="s">
        <v>731</v>
      </c>
      <c r="T519" s="77" t="s">
        <v>2570</v>
      </c>
      <c r="U519" s="1893"/>
      <c r="V519" s="2079">
        <f t="shared" si="193"/>
        <v>119.062</v>
      </c>
      <c r="W519" s="78">
        <f t="shared" si="194"/>
        <v>0</v>
      </c>
      <c r="X519" s="1878" t="str">
        <f t="shared" si="192"/>
        <v>4.- R Vikrant 0030118-OT_254232  Reencauche F101-00018087 IDY3-220</v>
      </c>
      <c r="Z519" s="19" t="str">
        <f t="shared" si="202"/>
        <v>ReencaucheReencauchadora RENOVA</v>
      </c>
    </row>
    <row r="520" spans="2:26" ht="15.2" customHeight="1">
      <c r="B520" s="37"/>
      <c r="E520" s="3036">
        <v>5</v>
      </c>
      <c r="F520" s="2297" t="s">
        <v>723</v>
      </c>
      <c r="G520" s="68" t="s">
        <v>737</v>
      </c>
      <c r="H520" s="69" t="s">
        <v>3447</v>
      </c>
      <c r="I520" s="68" t="s">
        <v>726</v>
      </c>
      <c r="J520" s="70" t="s">
        <v>760</v>
      </c>
      <c r="K520" s="71" t="s">
        <v>3453</v>
      </c>
      <c r="L520" s="72">
        <v>43438</v>
      </c>
      <c r="M520" s="73" t="s">
        <v>729</v>
      </c>
      <c r="N520" s="74">
        <v>43445</v>
      </c>
      <c r="O520" s="75">
        <f t="shared" si="203"/>
        <v>43445</v>
      </c>
      <c r="P520" s="2765" t="s">
        <v>3454</v>
      </c>
      <c r="Q520" s="2954">
        <v>100.9</v>
      </c>
      <c r="R520" s="76"/>
      <c r="S520" s="1945" t="s">
        <v>731</v>
      </c>
      <c r="T520" s="77" t="s">
        <v>2570</v>
      </c>
      <c r="U520" s="1893"/>
      <c r="V520" s="2079">
        <f t="shared" si="193"/>
        <v>119.062</v>
      </c>
      <c r="W520" s="78">
        <f t="shared" si="194"/>
        <v>0</v>
      </c>
      <c r="X520" s="1878" t="str">
        <f t="shared" si="192"/>
        <v>5.- R Vikrant 0880917-OT_254232  Reencauche F101-00018087 IDY3-220</v>
      </c>
      <c r="Z520" s="19" t="str">
        <f t="shared" si="195"/>
        <v>ReencaucheReencauchadora RENOVA</v>
      </c>
    </row>
    <row r="521" spans="2:26" ht="15.2" customHeight="1">
      <c r="B521" s="37"/>
      <c r="E521" s="3036">
        <v>6</v>
      </c>
      <c r="F521" s="2297" t="s">
        <v>723</v>
      </c>
      <c r="G521" s="68" t="s">
        <v>724</v>
      </c>
      <c r="H521" s="69" t="s">
        <v>3446</v>
      </c>
      <c r="I521" s="68" t="s">
        <v>726</v>
      </c>
      <c r="J521" s="70" t="s">
        <v>760</v>
      </c>
      <c r="K521" s="71" t="s">
        <v>3453</v>
      </c>
      <c r="L521" s="72">
        <v>43438</v>
      </c>
      <c r="M521" s="73" t="s">
        <v>729</v>
      </c>
      <c r="N521" s="74">
        <v>43445</v>
      </c>
      <c r="O521" s="75">
        <f t="shared" si="203"/>
        <v>43445</v>
      </c>
      <c r="P521" s="2765" t="s">
        <v>3454</v>
      </c>
      <c r="Q521" s="2954">
        <v>100.9</v>
      </c>
      <c r="R521" s="76"/>
      <c r="S521" s="1945" t="s">
        <v>731</v>
      </c>
      <c r="T521" s="77" t="s">
        <v>2570</v>
      </c>
      <c r="U521" s="1893"/>
      <c r="V521" s="2079">
        <f t="shared" si="193"/>
        <v>119.062</v>
      </c>
      <c r="W521" s="78">
        <f t="shared" si="194"/>
        <v>0</v>
      </c>
      <c r="X521" s="1878" t="str">
        <f t="shared" si="192"/>
        <v>6.- R Aeolus 0310518-OT_254232  Reencauche F101-00018087 IDY3-220</v>
      </c>
      <c r="Z521" s="19" t="str">
        <f t="shared" si="195"/>
        <v>ReencaucheReencauchadora RENOVA</v>
      </c>
    </row>
    <row r="522" spans="2:26" ht="15.2" customHeight="1">
      <c r="B522" s="37"/>
      <c r="E522" s="3036">
        <v>7</v>
      </c>
      <c r="F522" s="2297" t="s">
        <v>723</v>
      </c>
      <c r="G522" s="68" t="s">
        <v>724</v>
      </c>
      <c r="H522" s="69" t="s">
        <v>3445</v>
      </c>
      <c r="I522" s="68" t="s">
        <v>726</v>
      </c>
      <c r="J522" s="70" t="s">
        <v>760</v>
      </c>
      <c r="K522" s="71" t="s">
        <v>3453</v>
      </c>
      <c r="L522" s="72">
        <v>43438</v>
      </c>
      <c r="M522" s="73" t="s">
        <v>729</v>
      </c>
      <c r="N522" s="74">
        <v>43445</v>
      </c>
      <c r="O522" s="75">
        <f t="shared" si="203"/>
        <v>43445</v>
      </c>
      <c r="P522" s="2765" t="s">
        <v>3454</v>
      </c>
      <c r="Q522" s="2954">
        <v>100.9</v>
      </c>
      <c r="R522" s="76"/>
      <c r="S522" s="1945" t="s">
        <v>731</v>
      </c>
      <c r="T522" s="77" t="s">
        <v>2570</v>
      </c>
      <c r="U522" s="1893"/>
      <c r="V522" s="2079">
        <f t="shared" si="193"/>
        <v>119.062</v>
      </c>
      <c r="W522" s="78">
        <f t="shared" si="194"/>
        <v>0</v>
      </c>
      <c r="X522" s="1878" t="str">
        <f t="shared" si="192"/>
        <v>7.- R Aeolus 0290518-OT_254232  Reencauche F101-00018087 IDY3-220</v>
      </c>
      <c r="Z522" s="19" t="str">
        <f t="shared" si="195"/>
        <v>ReencaucheReencauchadora RENOVA</v>
      </c>
    </row>
    <row r="523" spans="2:26" ht="15.2" customHeight="1">
      <c r="B523" s="37"/>
      <c r="E523" s="3022">
        <v>8</v>
      </c>
      <c r="F523" s="2297" t="s">
        <v>723</v>
      </c>
      <c r="G523" s="68" t="s">
        <v>724</v>
      </c>
      <c r="H523" s="69" t="s">
        <v>3444</v>
      </c>
      <c r="I523" s="68" t="s">
        <v>726</v>
      </c>
      <c r="J523" s="70" t="s">
        <v>760</v>
      </c>
      <c r="K523" s="71" t="s">
        <v>3453</v>
      </c>
      <c r="L523" s="72">
        <v>43438</v>
      </c>
      <c r="M523" s="73" t="s">
        <v>729</v>
      </c>
      <c r="N523" s="74">
        <v>43445</v>
      </c>
      <c r="O523" s="75">
        <f t="shared" ref="O523:O532" si="204">+N523</f>
        <v>43445</v>
      </c>
      <c r="P523" s="2765" t="s">
        <v>3454</v>
      </c>
      <c r="Q523" s="2954">
        <v>100.9</v>
      </c>
      <c r="R523" s="76"/>
      <c r="S523" s="1945" t="s">
        <v>731</v>
      </c>
      <c r="T523" s="77" t="s">
        <v>2570</v>
      </c>
      <c r="U523" s="1893"/>
      <c r="V523" s="2079">
        <f t="shared" si="193"/>
        <v>119.062</v>
      </c>
      <c r="W523" s="78">
        <f t="shared" si="194"/>
        <v>0</v>
      </c>
      <c r="X523" s="1878" t="str">
        <f t="shared" si="192"/>
        <v>8.- R Aeolus 060518-OT_254232  Reencauche F101-00018087 IDY3-220</v>
      </c>
      <c r="Z523" s="19" t="str">
        <f t="shared" si="195"/>
        <v>ReencaucheReencauchadora RENOVA</v>
      </c>
    </row>
    <row r="524" spans="2:26" ht="15.2" customHeight="1">
      <c r="B524" s="37"/>
      <c r="E524" s="3022">
        <v>9</v>
      </c>
      <c r="F524" s="2297" t="s">
        <v>723</v>
      </c>
      <c r="G524" s="68" t="s">
        <v>724</v>
      </c>
      <c r="H524" s="69" t="s">
        <v>3443</v>
      </c>
      <c r="I524" s="68" t="s">
        <v>726</v>
      </c>
      <c r="J524" s="70" t="s">
        <v>760</v>
      </c>
      <c r="K524" s="71" t="s">
        <v>3453</v>
      </c>
      <c r="L524" s="72">
        <v>43438</v>
      </c>
      <c r="M524" s="73" t="s">
        <v>729</v>
      </c>
      <c r="N524" s="74">
        <v>43445</v>
      </c>
      <c r="O524" s="75">
        <f t="shared" si="204"/>
        <v>43445</v>
      </c>
      <c r="P524" s="2765" t="s">
        <v>3454</v>
      </c>
      <c r="Q524" s="2954">
        <v>100.9</v>
      </c>
      <c r="R524" s="76"/>
      <c r="S524" s="1945" t="s">
        <v>731</v>
      </c>
      <c r="T524" s="77" t="s">
        <v>2570</v>
      </c>
      <c r="U524" s="1893"/>
      <c r="V524" s="2079">
        <f t="shared" si="193"/>
        <v>119.062</v>
      </c>
      <c r="W524" s="78">
        <f t="shared" si="194"/>
        <v>0</v>
      </c>
      <c r="X524" s="1878" t="str">
        <f t="shared" si="192"/>
        <v>9.- R Aeolus 8120310-OT_254232  Reencauche F101-00018087 IDY3-220</v>
      </c>
      <c r="Z524" s="19" t="str">
        <f t="shared" si="195"/>
        <v>ReencaucheReencauchadora RENOVA</v>
      </c>
    </row>
    <row r="525" spans="2:26" ht="15.2" customHeight="1">
      <c r="B525" s="37"/>
      <c r="E525" s="3022">
        <v>10</v>
      </c>
      <c r="F525" s="2297" t="s">
        <v>723</v>
      </c>
      <c r="G525" s="68" t="s">
        <v>724</v>
      </c>
      <c r="H525" s="69" t="s">
        <v>3442</v>
      </c>
      <c r="I525" s="68" t="s">
        <v>726</v>
      </c>
      <c r="J525" s="70" t="s">
        <v>760</v>
      </c>
      <c r="K525" s="71" t="s">
        <v>3453</v>
      </c>
      <c r="L525" s="72">
        <v>43438</v>
      </c>
      <c r="M525" s="73" t="s">
        <v>729</v>
      </c>
      <c r="N525" s="74">
        <v>43445</v>
      </c>
      <c r="O525" s="75">
        <f t="shared" si="204"/>
        <v>43445</v>
      </c>
      <c r="P525" s="2765" t="s">
        <v>3454</v>
      </c>
      <c r="Q525" s="2954">
        <v>100.9</v>
      </c>
      <c r="R525" s="76"/>
      <c r="S525" s="1945" t="s">
        <v>731</v>
      </c>
      <c r="T525" s="77" t="s">
        <v>2570</v>
      </c>
      <c r="U525" s="1893"/>
      <c r="V525" s="2079">
        <f t="shared" si="193"/>
        <v>119.062</v>
      </c>
      <c r="W525" s="78">
        <f t="shared" si="194"/>
        <v>0</v>
      </c>
      <c r="X525" s="1878" t="str">
        <f t="shared" si="192"/>
        <v>10.- R Aeolus 0320518-OT_254232  Reencauche F101-00018087 IDY3-220</v>
      </c>
      <c r="Z525" s="19" t="str">
        <f t="shared" si="195"/>
        <v>Vulcanizado (curación)Reenc. MASTERCAUCHO</v>
      </c>
    </row>
    <row r="526" spans="2:26" ht="15.2" customHeight="1">
      <c r="B526" s="37"/>
      <c r="E526" s="3022">
        <v>11</v>
      </c>
      <c r="F526" s="2297" t="s">
        <v>723</v>
      </c>
      <c r="G526" s="68" t="s">
        <v>724</v>
      </c>
      <c r="H526" s="69" t="s">
        <v>3441</v>
      </c>
      <c r="I526" s="68" t="s">
        <v>726</v>
      </c>
      <c r="J526" s="70" t="s">
        <v>760</v>
      </c>
      <c r="K526" s="71" t="s">
        <v>3453</v>
      </c>
      <c r="L526" s="72">
        <v>43438</v>
      </c>
      <c r="M526" s="73" t="s">
        <v>729</v>
      </c>
      <c r="N526" s="74">
        <v>43445</v>
      </c>
      <c r="O526" s="75">
        <f t="shared" si="204"/>
        <v>43445</v>
      </c>
      <c r="P526" s="2765" t="s">
        <v>3454</v>
      </c>
      <c r="Q526" s="2954">
        <v>100.9</v>
      </c>
      <c r="R526" s="76"/>
      <c r="S526" s="1945" t="s">
        <v>731</v>
      </c>
      <c r="T526" s="77" t="s">
        <v>2570</v>
      </c>
      <c r="U526" s="1893"/>
      <c r="V526" s="2079">
        <f t="shared" si="193"/>
        <v>119.062</v>
      </c>
      <c r="W526" s="78">
        <f t="shared" si="194"/>
        <v>0</v>
      </c>
      <c r="X526" s="1878" t="str">
        <f t="shared" si="192"/>
        <v>11.- R Aeolus 0450616-OT_254232  Reencauche F101-00018087 IDY3-220</v>
      </c>
      <c r="Z526" s="19" t="str">
        <f t="shared" ref="Z526:Z527" si="205">CONCATENATE(I529,J529)</f>
        <v>Casc 2a trnsplReenc. MASTERCAUCHO</v>
      </c>
    </row>
    <row r="527" spans="2:26" ht="15.2" customHeight="1">
      <c r="B527" s="37"/>
      <c r="E527" s="79">
        <v>12</v>
      </c>
      <c r="F527" s="2294" t="s">
        <v>723</v>
      </c>
      <c r="G527" s="81" t="s">
        <v>151</v>
      </c>
      <c r="H527" s="82" t="s">
        <v>3440</v>
      </c>
      <c r="I527" s="81" t="s">
        <v>726</v>
      </c>
      <c r="J527" s="83" t="s">
        <v>760</v>
      </c>
      <c r="K527" s="84" t="s">
        <v>3453</v>
      </c>
      <c r="L527" s="85">
        <v>43438</v>
      </c>
      <c r="M527" s="86" t="s">
        <v>729</v>
      </c>
      <c r="N527" s="87">
        <v>43445</v>
      </c>
      <c r="O527" s="88">
        <f t="shared" si="204"/>
        <v>43445</v>
      </c>
      <c r="P527" s="2766" t="s">
        <v>3454</v>
      </c>
      <c r="Q527" s="2955">
        <v>100.9</v>
      </c>
      <c r="R527" s="89"/>
      <c r="S527" s="1946" t="s">
        <v>731</v>
      </c>
      <c r="T527" s="77" t="s">
        <v>2570</v>
      </c>
      <c r="U527" s="1893"/>
      <c r="V527" s="2079">
        <f t="shared" si="193"/>
        <v>119.062</v>
      </c>
      <c r="W527" s="78">
        <f t="shared" si="194"/>
        <v>0</v>
      </c>
      <c r="X527" s="1878" t="str">
        <f t="shared" si="192"/>
        <v>12.- R WindPower 0540915-OT_254232  Reencauche F101-00018087 IDY3-220</v>
      </c>
      <c r="Z527" s="19" t="str">
        <f t="shared" si="205"/>
        <v>Casc 2a trnsplReenc. MASTERCAUCHO</v>
      </c>
    </row>
    <row r="528" spans="2:26" ht="15.2" customHeight="1">
      <c r="B528" s="37"/>
      <c r="E528" s="79">
        <v>1</v>
      </c>
      <c r="F528" s="2294" t="s">
        <v>723</v>
      </c>
      <c r="G528" s="81" t="s">
        <v>724</v>
      </c>
      <c r="H528" s="82" t="s">
        <v>3429</v>
      </c>
      <c r="I528" s="81" t="s">
        <v>811</v>
      </c>
      <c r="J528" s="83" t="s">
        <v>727</v>
      </c>
      <c r="K528" s="2295" t="s">
        <v>3430</v>
      </c>
      <c r="L528" s="85">
        <v>43418</v>
      </c>
      <c r="M528" s="2296" t="s">
        <v>729</v>
      </c>
      <c r="N528" s="87">
        <v>43420</v>
      </c>
      <c r="O528" s="88">
        <f t="shared" si="204"/>
        <v>43420</v>
      </c>
      <c r="P528" s="2766" t="s">
        <v>3431</v>
      </c>
      <c r="Q528" s="2955"/>
      <c r="R528" s="89">
        <v>84.745699999999999</v>
      </c>
      <c r="S528" s="1946" t="s">
        <v>731</v>
      </c>
      <c r="T528" s="77" t="s">
        <v>3229</v>
      </c>
      <c r="U528" s="1893"/>
      <c r="V528" s="2079">
        <f t="shared" si="193"/>
        <v>0</v>
      </c>
      <c r="W528" s="78">
        <f t="shared" si="194"/>
        <v>99.999925999999988</v>
      </c>
      <c r="X528" s="1878" t="str">
        <f t="shared" si="192"/>
        <v>1.- R Aeolus 0730717-OT_010834  Vulcanizado (curación) F001-00000486 Corte lateral</v>
      </c>
      <c r="Z528" s="19" t="str">
        <f t="shared" si="195"/>
        <v>Sacar_BandaReenc. MASTERCAUCHO</v>
      </c>
    </row>
    <row r="529" spans="2:26" ht="15.2" customHeight="1">
      <c r="B529" s="37"/>
      <c r="E529" s="3041">
        <v>1</v>
      </c>
      <c r="F529" s="2297" t="s">
        <v>723</v>
      </c>
      <c r="G529" s="68" t="s">
        <v>3382</v>
      </c>
      <c r="H529" s="69">
        <v>8441118</v>
      </c>
      <c r="I529" s="68" t="s">
        <v>3224</v>
      </c>
      <c r="J529" s="70" t="s">
        <v>727</v>
      </c>
      <c r="K529" s="2305" t="s">
        <v>857</v>
      </c>
      <c r="L529" s="72"/>
      <c r="M529" s="2306" t="s">
        <v>729</v>
      </c>
      <c r="N529" s="74">
        <v>43420</v>
      </c>
      <c r="O529" s="75">
        <f t="shared" ref="O529:O530" si="206">+N529</f>
        <v>43420</v>
      </c>
      <c r="P529" s="2765" t="s">
        <v>3431</v>
      </c>
      <c r="Q529" s="2954"/>
      <c r="R529" s="76">
        <v>211.86439999999999</v>
      </c>
      <c r="S529" s="1945" t="s">
        <v>731</v>
      </c>
      <c r="T529" s="77" t="s">
        <v>3433</v>
      </c>
      <c r="U529" s="1893"/>
      <c r="V529" s="2079">
        <f t="shared" si="193"/>
        <v>0</v>
      </c>
      <c r="W529" s="78">
        <f t="shared" si="194"/>
        <v>249.99999199999996</v>
      </c>
      <c r="X529" s="1878" t="str">
        <f t="shared" si="192"/>
        <v>1.- R Full Run 8441118-OT_S/D  Casc 2a trnspl F001-00000486 8441118 Full Run TB875 2313 China</v>
      </c>
      <c r="Z529" s="19" t="str">
        <f t="shared" si="195"/>
        <v>Sacar_BandaReenc. MASTERCAUCHO</v>
      </c>
    </row>
    <row r="530" spans="2:26" ht="15.2" customHeight="1">
      <c r="B530" s="37"/>
      <c r="E530" s="3041">
        <v>2</v>
      </c>
      <c r="F530" s="2297" t="s">
        <v>723</v>
      </c>
      <c r="G530" s="68" t="s">
        <v>3424</v>
      </c>
      <c r="H530" s="69">
        <v>8451118</v>
      </c>
      <c r="I530" s="68" t="s">
        <v>3224</v>
      </c>
      <c r="J530" s="70" t="s">
        <v>727</v>
      </c>
      <c r="K530" s="2305" t="s">
        <v>857</v>
      </c>
      <c r="L530" s="72"/>
      <c r="M530" s="2306" t="s">
        <v>729</v>
      </c>
      <c r="N530" s="74">
        <v>43420</v>
      </c>
      <c r="O530" s="75">
        <f t="shared" si="206"/>
        <v>43420</v>
      </c>
      <c r="P530" s="2765" t="s">
        <v>3431</v>
      </c>
      <c r="Q530" s="2954"/>
      <c r="R530" s="76">
        <v>211.86439999999999</v>
      </c>
      <c r="S530" s="1945" t="s">
        <v>731</v>
      </c>
      <c r="T530" s="77" t="s">
        <v>3434</v>
      </c>
      <c r="U530" s="1893"/>
      <c r="V530" s="2079">
        <f t="shared" si="193"/>
        <v>0</v>
      </c>
      <c r="W530" s="78">
        <f t="shared" si="194"/>
        <v>249.99999199999996</v>
      </c>
      <c r="X530" s="1878" t="str">
        <f t="shared" si="192"/>
        <v>2.- R GT Radial 8451118-OT_S/D  Casc 2a trnspl F001-00000486 8451118 GT Radial GT01 2715 China</v>
      </c>
      <c r="Z530" s="19" t="str">
        <f t="shared" si="195"/>
        <v>ReencaucheReencauchadora RENOVA</v>
      </c>
    </row>
    <row r="531" spans="2:26" ht="15.2" customHeight="1">
      <c r="B531" s="37"/>
      <c r="E531" s="3022">
        <v>3</v>
      </c>
      <c r="F531" s="2297" t="s">
        <v>732</v>
      </c>
      <c r="G531" s="68" t="s">
        <v>737</v>
      </c>
      <c r="H531" s="69" t="s">
        <v>959</v>
      </c>
      <c r="I531" s="68" t="s">
        <v>744</v>
      </c>
      <c r="J531" s="70" t="s">
        <v>727</v>
      </c>
      <c r="K531" s="2305" t="s">
        <v>3428</v>
      </c>
      <c r="L531" s="72">
        <v>43416</v>
      </c>
      <c r="M531" s="2306" t="s">
        <v>729</v>
      </c>
      <c r="N531" s="74">
        <v>43420</v>
      </c>
      <c r="O531" s="75">
        <f t="shared" si="204"/>
        <v>43420</v>
      </c>
      <c r="P531" s="2765" t="s">
        <v>3432</v>
      </c>
      <c r="Q531" s="2954"/>
      <c r="R531" s="76"/>
      <c r="S531" s="1945" t="s">
        <v>731</v>
      </c>
      <c r="T531" s="77" t="s">
        <v>2753</v>
      </c>
      <c r="U531" s="1893"/>
      <c r="V531" s="2079">
        <f t="shared" si="193"/>
        <v>0</v>
      </c>
      <c r="W531" s="78">
        <f t="shared" si="194"/>
        <v>0</v>
      </c>
      <c r="X531" s="1878" t="str">
        <f t="shared" si="192"/>
        <v>3.- C Vikrant 1060705-OT_010480  Sacar_Banda EG01-140 Casco pelado</v>
      </c>
      <c r="Z531" s="19" t="str">
        <f t="shared" si="190"/>
        <v>ReencaucheReencauchadora RENOVA</v>
      </c>
    </row>
    <row r="532" spans="2:26" ht="15.2" customHeight="1">
      <c r="B532" s="37"/>
      <c r="E532" s="79">
        <v>4</v>
      </c>
      <c r="F532" s="2294" t="s">
        <v>732</v>
      </c>
      <c r="G532" s="81" t="s">
        <v>733</v>
      </c>
      <c r="H532" s="82" t="s">
        <v>930</v>
      </c>
      <c r="I532" s="81" t="s">
        <v>744</v>
      </c>
      <c r="J532" s="83" t="s">
        <v>727</v>
      </c>
      <c r="K532" s="2295" t="s">
        <v>3428</v>
      </c>
      <c r="L532" s="85">
        <v>43416</v>
      </c>
      <c r="M532" s="2296" t="s">
        <v>729</v>
      </c>
      <c r="N532" s="87">
        <v>43420</v>
      </c>
      <c r="O532" s="88">
        <f t="shared" si="204"/>
        <v>43420</v>
      </c>
      <c r="P532" s="2766" t="s">
        <v>3432</v>
      </c>
      <c r="Q532" s="2955"/>
      <c r="R532" s="89"/>
      <c r="S532" s="1946" t="s">
        <v>731</v>
      </c>
      <c r="T532" s="77" t="s">
        <v>2753</v>
      </c>
      <c r="U532" s="1893"/>
      <c r="V532" s="2079">
        <f t="shared" si="193"/>
        <v>0</v>
      </c>
      <c r="W532" s="78">
        <f t="shared" si="194"/>
        <v>0</v>
      </c>
      <c r="X532" s="1878" t="str">
        <f t="shared" si="192"/>
        <v>4.- C Lima Caucho 0210211-OT_010480  Sacar_Banda EG01-140 Casco pelado</v>
      </c>
      <c r="Z532" s="19" t="str">
        <f t="shared" si="190"/>
        <v>ReencaucheReencauchadora RENOVA</v>
      </c>
    </row>
    <row r="533" spans="2:26" ht="15.2" customHeight="1">
      <c r="B533" s="37"/>
      <c r="E533" s="3022">
        <v>1</v>
      </c>
      <c r="F533" s="2297" t="s">
        <v>723</v>
      </c>
      <c r="G533" s="3039" t="s">
        <v>247</v>
      </c>
      <c r="H533" s="69" t="s">
        <v>3409</v>
      </c>
      <c r="I533" s="68" t="s">
        <v>726</v>
      </c>
      <c r="J533" s="70" t="s">
        <v>760</v>
      </c>
      <c r="K533" s="2305" t="s">
        <v>3418</v>
      </c>
      <c r="L533" s="72">
        <v>43390</v>
      </c>
      <c r="M533" s="73" t="s">
        <v>729</v>
      </c>
      <c r="N533" s="74">
        <v>43397</v>
      </c>
      <c r="O533" s="75">
        <v>43397</v>
      </c>
      <c r="P533" s="2765" t="s">
        <v>3422</v>
      </c>
      <c r="Q533" s="2954">
        <v>100.9</v>
      </c>
      <c r="R533" s="76"/>
      <c r="S533" s="1945" t="s">
        <v>731</v>
      </c>
      <c r="T533" s="77" t="s">
        <v>2570</v>
      </c>
      <c r="U533" s="1893"/>
      <c r="V533" s="2079">
        <f t="shared" si="193"/>
        <v>119.062</v>
      </c>
      <c r="W533" s="78">
        <f t="shared" si="194"/>
        <v>0</v>
      </c>
      <c r="X533" s="1878" t="str">
        <f t="shared" si="192"/>
        <v>1.- R Double Happines 8361018-OT_251751  Reencauche F101-00017307 IDY3-220</v>
      </c>
      <c r="Z533" s="19" t="str">
        <f t="shared" ref="Z533:Z545" si="207">CONCATENATE(I536,J536)</f>
        <v>ReencaucheReencauchadora RENOVA</v>
      </c>
    </row>
    <row r="534" spans="2:26" ht="15.2" customHeight="1">
      <c r="B534" s="37"/>
      <c r="E534" s="3017">
        <v>2</v>
      </c>
      <c r="F534" s="2297" t="s">
        <v>723</v>
      </c>
      <c r="G534" s="3039" t="s">
        <v>247</v>
      </c>
      <c r="H534" s="69" t="s">
        <v>3410</v>
      </c>
      <c r="I534" s="68" t="s">
        <v>726</v>
      </c>
      <c r="J534" s="70" t="s">
        <v>760</v>
      </c>
      <c r="K534" s="71" t="s">
        <v>3418</v>
      </c>
      <c r="L534" s="72">
        <v>43390</v>
      </c>
      <c r="M534" s="73" t="s">
        <v>729</v>
      </c>
      <c r="N534" s="74">
        <v>43397</v>
      </c>
      <c r="O534" s="75">
        <v>43397</v>
      </c>
      <c r="P534" s="2765" t="s">
        <v>3422</v>
      </c>
      <c r="Q534" s="2954">
        <v>100.9</v>
      </c>
      <c r="R534" s="76"/>
      <c r="S534" s="1945" t="s">
        <v>731</v>
      </c>
      <c r="T534" s="77" t="s">
        <v>2570</v>
      </c>
      <c r="U534" s="1893"/>
      <c r="V534" s="2079">
        <f t="shared" si="193"/>
        <v>119.062</v>
      </c>
      <c r="W534" s="78">
        <f t="shared" si="194"/>
        <v>0</v>
      </c>
      <c r="X534" s="1878" t="str">
        <f t="shared" si="192"/>
        <v>2.- R Double Happines 8351018-OT_251751  Reencauche F101-00017307 IDY3-220</v>
      </c>
      <c r="Z534" s="19" t="str">
        <f t="shared" si="207"/>
        <v>ReencaucheReencauchadora RENOVA</v>
      </c>
    </row>
    <row r="535" spans="2:26" ht="15.2" customHeight="1">
      <c r="B535" s="37"/>
      <c r="E535" s="3017">
        <v>3</v>
      </c>
      <c r="F535" s="2297" t="s">
        <v>723</v>
      </c>
      <c r="G535" s="3039" t="s">
        <v>247</v>
      </c>
      <c r="H535" s="69" t="s">
        <v>3412</v>
      </c>
      <c r="I535" s="68" t="s">
        <v>726</v>
      </c>
      <c r="J535" s="70" t="s">
        <v>760</v>
      </c>
      <c r="K535" s="71" t="s">
        <v>3418</v>
      </c>
      <c r="L535" s="72">
        <v>43390</v>
      </c>
      <c r="M535" s="73" t="s">
        <v>729</v>
      </c>
      <c r="N535" s="74">
        <v>43397</v>
      </c>
      <c r="O535" s="75">
        <v>43397</v>
      </c>
      <c r="P535" s="2765" t="s">
        <v>3422</v>
      </c>
      <c r="Q535" s="2954">
        <v>100.9</v>
      </c>
      <c r="R535" s="76"/>
      <c r="S535" s="1945" t="s">
        <v>731</v>
      </c>
      <c r="T535" s="77" t="s">
        <v>2570</v>
      </c>
      <c r="U535" s="1893"/>
      <c r="V535" s="2079">
        <f t="shared" si="193"/>
        <v>119.062</v>
      </c>
      <c r="W535" s="78">
        <f t="shared" si="194"/>
        <v>0</v>
      </c>
      <c r="X535" s="1878" t="str">
        <f t="shared" si="192"/>
        <v>3.- R Double Happines 8331018-OT_251751  Reencauche F101-00017307 IDY3-220</v>
      </c>
      <c r="Z535" s="19" t="str">
        <f t="shared" si="207"/>
        <v>ReencaucheReencauchadora RENOVA</v>
      </c>
    </row>
    <row r="536" spans="2:26" ht="15.2" customHeight="1">
      <c r="B536" s="37"/>
      <c r="E536" s="3020">
        <v>4</v>
      </c>
      <c r="F536" s="2297" t="s">
        <v>723</v>
      </c>
      <c r="G536" s="3039" t="s">
        <v>247</v>
      </c>
      <c r="H536" s="69" t="s">
        <v>3413</v>
      </c>
      <c r="I536" s="68" t="s">
        <v>726</v>
      </c>
      <c r="J536" s="70" t="s">
        <v>760</v>
      </c>
      <c r="K536" s="71" t="s">
        <v>3418</v>
      </c>
      <c r="L536" s="72">
        <v>43390</v>
      </c>
      <c r="M536" s="73" t="s">
        <v>729</v>
      </c>
      <c r="N536" s="74">
        <v>43397</v>
      </c>
      <c r="O536" s="75">
        <v>43397</v>
      </c>
      <c r="P536" s="2765" t="s">
        <v>3422</v>
      </c>
      <c r="Q536" s="2954">
        <v>100.9</v>
      </c>
      <c r="R536" s="76"/>
      <c r="S536" s="1945" t="s">
        <v>731</v>
      </c>
      <c r="T536" s="77" t="s">
        <v>2570</v>
      </c>
      <c r="U536" s="1893"/>
      <c r="V536" s="2079">
        <f t="shared" si="193"/>
        <v>119.062</v>
      </c>
      <c r="W536" s="78">
        <f t="shared" si="194"/>
        <v>0</v>
      </c>
      <c r="X536" s="1878" t="str">
        <f t="shared" si="192"/>
        <v>4.- R Double Happines 8411018-OT_251751  Reencauche F101-00017307 IDY3-220</v>
      </c>
      <c r="Z536" s="19" t="str">
        <f t="shared" si="207"/>
        <v>ReencaucheReencauchadora RENOVA</v>
      </c>
    </row>
    <row r="537" spans="2:26" ht="15.2" customHeight="1">
      <c r="B537" s="37"/>
      <c r="E537" s="3020">
        <v>5</v>
      </c>
      <c r="F537" s="2297" t="s">
        <v>723</v>
      </c>
      <c r="G537" s="3039" t="s">
        <v>247</v>
      </c>
      <c r="H537" s="69" t="s">
        <v>3414</v>
      </c>
      <c r="I537" s="68" t="s">
        <v>726</v>
      </c>
      <c r="J537" s="70" t="s">
        <v>760</v>
      </c>
      <c r="K537" s="71" t="s">
        <v>3418</v>
      </c>
      <c r="L537" s="72">
        <v>43390</v>
      </c>
      <c r="M537" s="73" t="s">
        <v>729</v>
      </c>
      <c r="N537" s="74">
        <v>43397</v>
      </c>
      <c r="O537" s="75">
        <v>43397</v>
      </c>
      <c r="P537" s="2765" t="s">
        <v>3422</v>
      </c>
      <c r="Q537" s="2954">
        <v>100.9</v>
      </c>
      <c r="R537" s="76"/>
      <c r="S537" s="1945" t="s">
        <v>731</v>
      </c>
      <c r="T537" s="77" t="s">
        <v>2570</v>
      </c>
      <c r="U537" s="1893"/>
      <c r="V537" s="2079">
        <f t="shared" si="193"/>
        <v>119.062</v>
      </c>
      <c r="W537" s="78">
        <f t="shared" si="194"/>
        <v>0</v>
      </c>
      <c r="X537" s="1878" t="str">
        <f t="shared" si="192"/>
        <v>5.- R Double Happines 8421018-OT_251751  Reencauche F101-00017307 IDY3-220</v>
      </c>
      <c r="Z537" s="19" t="str">
        <f t="shared" si="207"/>
        <v>ReencaucheReencauchadora RENOVA</v>
      </c>
    </row>
    <row r="538" spans="2:26" ht="15.2" customHeight="1">
      <c r="B538" s="37"/>
      <c r="E538" s="3020">
        <v>6</v>
      </c>
      <c r="F538" s="2297" t="s">
        <v>723</v>
      </c>
      <c r="G538" s="68" t="s">
        <v>737</v>
      </c>
      <c r="H538" s="69" t="s">
        <v>3415</v>
      </c>
      <c r="I538" s="68" t="s">
        <v>726</v>
      </c>
      <c r="J538" s="70" t="s">
        <v>760</v>
      </c>
      <c r="K538" s="71" t="s">
        <v>3418</v>
      </c>
      <c r="L538" s="72">
        <v>43390</v>
      </c>
      <c r="M538" s="73" t="s">
        <v>729</v>
      </c>
      <c r="N538" s="74">
        <v>43397</v>
      </c>
      <c r="O538" s="75">
        <v>43397</v>
      </c>
      <c r="P538" s="2765" t="s">
        <v>3422</v>
      </c>
      <c r="Q538" s="2954">
        <v>100.9</v>
      </c>
      <c r="R538" s="76"/>
      <c r="S538" s="1945" t="s">
        <v>731</v>
      </c>
      <c r="T538" s="77" t="s">
        <v>2570</v>
      </c>
      <c r="U538" s="1893"/>
      <c r="V538" s="2079">
        <f t="shared" si="193"/>
        <v>119.062</v>
      </c>
      <c r="W538" s="78">
        <f t="shared" si="194"/>
        <v>0</v>
      </c>
      <c r="X538" s="1878" t="str">
        <f t="shared" si="192"/>
        <v>6.- R Vikrant 0590617-OT_251751  Reencauche F101-00017307 IDY3-220</v>
      </c>
      <c r="Z538" s="19" t="str">
        <f t="shared" si="207"/>
        <v>ReencaucheReencauchadora RENOVA</v>
      </c>
    </row>
    <row r="539" spans="2:26" ht="15.2" customHeight="1">
      <c r="B539" s="37"/>
      <c r="E539" s="3020">
        <v>7</v>
      </c>
      <c r="F539" s="2297" t="s">
        <v>723</v>
      </c>
      <c r="G539" s="68" t="s">
        <v>737</v>
      </c>
      <c r="H539" s="69" t="s">
        <v>3416</v>
      </c>
      <c r="I539" s="68" t="s">
        <v>726</v>
      </c>
      <c r="J539" s="70" t="s">
        <v>760</v>
      </c>
      <c r="K539" s="71" t="s">
        <v>3418</v>
      </c>
      <c r="L539" s="72">
        <v>43390</v>
      </c>
      <c r="M539" s="73" t="s">
        <v>729</v>
      </c>
      <c r="N539" s="74">
        <v>43397</v>
      </c>
      <c r="O539" s="75">
        <v>43397</v>
      </c>
      <c r="P539" s="2765" t="s">
        <v>3422</v>
      </c>
      <c r="Q539" s="2954">
        <v>100.9</v>
      </c>
      <c r="R539" s="76"/>
      <c r="S539" s="1945" t="s">
        <v>731</v>
      </c>
      <c r="T539" s="77" t="s">
        <v>2570</v>
      </c>
      <c r="U539" s="1893"/>
      <c r="V539" s="2079">
        <f t="shared" si="193"/>
        <v>119.062</v>
      </c>
      <c r="W539" s="78">
        <f t="shared" si="194"/>
        <v>0</v>
      </c>
      <c r="X539" s="1878" t="str">
        <f t="shared" si="192"/>
        <v>7.- R Vikrant 0600617-OT_251751  Reencauche F101-00017307 IDY3-220</v>
      </c>
      <c r="Z539" s="19" t="str">
        <f>CONCATENATE(I542,J542)</f>
        <v>ReencaucheReencauchadora RENOVA</v>
      </c>
    </row>
    <row r="540" spans="2:26" ht="15.2" customHeight="1">
      <c r="B540" s="37"/>
      <c r="E540" s="3020">
        <v>8</v>
      </c>
      <c r="F540" s="2297" t="s">
        <v>723</v>
      </c>
      <c r="G540" s="68" t="s">
        <v>151</v>
      </c>
      <c r="H540" s="69" t="s">
        <v>3417</v>
      </c>
      <c r="I540" s="68" t="s">
        <v>726</v>
      </c>
      <c r="J540" s="70" t="s">
        <v>760</v>
      </c>
      <c r="K540" s="71" t="s">
        <v>3418</v>
      </c>
      <c r="L540" s="72">
        <v>43390</v>
      </c>
      <c r="M540" s="2306" t="s">
        <v>729</v>
      </c>
      <c r="N540" s="74">
        <v>43397</v>
      </c>
      <c r="O540" s="75">
        <f t="shared" ref="O540:O548" si="208">+N540</f>
        <v>43397</v>
      </c>
      <c r="P540" s="2765" t="s">
        <v>3422</v>
      </c>
      <c r="Q540" s="2954">
        <v>100.9</v>
      </c>
      <c r="R540" s="76"/>
      <c r="S540" s="1945" t="s">
        <v>731</v>
      </c>
      <c r="T540" s="77" t="s">
        <v>2570</v>
      </c>
      <c r="U540" s="1893"/>
      <c r="V540" s="2079">
        <f t="shared" si="193"/>
        <v>119.062</v>
      </c>
      <c r="W540" s="78">
        <f t="shared" si="194"/>
        <v>0</v>
      </c>
      <c r="X540" s="1878" t="str">
        <f t="shared" si="192"/>
        <v>8.- R WindPower 0671015-OT_251751  Reencauche F101-00017307 IDY3-220</v>
      </c>
      <c r="Z540" s="19" t="str">
        <f t="shared" si="207"/>
        <v>ReencaucheReenc. MASTERCAUCHO</v>
      </c>
    </row>
    <row r="541" spans="2:26" ht="15.2" customHeight="1">
      <c r="B541" s="37"/>
      <c r="E541" s="3038">
        <v>9</v>
      </c>
      <c r="F541" s="2297" t="s">
        <v>723</v>
      </c>
      <c r="G541" s="68" t="s">
        <v>724</v>
      </c>
      <c r="H541" s="69" t="s">
        <v>2100</v>
      </c>
      <c r="I541" s="68" t="s">
        <v>726</v>
      </c>
      <c r="J541" s="70" t="s">
        <v>760</v>
      </c>
      <c r="K541" s="71" t="s">
        <v>3418</v>
      </c>
      <c r="L541" s="72">
        <v>43390</v>
      </c>
      <c r="M541" s="73" t="s">
        <v>729</v>
      </c>
      <c r="N541" s="74">
        <v>43397</v>
      </c>
      <c r="O541" s="75">
        <v>43397</v>
      </c>
      <c r="P541" s="2765" t="s">
        <v>3422</v>
      </c>
      <c r="Q541" s="2954">
        <v>100.9</v>
      </c>
      <c r="R541" s="76"/>
      <c r="S541" s="1945" t="s">
        <v>731</v>
      </c>
      <c r="T541" s="77" t="s">
        <v>2570</v>
      </c>
      <c r="U541" s="1893"/>
      <c r="V541" s="2079">
        <f t="shared" si="193"/>
        <v>119.062</v>
      </c>
      <c r="W541" s="78">
        <f t="shared" si="194"/>
        <v>0</v>
      </c>
      <c r="X541" s="1878" t="str">
        <f t="shared" si="192"/>
        <v>9.- R Aeolus 0340814-OT_251751  Reencauche F101-00017307 IDY3-220</v>
      </c>
      <c r="Z541" s="19" t="str">
        <f t="shared" si="207"/>
        <v>Vulcanizado (curación)Reenc. MASTERCAUCHO</v>
      </c>
    </row>
    <row r="542" spans="2:26" ht="15.2" customHeight="1">
      <c r="B542" s="37"/>
      <c r="E542" s="79">
        <v>10</v>
      </c>
      <c r="F542" s="2908" t="s">
        <v>723</v>
      </c>
      <c r="G542" s="3129" t="s">
        <v>247</v>
      </c>
      <c r="H542" s="2943" t="s">
        <v>3411</v>
      </c>
      <c r="I542" s="2909" t="s">
        <v>726</v>
      </c>
      <c r="J542" s="3130" t="s">
        <v>760</v>
      </c>
      <c r="K542" s="2912" t="s">
        <v>3418</v>
      </c>
      <c r="L542" s="2913">
        <v>43390</v>
      </c>
      <c r="M542" s="2581" t="s">
        <v>729</v>
      </c>
      <c r="N542" s="2582">
        <v>43445</v>
      </c>
      <c r="O542" s="2583">
        <v>43445</v>
      </c>
      <c r="P542" s="2941" t="s">
        <v>3454</v>
      </c>
      <c r="Q542" s="2957">
        <v>100.9</v>
      </c>
      <c r="R542" s="2584"/>
      <c r="S542" s="2585" t="s">
        <v>731</v>
      </c>
      <c r="T542" s="77" t="s">
        <v>2570</v>
      </c>
      <c r="U542" s="1893"/>
      <c r="V542" s="2079">
        <f t="shared" si="193"/>
        <v>119.062</v>
      </c>
      <c r="W542" s="78">
        <f t="shared" si="194"/>
        <v>0</v>
      </c>
      <c r="X542" s="1878" t="str">
        <f t="shared" si="192"/>
        <v>10.- R Double Happines 8341018-OT_251751  Reencauche F101-00018087 IDY3-220</v>
      </c>
      <c r="Z542" s="19" t="str">
        <f t="shared" si="207"/>
        <v>Vulcanizado (curación)Reenc. MASTERCAUCHO</v>
      </c>
    </row>
    <row r="543" spans="2:26" ht="15.2" customHeight="1">
      <c r="B543" s="37"/>
      <c r="E543" s="3020">
        <v>1</v>
      </c>
      <c r="F543" s="2297" t="s">
        <v>723</v>
      </c>
      <c r="G543" s="68" t="s">
        <v>724</v>
      </c>
      <c r="H543" s="69" t="s">
        <v>3394</v>
      </c>
      <c r="I543" s="68" t="s">
        <v>726</v>
      </c>
      <c r="J543" s="70" t="s">
        <v>727</v>
      </c>
      <c r="K543" s="2305" t="s">
        <v>3396</v>
      </c>
      <c r="L543" s="72">
        <v>43388</v>
      </c>
      <c r="M543" s="2306" t="s">
        <v>729</v>
      </c>
      <c r="N543" s="74">
        <v>43392</v>
      </c>
      <c r="O543" s="75">
        <f t="shared" si="208"/>
        <v>43392</v>
      </c>
      <c r="P543" s="2765" t="s">
        <v>3419</v>
      </c>
      <c r="Q543" s="2954"/>
      <c r="R543" s="76">
        <v>279.661</v>
      </c>
      <c r="S543" s="1945" t="s">
        <v>731</v>
      </c>
      <c r="T543" s="77" t="s">
        <v>2712</v>
      </c>
      <c r="U543" s="1893"/>
      <c r="V543" s="2079">
        <f t="shared" si="193"/>
        <v>0</v>
      </c>
      <c r="W543" s="78">
        <f t="shared" si="194"/>
        <v>329.99997999999999</v>
      </c>
      <c r="X543" s="1878" t="str">
        <f t="shared" si="192"/>
        <v>1.- R Aeolus 0400516-OT_009619  Reencauche F001-00000229 MDY-220</v>
      </c>
      <c r="Z543" s="19" t="str">
        <f t="shared" si="207"/>
        <v>ReencaucheReencauchadora RENOVA</v>
      </c>
    </row>
    <row r="544" spans="2:26" ht="15.2" customHeight="1">
      <c r="B544" s="37"/>
      <c r="E544" s="3020">
        <v>2</v>
      </c>
      <c r="F544" s="2297" t="s">
        <v>723</v>
      </c>
      <c r="G544" s="68" t="s">
        <v>724</v>
      </c>
      <c r="H544" s="69" t="s">
        <v>3395</v>
      </c>
      <c r="I544" s="68" t="s">
        <v>811</v>
      </c>
      <c r="J544" s="70" t="s">
        <v>727</v>
      </c>
      <c r="K544" s="71" t="s">
        <v>3396</v>
      </c>
      <c r="L544" s="72">
        <v>43388</v>
      </c>
      <c r="M544" s="2306" t="s">
        <v>729</v>
      </c>
      <c r="N544" s="74">
        <v>43392</v>
      </c>
      <c r="O544" s="75">
        <f t="shared" si="208"/>
        <v>43392</v>
      </c>
      <c r="P544" s="2765" t="s">
        <v>3419</v>
      </c>
      <c r="Q544" s="2954"/>
      <c r="R544" s="76">
        <v>84.745699999999999</v>
      </c>
      <c r="S544" s="1945" t="s">
        <v>731</v>
      </c>
      <c r="T544" s="77" t="s">
        <v>3229</v>
      </c>
      <c r="U544" s="1893"/>
      <c r="V544" s="2079">
        <f t="shared" si="193"/>
        <v>0</v>
      </c>
      <c r="W544" s="78">
        <f t="shared" si="194"/>
        <v>99.999925999999988</v>
      </c>
      <c r="X544" s="1878" t="str">
        <f t="shared" si="192"/>
        <v>2.- R Aeolus 027912-OT_009619  Vulcanizado (curación) F001-00000229 Corte lateral</v>
      </c>
      <c r="Z544" s="19" t="str">
        <f t="shared" si="207"/>
        <v>ReencaucheReencauchadora RENOVA</v>
      </c>
    </row>
    <row r="545" spans="2:26" ht="15.2" customHeight="1">
      <c r="B545" s="37"/>
      <c r="E545" s="79">
        <v>3</v>
      </c>
      <c r="F545" s="2294" t="s">
        <v>723</v>
      </c>
      <c r="G545" s="81" t="s">
        <v>724</v>
      </c>
      <c r="H545" s="82" t="s">
        <v>763</v>
      </c>
      <c r="I545" s="81" t="s">
        <v>811</v>
      </c>
      <c r="J545" s="83" t="s">
        <v>727</v>
      </c>
      <c r="K545" s="84" t="s">
        <v>3396</v>
      </c>
      <c r="L545" s="85">
        <v>43388</v>
      </c>
      <c r="M545" s="2296" t="s">
        <v>729</v>
      </c>
      <c r="N545" s="87">
        <v>43392</v>
      </c>
      <c r="O545" s="88">
        <f t="shared" si="208"/>
        <v>43392</v>
      </c>
      <c r="P545" s="2766" t="s">
        <v>3419</v>
      </c>
      <c r="Q545" s="2955"/>
      <c r="R545" s="89">
        <v>84.745699999999999</v>
      </c>
      <c r="S545" s="1946" t="s">
        <v>731</v>
      </c>
      <c r="T545" s="77" t="s">
        <v>3229</v>
      </c>
      <c r="U545" s="1893"/>
      <c r="V545" s="2079">
        <f t="shared" si="193"/>
        <v>0</v>
      </c>
      <c r="W545" s="78">
        <f t="shared" si="194"/>
        <v>99.999925999999988</v>
      </c>
      <c r="X545" s="1878" t="str">
        <f t="shared" si="192"/>
        <v>3.- R Aeolus 0431114-OT_009619  Vulcanizado (curación) F001-00000229 Corte lateral</v>
      </c>
      <c r="Z545" s="19" t="str">
        <f t="shared" si="207"/>
        <v>ReencaucheReencauchadora RENOVA</v>
      </c>
    </row>
    <row r="546" spans="2:26" ht="15.2" customHeight="1">
      <c r="B546" s="37"/>
      <c r="E546" s="3020">
        <v>1</v>
      </c>
      <c r="F546" s="2297" t="s">
        <v>723</v>
      </c>
      <c r="G546" s="68" t="s">
        <v>737</v>
      </c>
      <c r="H546" s="69" t="s">
        <v>3387</v>
      </c>
      <c r="I546" s="68" t="s">
        <v>726</v>
      </c>
      <c r="J546" s="70" t="s">
        <v>760</v>
      </c>
      <c r="K546" s="2305" t="s">
        <v>3393</v>
      </c>
      <c r="L546" s="72">
        <v>43383</v>
      </c>
      <c r="M546" s="2306" t="s">
        <v>729</v>
      </c>
      <c r="N546" s="74">
        <v>43390</v>
      </c>
      <c r="O546" s="75">
        <f t="shared" si="208"/>
        <v>43390</v>
      </c>
      <c r="P546" s="2765" t="s">
        <v>3421</v>
      </c>
      <c r="Q546" s="2954">
        <v>100.9</v>
      </c>
      <c r="R546" s="76"/>
      <c r="S546" s="1945" t="s">
        <v>731</v>
      </c>
      <c r="T546" s="77" t="s">
        <v>2570</v>
      </c>
      <c r="U546" s="1893"/>
      <c r="V546" s="2079">
        <f t="shared" si="193"/>
        <v>119.062</v>
      </c>
      <c r="W546" s="78">
        <f t="shared" si="194"/>
        <v>0</v>
      </c>
      <c r="X546" s="1878" t="str">
        <f t="shared" ref="X546:X609" si="209">CONCATENATE(E546,".- ",F546," ",G546," ",H546,"-OT_",K546," "," ",I546," ",P546," ",T546)</f>
        <v>1.- R Vikrant 0930917-OT_252130  Reencauche F101-00017202 IDY3-220</v>
      </c>
      <c r="Z546" s="19" t="str">
        <f t="shared" si="190"/>
        <v>ReencaucheReencauchadora RENOVA</v>
      </c>
    </row>
    <row r="547" spans="2:26" ht="15.2" customHeight="1">
      <c r="B547" s="37"/>
      <c r="E547" s="3020">
        <v>2</v>
      </c>
      <c r="F547" s="2297" t="s">
        <v>723</v>
      </c>
      <c r="G547" s="68" t="s">
        <v>724</v>
      </c>
      <c r="H547" s="69" t="s">
        <v>3388</v>
      </c>
      <c r="I547" s="68" t="s">
        <v>726</v>
      </c>
      <c r="J547" s="70" t="s">
        <v>760</v>
      </c>
      <c r="K547" s="71" t="s">
        <v>3393</v>
      </c>
      <c r="L547" s="72">
        <v>43383</v>
      </c>
      <c r="M547" s="2306" t="s">
        <v>729</v>
      </c>
      <c r="N547" s="74">
        <v>43390</v>
      </c>
      <c r="O547" s="75">
        <f t="shared" si="208"/>
        <v>43390</v>
      </c>
      <c r="P547" s="2765" t="s">
        <v>3421</v>
      </c>
      <c r="Q547" s="2954">
        <v>100.9</v>
      </c>
      <c r="R547" s="76"/>
      <c r="S547" s="1945" t="s">
        <v>731</v>
      </c>
      <c r="T547" s="77" t="s">
        <v>2570</v>
      </c>
      <c r="U547" s="1893"/>
      <c r="V547" s="2079">
        <f t="shared" ref="V547:V610" si="210">+Q547*(1.18)</f>
        <v>119.062</v>
      </c>
      <c r="W547" s="78">
        <f t="shared" ref="W547:W610" si="211">+R547*(1.18)</f>
        <v>0</v>
      </c>
      <c r="X547" s="1878" t="str">
        <f t="shared" si="209"/>
        <v>2.- R Aeolus 0280215-OT_252130  Reencauche F101-00017202 IDY3-220</v>
      </c>
      <c r="Z547" s="19" t="str">
        <f t="shared" si="190"/>
        <v>ReencaucheReencauchadora RENOVA</v>
      </c>
    </row>
    <row r="548" spans="2:26" ht="15.2" customHeight="1">
      <c r="B548" s="37"/>
      <c r="E548" s="3020">
        <v>3</v>
      </c>
      <c r="F548" s="2297" t="s">
        <v>723</v>
      </c>
      <c r="G548" s="68" t="s">
        <v>724</v>
      </c>
      <c r="H548" s="69" t="s">
        <v>3389</v>
      </c>
      <c r="I548" s="68" t="s">
        <v>726</v>
      </c>
      <c r="J548" s="70" t="s">
        <v>760</v>
      </c>
      <c r="K548" s="71" t="s">
        <v>3393</v>
      </c>
      <c r="L548" s="72">
        <v>43383</v>
      </c>
      <c r="M548" s="2306" t="s">
        <v>729</v>
      </c>
      <c r="N548" s="74">
        <v>43390</v>
      </c>
      <c r="O548" s="75">
        <f t="shared" si="208"/>
        <v>43390</v>
      </c>
      <c r="P548" s="2765" t="s">
        <v>3421</v>
      </c>
      <c r="Q548" s="2954">
        <v>100.9</v>
      </c>
      <c r="R548" s="76"/>
      <c r="S548" s="1945" t="s">
        <v>731</v>
      </c>
      <c r="T548" s="77" t="s">
        <v>2570</v>
      </c>
      <c r="U548" s="1893"/>
      <c r="V548" s="2079">
        <f t="shared" si="210"/>
        <v>119.062</v>
      </c>
      <c r="W548" s="78">
        <f t="shared" si="211"/>
        <v>0</v>
      </c>
      <c r="X548" s="1878" t="str">
        <f t="shared" si="209"/>
        <v>3.- R Aeolus 0240215-OT_252130  Reencauche F101-00017202 IDY3-220</v>
      </c>
      <c r="Z548" s="19" t="str">
        <f t="shared" si="190"/>
        <v>ReencaucheReencauchadora RENOVA</v>
      </c>
    </row>
    <row r="549" spans="2:26" ht="15.2" customHeight="1">
      <c r="B549" s="37"/>
      <c r="E549" s="3017">
        <v>4</v>
      </c>
      <c r="F549" s="2297" t="s">
        <v>723</v>
      </c>
      <c r="G549" s="68" t="s">
        <v>737</v>
      </c>
      <c r="H549" s="69" t="s">
        <v>3390</v>
      </c>
      <c r="I549" s="68" t="s">
        <v>726</v>
      </c>
      <c r="J549" s="70" t="s">
        <v>760</v>
      </c>
      <c r="K549" s="71" t="s">
        <v>3393</v>
      </c>
      <c r="L549" s="72">
        <v>43383</v>
      </c>
      <c r="M549" s="2306" t="s">
        <v>729</v>
      </c>
      <c r="N549" s="74">
        <v>43390</v>
      </c>
      <c r="O549" s="75">
        <f t="shared" si="191"/>
        <v>43390</v>
      </c>
      <c r="P549" s="2765" t="s">
        <v>3421</v>
      </c>
      <c r="Q549" s="2954">
        <v>100.9</v>
      </c>
      <c r="R549" s="76"/>
      <c r="S549" s="1945" t="s">
        <v>731</v>
      </c>
      <c r="T549" s="77" t="s">
        <v>2570</v>
      </c>
      <c r="U549" s="1893"/>
      <c r="V549" s="2079">
        <f t="shared" si="210"/>
        <v>119.062</v>
      </c>
      <c r="W549" s="78">
        <f t="shared" si="211"/>
        <v>0</v>
      </c>
      <c r="X549" s="1878" t="str">
        <f t="shared" si="209"/>
        <v>4.- R Vikrant 0940917-OT_252130  Reencauche F101-00017202 IDY3-220</v>
      </c>
      <c r="Z549" s="19" t="str">
        <f t="shared" si="190"/>
        <v>ReencaucheReenc. MASTERCAUCHO</v>
      </c>
    </row>
    <row r="550" spans="2:26" ht="15.2" customHeight="1">
      <c r="B550" s="37"/>
      <c r="E550" s="3017">
        <v>5</v>
      </c>
      <c r="F550" s="2297" t="s">
        <v>723</v>
      </c>
      <c r="G550" s="68" t="s">
        <v>737</v>
      </c>
      <c r="H550" s="69" t="s">
        <v>3391</v>
      </c>
      <c r="I550" s="68" t="s">
        <v>726</v>
      </c>
      <c r="J550" s="70" t="s">
        <v>760</v>
      </c>
      <c r="K550" s="71" t="s">
        <v>3393</v>
      </c>
      <c r="L550" s="72">
        <v>43383</v>
      </c>
      <c r="M550" s="2306" t="s">
        <v>729</v>
      </c>
      <c r="N550" s="74">
        <v>43390</v>
      </c>
      <c r="O550" s="75">
        <f t="shared" si="191"/>
        <v>43390</v>
      </c>
      <c r="P550" s="2765" t="s">
        <v>3421</v>
      </c>
      <c r="Q550" s="2954">
        <v>100.9</v>
      </c>
      <c r="R550" s="76"/>
      <c r="S550" s="1945" t="s">
        <v>731</v>
      </c>
      <c r="T550" s="77" t="s">
        <v>2570</v>
      </c>
      <c r="U550" s="1893"/>
      <c r="V550" s="2079">
        <f t="shared" si="210"/>
        <v>119.062</v>
      </c>
      <c r="W550" s="78">
        <f t="shared" si="211"/>
        <v>0</v>
      </c>
      <c r="X550" s="1878" t="str">
        <f t="shared" si="209"/>
        <v>5.- R Vikrant 0950917-OT_252130  Reencauche F101-00017202 IDY3-220</v>
      </c>
      <c r="Z550" s="19" t="str">
        <f t="shared" si="190"/>
        <v>Vulcanizado (curación)Reenc. MASTERCAUCHO</v>
      </c>
    </row>
    <row r="551" spans="2:26" ht="15.2" customHeight="1">
      <c r="B551" s="37"/>
      <c r="E551" s="79">
        <v>6</v>
      </c>
      <c r="F551" s="2294" t="s">
        <v>723</v>
      </c>
      <c r="G551" s="81" t="s">
        <v>737</v>
      </c>
      <c r="H551" s="82" t="s">
        <v>3392</v>
      </c>
      <c r="I551" s="81" t="s">
        <v>726</v>
      </c>
      <c r="J551" s="83" t="s">
        <v>760</v>
      </c>
      <c r="K551" s="84" t="s">
        <v>3393</v>
      </c>
      <c r="L551" s="85">
        <v>43383</v>
      </c>
      <c r="M551" s="2296" t="s">
        <v>729</v>
      </c>
      <c r="N551" s="87">
        <v>43390</v>
      </c>
      <c r="O551" s="88">
        <f t="shared" si="191"/>
        <v>43390</v>
      </c>
      <c r="P551" s="2766" t="s">
        <v>3421</v>
      </c>
      <c r="Q551" s="2955">
        <v>100.9</v>
      </c>
      <c r="R551" s="89"/>
      <c r="S551" s="1946" t="s">
        <v>731</v>
      </c>
      <c r="T551" s="77" t="s">
        <v>2570</v>
      </c>
      <c r="U551" s="1893"/>
      <c r="V551" s="2079">
        <f t="shared" si="210"/>
        <v>119.062</v>
      </c>
      <c r="W551" s="78">
        <f t="shared" si="211"/>
        <v>0</v>
      </c>
      <c r="X551" s="1878" t="str">
        <f t="shared" si="209"/>
        <v>6.- R Vikrant 0920917-OT_252130  Reencauche F101-00017202 IDY3-220</v>
      </c>
      <c r="Z551" s="19" t="str">
        <f t="shared" ref="Z551" si="212">CONCATENATE(I554,J554)</f>
        <v>Casc 2a trnsplReenc. MASTERCAUCHO</v>
      </c>
    </row>
    <row r="552" spans="2:26" ht="15.2" customHeight="1">
      <c r="B552" s="37"/>
      <c r="E552" s="3017">
        <v>1</v>
      </c>
      <c r="F552" s="2297" t="s">
        <v>2825</v>
      </c>
      <c r="G552" s="68" t="s">
        <v>724</v>
      </c>
      <c r="H552" s="69" t="s">
        <v>3377</v>
      </c>
      <c r="I552" s="68" t="s">
        <v>726</v>
      </c>
      <c r="J552" s="70" t="s">
        <v>727</v>
      </c>
      <c r="K552" s="2305" t="s">
        <v>3378</v>
      </c>
      <c r="L552" s="72">
        <v>43378</v>
      </c>
      <c r="M552" s="2306" t="s">
        <v>729</v>
      </c>
      <c r="N552" s="74">
        <v>43385</v>
      </c>
      <c r="O552" s="75">
        <f t="shared" si="191"/>
        <v>43385</v>
      </c>
      <c r="P552" s="2765" t="s">
        <v>3381</v>
      </c>
      <c r="Q552" s="2954"/>
      <c r="R552" s="76">
        <v>542.37279999999998</v>
      </c>
      <c r="S552" s="1945" t="s">
        <v>731</v>
      </c>
      <c r="T552" s="77" t="s">
        <v>3191</v>
      </c>
      <c r="U552" s="1893"/>
      <c r="V552" s="2079">
        <f t="shared" si="210"/>
        <v>0</v>
      </c>
      <c r="W552" s="78">
        <f t="shared" si="211"/>
        <v>639.9999039999999</v>
      </c>
      <c r="X552" s="1878" t="str">
        <f t="shared" si="209"/>
        <v>1.- B Aeolus 0841116-OT_010402  Reencauche F001-00000166 TZY3-330</v>
      </c>
      <c r="Z552" s="19" t="str">
        <f t="shared" si="190"/>
        <v>Sacar_BandaReenc. MASTERCAUCHO</v>
      </c>
    </row>
    <row r="553" spans="2:26" ht="15.2" customHeight="1">
      <c r="B553" s="37"/>
      <c r="E553" s="3017">
        <v>2</v>
      </c>
      <c r="F553" s="2297" t="s">
        <v>723</v>
      </c>
      <c r="G553" s="68" t="s">
        <v>724</v>
      </c>
      <c r="H553" s="69" t="s">
        <v>749</v>
      </c>
      <c r="I553" s="68" t="s">
        <v>811</v>
      </c>
      <c r="J553" s="70" t="s">
        <v>727</v>
      </c>
      <c r="K553" s="71" t="s">
        <v>3378</v>
      </c>
      <c r="L553" s="72">
        <v>43378</v>
      </c>
      <c r="M553" s="2306" t="s">
        <v>729</v>
      </c>
      <c r="N553" s="74">
        <v>43385</v>
      </c>
      <c r="O553" s="75">
        <f t="shared" si="191"/>
        <v>43385</v>
      </c>
      <c r="P553" s="2765" t="s">
        <v>3381</v>
      </c>
      <c r="Q553" s="2954"/>
      <c r="R553" s="76">
        <v>84.745699999999999</v>
      </c>
      <c r="S553" s="1945" t="s">
        <v>731</v>
      </c>
      <c r="T553" s="77" t="s">
        <v>3229</v>
      </c>
      <c r="U553" s="1893"/>
      <c r="V553" s="2079">
        <f t="shared" si="210"/>
        <v>0</v>
      </c>
      <c r="W553" s="78">
        <f t="shared" si="211"/>
        <v>99.999925999999988</v>
      </c>
      <c r="X553" s="1878" t="str">
        <f t="shared" si="209"/>
        <v>2.- R Aeolus 0200413-OT_010402  Vulcanizado (curación) F001-00000166 Corte lateral</v>
      </c>
      <c r="Z553" s="19" t="str">
        <f t="shared" si="190"/>
        <v>ReencaucheReencauchadora RENOVA</v>
      </c>
    </row>
    <row r="554" spans="2:26" ht="15.2" customHeight="1">
      <c r="B554" s="37"/>
      <c r="E554" s="3022">
        <v>3</v>
      </c>
      <c r="F554" s="2297" t="s">
        <v>723</v>
      </c>
      <c r="G554" s="68" t="s">
        <v>3382</v>
      </c>
      <c r="H554" s="69" t="s">
        <v>3386</v>
      </c>
      <c r="I554" s="68" t="s">
        <v>3224</v>
      </c>
      <c r="J554" s="70" t="s">
        <v>727</v>
      </c>
      <c r="K554" s="2305" t="s">
        <v>857</v>
      </c>
      <c r="L554" s="72"/>
      <c r="M554" s="2306" t="s">
        <v>729</v>
      </c>
      <c r="N554" s="74">
        <v>43385</v>
      </c>
      <c r="O554" s="75">
        <f t="shared" ref="O554" si="213">+N554</f>
        <v>43385</v>
      </c>
      <c r="P554" s="2765" t="s">
        <v>3381</v>
      </c>
      <c r="Q554" s="2954"/>
      <c r="R554" s="76">
        <v>211.86439999999999</v>
      </c>
      <c r="S554" s="1945" t="s">
        <v>731</v>
      </c>
      <c r="T554" s="77" t="s">
        <v>3385</v>
      </c>
      <c r="U554" s="1893"/>
      <c r="V554" s="2079">
        <f t="shared" si="210"/>
        <v>0</v>
      </c>
      <c r="W554" s="78">
        <f t="shared" si="211"/>
        <v>249.99999199999996</v>
      </c>
      <c r="X554" s="1878" t="str">
        <f t="shared" si="209"/>
        <v>3.- R Full Run 8321018-OT_S/D  Casc 2a trnspl F001-00000166 8321018 Full Run TB875 2816 China</v>
      </c>
      <c r="Z554" s="19" t="str">
        <f t="shared" si="190"/>
        <v>ReencaucheReencauchadora RENOVA</v>
      </c>
    </row>
    <row r="555" spans="2:26" ht="15.2" customHeight="1">
      <c r="B555" s="37"/>
      <c r="E555" s="79">
        <v>4</v>
      </c>
      <c r="F555" s="2575" t="s">
        <v>732</v>
      </c>
      <c r="G555" s="2576" t="s">
        <v>733</v>
      </c>
      <c r="H555" s="2577" t="s">
        <v>1160</v>
      </c>
      <c r="I555" s="2576" t="s">
        <v>744</v>
      </c>
      <c r="J555" s="2578" t="s">
        <v>727</v>
      </c>
      <c r="K555" s="2579" t="s">
        <v>3378</v>
      </c>
      <c r="L555" s="2580">
        <v>43378</v>
      </c>
      <c r="M555" s="2581" t="s">
        <v>729</v>
      </c>
      <c r="N555" s="2582">
        <v>43392</v>
      </c>
      <c r="O555" s="2583">
        <f t="shared" si="191"/>
        <v>43392</v>
      </c>
      <c r="P555" s="2774" t="s">
        <v>3420</v>
      </c>
      <c r="Q555" s="2965"/>
      <c r="R555" s="113"/>
      <c r="S555" s="1946" t="s">
        <v>731</v>
      </c>
      <c r="T555" s="77" t="s">
        <v>2753</v>
      </c>
      <c r="U555" s="1893"/>
      <c r="V555" s="2079">
        <f t="shared" si="210"/>
        <v>0</v>
      </c>
      <c r="W555" s="78">
        <f t="shared" si="211"/>
        <v>0</v>
      </c>
      <c r="X555" s="1878" t="str">
        <f t="shared" si="209"/>
        <v>4.- C Lima Caucho 0931010-OT_010402  Sacar_Banda EG01-38 Casco pelado</v>
      </c>
      <c r="Z555" s="19" t="str">
        <f t="shared" si="190"/>
        <v>ReencaucheReencauchadora RENOVA</v>
      </c>
    </row>
    <row r="556" spans="2:26" ht="15.2" customHeight="1">
      <c r="B556" s="37"/>
      <c r="E556" s="3017">
        <v>1</v>
      </c>
      <c r="F556" s="2297" t="s">
        <v>2825</v>
      </c>
      <c r="G556" s="68" t="s">
        <v>724</v>
      </c>
      <c r="H556" s="69" t="s">
        <v>3371</v>
      </c>
      <c r="I556" s="68" t="s">
        <v>726</v>
      </c>
      <c r="J556" s="70" t="s">
        <v>760</v>
      </c>
      <c r="K556" s="2305" t="s">
        <v>3376</v>
      </c>
      <c r="L556" s="72">
        <v>43376</v>
      </c>
      <c r="M556" s="73" t="s">
        <v>729</v>
      </c>
      <c r="N556" s="74">
        <v>43383</v>
      </c>
      <c r="O556" s="75">
        <v>43383</v>
      </c>
      <c r="P556" s="2765" t="s">
        <v>3380</v>
      </c>
      <c r="Q556" s="2954">
        <v>164.06</v>
      </c>
      <c r="R556" s="76"/>
      <c r="S556" s="1945" t="s">
        <v>731</v>
      </c>
      <c r="T556" s="77" t="s">
        <v>2728</v>
      </c>
      <c r="U556" s="1893"/>
      <c r="V556" s="2079">
        <f t="shared" si="210"/>
        <v>193.5908</v>
      </c>
      <c r="W556" s="78">
        <f t="shared" si="211"/>
        <v>0</v>
      </c>
      <c r="X556" s="1878" t="str">
        <f t="shared" si="209"/>
        <v>1.- B Aeolus 0851116-OT_252114  Reencauche F101-00017091 LZY3-325 425/65/22.5</v>
      </c>
      <c r="Z556" s="19" t="str">
        <f t="shared" si="190"/>
        <v>ReencaucheReencauchadora RENOVA</v>
      </c>
    </row>
    <row r="557" spans="2:26" ht="15.2" customHeight="1">
      <c r="B557" s="37"/>
      <c r="E557" s="3017">
        <v>2</v>
      </c>
      <c r="F557" s="2297" t="s">
        <v>723</v>
      </c>
      <c r="G557" s="68" t="s">
        <v>724</v>
      </c>
      <c r="H557" s="69" t="s">
        <v>3373</v>
      </c>
      <c r="I557" s="68" t="s">
        <v>726</v>
      </c>
      <c r="J557" s="70" t="s">
        <v>760</v>
      </c>
      <c r="K557" s="71" t="s">
        <v>3376</v>
      </c>
      <c r="L557" s="72">
        <v>43376</v>
      </c>
      <c r="M557" s="2306" t="s">
        <v>729</v>
      </c>
      <c r="N557" s="74">
        <v>43383</v>
      </c>
      <c r="O557" s="75">
        <f t="shared" si="191"/>
        <v>43383</v>
      </c>
      <c r="P557" s="2765" t="s">
        <v>3380</v>
      </c>
      <c r="Q557" s="2954">
        <v>100.9</v>
      </c>
      <c r="R557" s="76"/>
      <c r="S557" s="1945" t="s">
        <v>731</v>
      </c>
      <c r="T557" s="77" t="s">
        <v>2570</v>
      </c>
      <c r="U557" s="1893"/>
      <c r="V557" s="2079">
        <f t="shared" si="210"/>
        <v>119.062</v>
      </c>
      <c r="W557" s="78">
        <f t="shared" si="211"/>
        <v>0</v>
      </c>
      <c r="X557" s="1878" t="str">
        <f t="shared" si="209"/>
        <v>2.- R Aeolus 0090115-OT_252114  Reencauche F101-00017091 IDY3-220</v>
      </c>
      <c r="Z557" s="19" t="str">
        <f>CONCATENATE(I560,J560)</f>
        <v>ReencaucheReencauchadora RENOVA</v>
      </c>
    </row>
    <row r="558" spans="2:26" ht="15.2" customHeight="1">
      <c r="B558" s="37"/>
      <c r="E558" s="3017">
        <v>3</v>
      </c>
      <c r="F558" s="2297" t="s">
        <v>723</v>
      </c>
      <c r="G558" s="68" t="s">
        <v>737</v>
      </c>
      <c r="H558" s="69" t="s">
        <v>3374</v>
      </c>
      <c r="I558" s="68" t="s">
        <v>726</v>
      </c>
      <c r="J558" s="70" t="s">
        <v>760</v>
      </c>
      <c r="K558" s="71" t="s">
        <v>3376</v>
      </c>
      <c r="L558" s="72">
        <v>43376</v>
      </c>
      <c r="M558" s="2306" t="s">
        <v>729</v>
      </c>
      <c r="N558" s="74">
        <v>43383</v>
      </c>
      <c r="O558" s="75">
        <f t="shared" ref="O558" si="214">+N558</f>
        <v>43383</v>
      </c>
      <c r="P558" s="2765" t="s">
        <v>3380</v>
      </c>
      <c r="Q558" s="2954">
        <v>100.9</v>
      </c>
      <c r="R558" s="76"/>
      <c r="S558" s="1945" t="s">
        <v>731</v>
      </c>
      <c r="T558" s="77" t="s">
        <v>2570</v>
      </c>
      <c r="U558" s="1893"/>
      <c r="V558" s="2079">
        <f t="shared" si="210"/>
        <v>119.062</v>
      </c>
      <c r="W558" s="78">
        <f t="shared" si="211"/>
        <v>0</v>
      </c>
      <c r="X558" s="1878" t="str">
        <f t="shared" si="209"/>
        <v>3.- R Vikrant 0760717-OT_252114  Reencauche F101-00017091 IDY3-220</v>
      </c>
      <c r="Z558" s="19" t="str">
        <f t="shared" si="190"/>
        <v>Vulcanizado (curación)Reenc. MASTERCAUCHO</v>
      </c>
    </row>
    <row r="559" spans="2:26" ht="15.2" customHeight="1">
      <c r="B559" s="37"/>
      <c r="E559" s="3021">
        <v>4</v>
      </c>
      <c r="F559" s="2297" t="s">
        <v>723</v>
      </c>
      <c r="G559" s="68" t="s">
        <v>737</v>
      </c>
      <c r="H559" s="69" t="s">
        <v>3375</v>
      </c>
      <c r="I559" s="68" t="s">
        <v>726</v>
      </c>
      <c r="J559" s="70" t="s">
        <v>760</v>
      </c>
      <c r="K559" s="71" t="s">
        <v>3376</v>
      </c>
      <c r="L559" s="72">
        <v>43376</v>
      </c>
      <c r="M559" s="2306" t="s">
        <v>729</v>
      </c>
      <c r="N559" s="74">
        <v>43383</v>
      </c>
      <c r="O559" s="75">
        <f t="shared" si="191"/>
        <v>43383</v>
      </c>
      <c r="P559" s="2765" t="s">
        <v>3380</v>
      </c>
      <c r="Q559" s="2954">
        <v>100.9</v>
      </c>
      <c r="R559" s="76"/>
      <c r="S559" s="1945" t="s">
        <v>731</v>
      </c>
      <c r="T559" s="77" t="s">
        <v>2570</v>
      </c>
      <c r="U559" s="1893"/>
      <c r="V559" s="2079">
        <f t="shared" si="210"/>
        <v>119.062</v>
      </c>
      <c r="W559" s="78">
        <f t="shared" si="211"/>
        <v>0</v>
      </c>
      <c r="X559" s="1878" t="str">
        <f t="shared" si="209"/>
        <v>4.- R Vikrant 0770717-OT_252114  Reencauche F101-00017091 IDY3-220</v>
      </c>
      <c r="Z559" s="19" t="str">
        <f t="shared" si="190"/>
        <v>Vulcanizado (curación)Reenc. MASTERCAUCHO</v>
      </c>
    </row>
    <row r="560" spans="2:26" ht="15.2" customHeight="1">
      <c r="B560" s="37"/>
      <c r="E560" s="79">
        <v>5</v>
      </c>
      <c r="F560" s="2294" t="s">
        <v>723</v>
      </c>
      <c r="G560" s="81" t="s">
        <v>724</v>
      </c>
      <c r="H560" s="82" t="s">
        <v>3372</v>
      </c>
      <c r="I560" s="81" t="s">
        <v>726</v>
      </c>
      <c r="J560" s="83" t="s">
        <v>760</v>
      </c>
      <c r="K560" s="84" t="s">
        <v>3376</v>
      </c>
      <c r="L560" s="85">
        <v>43376</v>
      </c>
      <c r="M560" s="2296" t="s">
        <v>729</v>
      </c>
      <c r="N560" s="87">
        <v>43383</v>
      </c>
      <c r="O560" s="88">
        <f>+N560</f>
        <v>43383</v>
      </c>
      <c r="P560" s="2766" t="s">
        <v>3379</v>
      </c>
      <c r="Q560" s="2955">
        <v>0</v>
      </c>
      <c r="R560" s="89"/>
      <c r="S560" s="1945" t="s">
        <v>731</v>
      </c>
      <c r="T560" s="2900" t="s">
        <v>3258</v>
      </c>
      <c r="U560" s="1893"/>
      <c r="V560" s="2079">
        <f t="shared" si="210"/>
        <v>0</v>
      </c>
      <c r="W560" s="78">
        <f t="shared" si="211"/>
        <v>0</v>
      </c>
      <c r="X560" s="1878" t="str">
        <f t="shared" si="209"/>
        <v>5.- R Aeolus 02792-OT_252114  Reencauche G030-0076040 Rechazada x pestaña dañada</v>
      </c>
      <c r="Z560" s="19" t="str">
        <f t="shared" si="190"/>
        <v>ReencaucheReenc. MASTERCAUCHO</v>
      </c>
    </row>
    <row r="561" spans="2:26" ht="15.2" customHeight="1">
      <c r="B561" s="37"/>
      <c r="E561" s="3017">
        <v>1</v>
      </c>
      <c r="F561" s="2297" t="s">
        <v>723</v>
      </c>
      <c r="G561" s="68" t="s">
        <v>724</v>
      </c>
      <c r="H561" s="69" t="s">
        <v>2854</v>
      </c>
      <c r="I561" s="68" t="s">
        <v>811</v>
      </c>
      <c r="J561" s="70" t="s">
        <v>727</v>
      </c>
      <c r="K561" s="2305" t="s">
        <v>3367</v>
      </c>
      <c r="L561" s="72">
        <v>43368</v>
      </c>
      <c r="M561" s="2306" t="s">
        <v>729</v>
      </c>
      <c r="N561" s="74">
        <v>43375</v>
      </c>
      <c r="O561" s="75">
        <f t="shared" si="191"/>
        <v>43375</v>
      </c>
      <c r="P561" s="2765" t="s">
        <v>3369</v>
      </c>
      <c r="Q561" s="2954"/>
      <c r="R561" s="76">
        <v>84.745699999999999</v>
      </c>
      <c r="S561" s="1945" t="s">
        <v>731</v>
      </c>
      <c r="T561" s="77" t="s">
        <v>3229</v>
      </c>
      <c r="U561" s="1893"/>
      <c r="V561" s="2079">
        <f t="shared" si="210"/>
        <v>0</v>
      </c>
      <c r="W561" s="78">
        <f t="shared" si="211"/>
        <v>99.999925999999988</v>
      </c>
      <c r="X561" s="1878" t="str">
        <f t="shared" si="209"/>
        <v>1.- R Aeolus 0180114-OT_009953  Vulcanizado (curación) F001-00000076 Corte lateral</v>
      </c>
      <c r="Z561" s="19" t="str">
        <f t="shared" ref="Z561:Z621" si="215">CONCATENATE(I564,J564)</f>
        <v>ReencaucheReencauchadora RENOVA</v>
      </c>
    </row>
    <row r="562" spans="2:26" ht="15.2" customHeight="1">
      <c r="B562" s="37"/>
      <c r="E562" s="3017">
        <v>2</v>
      </c>
      <c r="F562" s="2297" t="s">
        <v>723</v>
      </c>
      <c r="G562" s="68" t="s">
        <v>737</v>
      </c>
      <c r="H562" s="69" t="s">
        <v>3173</v>
      </c>
      <c r="I562" s="68" t="s">
        <v>811</v>
      </c>
      <c r="J562" s="70" t="s">
        <v>727</v>
      </c>
      <c r="K562" s="71" t="s">
        <v>3367</v>
      </c>
      <c r="L562" s="72">
        <v>43368</v>
      </c>
      <c r="M562" s="2306" t="s">
        <v>729</v>
      </c>
      <c r="N562" s="74">
        <v>43375</v>
      </c>
      <c r="O562" s="75">
        <f t="shared" ref="O562:O563" si="216">+N562</f>
        <v>43375</v>
      </c>
      <c r="P562" s="2765" t="s">
        <v>3369</v>
      </c>
      <c r="Q562" s="2954"/>
      <c r="R562" s="76">
        <v>84.745699999999999</v>
      </c>
      <c r="S562" s="1945" t="s">
        <v>731</v>
      </c>
      <c r="T562" s="77" t="s">
        <v>3229</v>
      </c>
      <c r="U562" s="1893"/>
      <c r="V562" s="2079">
        <f t="shared" si="210"/>
        <v>0</v>
      </c>
      <c r="W562" s="78">
        <f t="shared" si="211"/>
        <v>99.999925999999988</v>
      </c>
      <c r="X562" s="1878" t="str">
        <f t="shared" si="209"/>
        <v>2.- R Vikrant 0280217-OT_009953  Vulcanizado (curación) F001-00000076 Corte lateral</v>
      </c>
      <c r="Z562" s="19" t="str">
        <f t="shared" si="215"/>
        <v>ReencaucheReencauchadora RENOVA</v>
      </c>
    </row>
    <row r="563" spans="2:26" ht="15.2" customHeight="1">
      <c r="B563" s="37"/>
      <c r="E563" s="79">
        <v>3</v>
      </c>
      <c r="F563" s="2294" t="s">
        <v>732</v>
      </c>
      <c r="G563" s="81" t="s">
        <v>737</v>
      </c>
      <c r="H563" s="82" t="s">
        <v>1494</v>
      </c>
      <c r="I563" s="81" t="s">
        <v>726</v>
      </c>
      <c r="J563" s="83" t="s">
        <v>727</v>
      </c>
      <c r="K563" s="84" t="s">
        <v>3367</v>
      </c>
      <c r="L563" s="85">
        <v>43368</v>
      </c>
      <c r="M563" s="2296" t="s">
        <v>729</v>
      </c>
      <c r="N563" s="87">
        <v>43375</v>
      </c>
      <c r="O563" s="88">
        <f t="shared" si="216"/>
        <v>43375</v>
      </c>
      <c r="P563" s="2766" t="s">
        <v>3369</v>
      </c>
      <c r="Q563" s="2955"/>
      <c r="R563" s="89">
        <v>262.71179999999998</v>
      </c>
      <c r="S563" s="1946" t="s">
        <v>731</v>
      </c>
      <c r="T563" s="77" t="s">
        <v>3370</v>
      </c>
      <c r="U563" s="1893"/>
      <c r="V563" s="2079">
        <f t="shared" si="210"/>
        <v>0</v>
      </c>
      <c r="W563" s="78">
        <f t="shared" si="211"/>
        <v>309.99992399999996</v>
      </c>
      <c r="X563" s="1878" t="str">
        <f t="shared" si="209"/>
        <v>3.- C Vikrant 0690906-OT_009953  Reencauche F001-00000076 ZB-210</v>
      </c>
      <c r="Z563" s="19" t="str">
        <f t="shared" ref="Z563:Z599" si="217">CONCATENATE(I566,J566)</f>
        <v>ReencaucheReencauchadora RENOVA</v>
      </c>
    </row>
    <row r="564" spans="2:26" ht="15.2" customHeight="1">
      <c r="B564" s="37"/>
      <c r="E564" s="2949">
        <v>1</v>
      </c>
      <c r="F564" s="2297" t="s">
        <v>723</v>
      </c>
      <c r="G564" s="68" t="s">
        <v>737</v>
      </c>
      <c r="H564" s="69" t="s">
        <v>2660</v>
      </c>
      <c r="I564" s="68" t="s">
        <v>726</v>
      </c>
      <c r="J564" s="70" t="s">
        <v>760</v>
      </c>
      <c r="K564" s="2305" t="s">
        <v>3366</v>
      </c>
      <c r="L564" s="72">
        <v>43363</v>
      </c>
      <c r="M564" s="2306" t="s">
        <v>729</v>
      </c>
      <c r="N564" s="74">
        <v>43370</v>
      </c>
      <c r="O564" s="75">
        <f t="shared" ref="O564:O624" si="218">+N564</f>
        <v>43370</v>
      </c>
      <c r="P564" s="2765" t="s">
        <v>3368</v>
      </c>
      <c r="Q564" s="76">
        <v>100.9</v>
      </c>
      <c r="R564" s="76"/>
      <c r="S564" s="1945" t="s">
        <v>731</v>
      </c>
      <c r="T564" s="77" t="s">
        <v>2570</v>
      </c>
      <c r="U564" s="1893"/>
      <c r="V564" s="2079">
        <f t="shared" si="210"/>
        <v>119.062</v>
      </c>
      <c r="W564" s="78">
        <f t="shared" si="211"/>
        <v>0</v>
      </c>
      <c r="X564" s="1878" t="str">
        <f t="shared" si="209"/>
        <v>1.- R Vikrant 0030117-OT_251247  Reencauche F101-00016876 IDY3-220</v>
      </c>
      <c r="Z564" s="19" t="str">
        <f t="shared" si="217"/>
        <v>ReencaucheReencauchadora RENOVA</v>
      </c>
    </row>
    <row r="565" spans="2:26" ht="15.2" customHeight="1">
      <c r="B565" s="37"/>
      <c r="E565" s="2949">
        <v>2</v>
      </c>
      <c r="F565" s="2297" t="s">
        <v>723</v>
      </c>
      <c r="G565" s="68" t="s">
        <v>724</v>
      </c>
      <c r="H565" s="69" t="s">
        <v>2204</v>
      </c>
      <c r="I565" s="68" t="s">
        <v>726</v>
      </c>
      <c r="J565" s="70" t="s">
        <v>760</v>
      </c>
      <c r="K565" s="71" t="s">
        <v>3366</v>
      </c>
      <c r="L565" s="72">
        <v>43363</v>
      </c>
      <c r="M565" s="2306" t="s">
        <v>729</v>
      </c>
      <c r="N565" s="74">
        <v>43370</v>
      </c>
      <c r="O565" s="75">
        <f t="shared" si="218"/>
        <v>43370</v>
      </c>
      <c r="P565" s="2765" t="s">
        <v>3368</v>
      </c>
      <c r="Q565" s="76">
        <v>100.9</v>
      </c>
      <c r="R565" s="76"/>
      <c r="S565" s="1945" t="s">
        <v>731</v>
      </c>
      <c r="T565" s="77" t="s">
        <v>2570</v>
      </c>
      <c r="U565" s="1893"/>
      <c r="V565" s="2079">
        <f t="shared" si="210"/>
        <v>119.062</v>
      </c>
      <c r="W565" s="78">
        <f t="shared" si="211"/>
        <v>0</v>
      </c>
      <c r="X565" s="1878" t="str">
        <f t="shared" si="209"/>
        <v>2.- R Aeolus 0120114-OT_251247  Reencauche F101-00016876 IDY3-220</v>
      </c>
      <c r="Z565" s="19" t="str">
        <f t="shared" ref="Z565:Z577" si="219">CONCATENATE(I568,J568)</f>
        <v>ReencaucheReencauchadora RENOVA</v>
      </c>
    </row>
    <row r="566" spans="2:26" ht="15.2" customHeight="1">
      <c r="B566" s="37"/>
      <c r="E566" s="2949">
        <v>3</v>
      </c>
      <c r="F566" s="2297" t="s">
        <v>723</v>
      </c>
      <c r="G566" s="68" t="s">
        <v>2460</v>
      </c>
      <c r="H566" s="69" t="s">
        <v>3365</v>
      </c>
      <c r="I566" s="68" t="s">
        <v>726</v>
      </c>
      <c r="J566" s="70" t="s">
        <v>760</v>
      </c>
      <c r="K566" s="71" t="s">
        <v>3366</v>
      </c>
      <c r="L566" s="72">
        <v>43363</v>
      </c>
      <c r="M566" s="2306" t="s">
        <v>729</v>
      </c>
      <c r="N566" s="74">
        <v>43370</v>
      </c>
      <c r="O566" s="75">
        <f t="shared" ref="O566:O602" si="220">+N566</f>
        <v>43370</v>
      </c>
      <c r="P566" s="2765" t="s">
        <v>3368</v>
      </c>
      <c r="Q566" s="76">
        <v>100.9</v>
      </c>
      <c r="R566" s="76"/>
      <c r="S566" s="1945" t="s">
        <v>731</v>
      </c>
      <c r="T566" s="77" t="s">
        <v>2570</v>
      </c>
      <c r="U566" s="1893"/>
      <c r="V566" s="2079">
        <f t="shared" si="210"/>
        <v>119.062</v>
      </c>
      <c r="W566" s="78">
        <f t="shared" si="211"/>
        <v>0</v>
      </c>
      <c r="X566" s="1878" t="str">
        <f t="shared" si="209"/>
        <v>3.- R MICHELLIN 8010218-OT_251247  Reencauche F101-00016876 IDY3-220</v>
      </c>
      <c r="Z566" s="19" t="str">
        <f t="shared" si="219"/>
        <v>ReencaucheReencauchadora RENOVA</v>
      </c>
    </row>
    <row r="567" spans="2:26" ht="15.2" customHeight="1">
      <c r="B567" s="37"/>
      <c r="E567" s="2949">
        <v>4</v>
      </c>
      <c r="F567" s="2297" t="s">
        <v>723</v>
      </c>
      <c r="G567" s="68" t="s">
        <v>291</v>
      </c>
      <c r="H567" s="69" t="s">
        <v>3364</v>
      </c>
      <c r="I567" s="68" t="s">
        <v>726</v>
      </c>
      <c r="J567" s="70" t="s">
        <v>760</v>
      </c>
      <c r="K567" s="71" t="s">
        <v>3366</v>
      </c>
      <c r="L567" s="72">
        <v>43363</v>
      </c>
      <c r="M567" s="2306" t="s">
        <v>729</v>
      </c>
      <c r="N567" s="74">
        <v>43370</v>
      </c>
      <c r="O567" s="75">
        <f t="shared" si="220"/>
        <v>43370</v>
      </c>
      <c r="P567" s="2765" t="s">
        <v>3368</v>
      </c>
      <c r="Q567" s="76">
        <v>100.9</v>
      </c>
      <c r="R567" s="76"/>
      <c r="S567" s="1945" t="s">
        <v>731</v>
      </c>
      <c r="T567" s="77" t="s">
        <v>2570</v>
      </c>
      <c r="U567" s="1893"/>
      <c r="V567" s="2079">
        <f t="shared" si="210"/>
        <v>119.062</v>
      </c>
      <c r="W567" s="78">
        <f t="shared" si="211"/>
        <v>0</v>
      </c>
      <c r="X567" s="1878" t="str">
        <f t="shared" si="209"/>
        <v>4.- R Brigestone 8050218-OT_251247  Reencauche F101-00016876 IDY3-220</v>
      </c>
      <c r="Z567" s="19" t="str">
        <f>CONCATENATE(I570,J570)</f>
        <v>ReencaucheReencauchadora RENOVA</v>
      </c>
    </row>
    <row r="568" spans="2:26" ht="15.2" customHeight="1">
      <c r="B568" s="37"/>
      <c r="E568" s="3010">
        <v>5</v>
      </c>
      <c r="F568" s="2297" t="s">
        <v>723</v>
      </c>
      <c r="G568" s="2141" t="s">
        <v>247</v>
      </c>
      <c r="H568" s="69" t="s">
        <v>3363</v>
      </c>
      <c r="I568" s="68" t="s">
        <v>726</v>
      </c>
      <c r="J568" s="70" t="s">
        <v>760</v>
      </c>
      <c r="K568" s="71" t="s">
        <v>3366</v>
      </c>
      <c r="L568" s="72">
        <v>43363</v>
      </c>
      <c r="M568" s="2306" t="s">
        <v>729</v>
      </c>
      <c r="N568" s="74">
        <v>43370</v>
      </c>
      <c r="O568" s="75">
        <f t="shared" ref="O568:O578" si="221">+N568</f>
        <v>43370</v>
      </c>
      <c r="P568" s="2765" t="s">
        <v>3368</v>
      </c>
      <c r="Q568" s="76">
        <v>100.9</v>
      </c>
      <c r="R568" s="76"/>
      <c r="S568" s="1945" t="s">
        <v>731</v>
      </c>
      <c r="T568" s="77" t="s">
        <v>2570</v>
      </c>
      <c r="U568" s="1893"/>
      <c r="V568" s="2079">
        <f t="shared" si="210"/>
        <v>119.062</v>
      </c>
      <c r="W568" s="78">
        <f t="shared" si="211"/>
        <v>0</v>
      </c>
      <c r="X568" s="1878" t="str">
        <f t="shared" si="209"/>
        <v>5.- R Double Happines 8020218-OT_251247  Reencauche F101-00016876 IDY3-220</v>
      </c>
      <c r="Z568" s="19" t="str">
        <f t="shared" si="219"/>
        <v>ReencaucheReencauchadora RENOVA</v>
      </c>
    </row>
    <row r="569" spans="2:26" ht="15.2" customHeight="1">
      <c r="B569" s="37"/>
      <c r="E569" s="3010">
        <v>6</v>
      </c>
      <c r="F569" s="2297" t="s">
        <v>723</v>
      </c>
      <c r="G569" s="68" t="s">
        <v>737</v>
      </c>
      <c r="H569" s="69" t="s">
        <v>3362</v>
      </c>
      <c r="I569" s="68" t="s">
        <v>726</v>
      </c>
      <c r="J569" s="70" t="s">
        <v>760</v>
      </c>
      <c r="K569" s="71" t="s">
        <v>3366</v>
      </c>
      <c r="L569" s="72">
        <v>43363</v>
      </c>
      <c r="M569" s="2306" t="s">
        <v>729</v>
      </c>
      <c r="N569" s="74">
        <v>43370</v>
      </c>
      <c r="O569" s="75">
        <f t="shared" si="221"/>
        <v>43370</v>
      </c>
      <c r="P569" s="2765" t="s">
        <v>3368</v>
      </c>
      <c r="Q569" s="76">
        <v>100.9</v>
      </c>
      <c r="R569" s="76"/>
      <c r="S569" s="1945" t="s">
        <v>731</v>
      </c>
      <c r="T569" s="77" t="s">
        <v>2570</v>
      </c>
      <c r="U569" s="1893"/>
      <c r="V569" s="2079">
        <f t="shared" si="210"/>
        <v>119.062</v>
      </c>
      <c r="W569" s="78">
        <f t="shared" si="211"/>
        <v>0</v>
      </c>
      <c r="X569" s="1878" t="str">
        <f t="shared" si="209"/>
        <v>6.- R Vikrant 0410518-OT_251247  Reencauche F101-00016876 IDY3-220</v>
      </c>
      <c r="Z569" s="19" t="str">
        <f t="shared" si="219"/>
        <v>Vulcanizado (curación)Reenc. MASTERCAUCHO</v>
      </c>
    </row>
    <row r="570" spans="2:26" ht="15.2" customHeight="1">
      <c r="B570" s="37"/>
      <c r="E570" s="2949">
        <v>7</v>
      </c>
      <c r="F570" s="3131" t="s">
        <v>723</v>
      </c>
      <c r="G570" s="2263" t="s">
        <v>825</v>
      </c>
      <c r="H570" s="2265" t="s">
        <v>880</v>
      </c>
      <c r="I570" s="2263" t="s">
        <v>726</v>
      </c>
      <c r="J570" s="2266" t="s">
        <v>760</v>
      </c>
      <c r="K570" s="2267" t="s">
        <v>3366</v>
      </c>
      <c r="L570" s="2268">
        <v>43363</v>
      </c>
      <c r="M570" s="2269" t="s">
        <v>729</v>
      </c>
      <c r="N570" s="2270">
        <v>43383</v>
      </c>
      <c r="O570" s="2271">
        <v>43383</v>
      </c>
      <c r="P570" s="344" t="s">
        <v>3380</v>
      </c>
      <c r="Q570" s="2959">
        <v>100.9</v>
      </c>
      <c r="R570" s="103"/>
      <c r="S570" s="1945" t="s">
        <v>731</v>
      </c>
      <c r="T570" s="77" t="s">
        <v>2570</v>
      </c>
      <c r="U570" s="1893"/>
      <c r="V570" s="2079">
        <f t="shared" si="210"/>
        <v>119.062</v>
      </c>
      <c r="W570" s="78">
        <f t="shared" si="211"/>
        <v>0</v>
      </c>
      <c r="X570" s="1878" t="str">
        <f t="shared" si="209"/>
        <v>7.- R Falken 0590611-OT_251247  Reencauche F101-00017091 IDY3-220</v>
      </c>
      <c r="Z570" s="19" t="str">
        <f t="shared" si="219"/>
        <v>Vulcanizado (curación)Reenc. MASTERCAUCHO</v>
      </c>
    </row>
    <row r="571" spans="2:26" ht="15.2" customHeight="1">
      <c r="B571" s="37"/>
      <c r="E571" s="79">
        <v>8</v>
      </c>
      <c r="F571" s="2575" t="s">
        <v>732</v>
      </c>
      <c r="G571" s="2576" t="s">
        <v>737</v>
      </c>
      <c r="H571" s="2577" t="s">
        <v>2278</v>
      </c>
      <c r="I571" s="2576" t="s">
        <v>726</v>
      </c>
      <c r="J571" s="2578" t="s">
        <v>760</v>
      </c>
      <c r="K571" s="2579" t="s">
        <v>3366</v>
      </c>
      <c r="L571" s="2580">
        <v>43363</v>
      </c>
      <c r="M571" s="3132" t="s">
        <v>729</v>
      </c>
      <c r="N571" s="2582">
        <v>43383</v>
      </c>
      <c r="O571" s="2583">
        <v>43383</v>
      </c>
      <c r="P571" s="2774" t="s">
        <v>3380</v>
      </c>
      <c r="Q571" s="2965">
        <v>85.79</v>
      </c>
      <c r="R571" s="113"/>
      <c r="S571" s="1946" t="s">
        <v>731</v>
      </c>
      <c r="T571" s="77" t="s">
        <v>2566</v>
      </c>
      <c r="U571" s="1893"/>
      <c r="V571" s="2079">
        <f t="shared" si="210"/>
        <v>101.23220000000001</v>
      </c>
      <c r="W571" s="78">
        <f t="shared" si="211"/>
        <v>0</v>
      </c>
      <c r="X571" s="1878" t="str">
        <f t="shared" si="209"/>
        <v>8.- C Vikrant 0520709-OT_251247  Reencauche F101-00017091 IZB-210</v>
      </c>
      <c r="Z571" s="19" t="str">
        <f t="shared" si="219"/>
        <v>Transpl BandaReenc. MASTERCAUCHO</v>
      </c>
    </row>
    <row r="572" spans="2:26" ht="15.2" customHeight="1">
      <c r="B572" s="37"/>
      <c r="E572" s="3010">
        <v>1</v>
      </c>
      <c r="F572" s="2297" t="s">
        <v>723</v>
      </c>
      <c r="G572" s="68" t="s">
        <v>724</v>
      </c>
      <c r="H572" s="69" t="s">
        <v>12</v>
      </c>
      <c r="I572" s="68" t="s">
        <v>811</v>
      </c>
      <c r="J572" s="70" t="s">
        <v>727</v>
      </c>
      <c r="K572" s="2305" t="s">
        <v>3339</v>
      </c>
      <c r="L572" s="72">
        <v>43353</v>
      </c>
      <c r="M572" s="2306" t="s">
        <v>729</v>
      </c>
      <c r="N572" s="74">
        <v>43360</v>
      </c>
      <c r="O572" s="75">
        <f t="shared" si="221"/>
        <v>43360</v>
      </c>
      <c r="P572" s="2765" t="s">
        <v>3359</v>
      </c>
      <c r="Q572" s="2954"/>
      <c r="R572" s="76">
        <v>84.745000000000005</v>
      </c>
      <c r="S572" s="1945" t="s">
        <v>731</v>
      </c>
      <c r="T572" s="77"/>
      <c r="U572" s="1893"/>
      <c r="V572" s="2079">
        <f t="shared" si="210"/>
        <v>0</v>
      </c>
      <c r="W572" s="78">
        <f t="shared" si="211"/>
        <v>99.999099999999999</v>
      </c>
      <c r="X572" s="1878" t="str">
        <f t="shared" si="209"/>
        <v xml:space="preserve">1.- R Aeolus 0260413-OT_009924  Vulcanizado (curación) E001-388 </v>
      </c>
      <c r="Z572" s="19" t="str">
        <f t="shared" ref="Z572" si="222">CONCATENATE(I575,J575)</f>
        <v>Casc 2a trnsplReenc. MASTERCAUCHO</v>
      </c>
    </row>
    <row r="573" spans="2:26" ht="15.2" customHeight="1">
      <c r="B573" s="37"/>
      <c r="E573" s="3010">
        <v>2</v>
      </c>
      <c r="F573" s="2297" t="s">
        <v>723</v>
      </c>
      <c r="G573" s="68" t="s">
        <v>724</v>
      </c>
      <c r="H573" s="69" t="s">
        <v>3337</v>
      </c>
      <c r="I573" s="68" t="s">
        <v>811</v>
      </c>
      <c r="J573" s="70" t="s">
        <v>727</v>
      </c>
      <c r="K573" s="71" t="s">
        <v>3339</v>
      </c>
      <c r="L573" s="72">
        <v>43353</v>
      </c>
      <c r="M573" s="2306" t="s">
        <v>729</v>
      </c>
      <c r="N573" s="74">
        <v>43360</v>
      </c>
      <c r="O573" s="75">
        <f t="shared" si="221"/>
        <v>43360</v>
      </c>
      <c r="P573" s="2765" t="s">
        <v>3357</v>
      </c>
      <c r="Q573" s="2954"/>
      <c r="R573" s="76">
        <v>84.745000000000005</v>
      </c>
      <c r="S573" s="1945" t="s">
        <v>731</v>
      </c>
      <c r="T573" s="77"/>
      <c r="U573" s="1893"/>
      <c r="V573" s="2079">
        <f t="shared" si="210"/>
        <v>0</v>
      </c>
      <c r="W573" s="78">
        <f t="shared" si="211"/>
        <v>99.999099999999999</v>
      </c>
      <c r="X573" s="1878" t="str">
        <f t="shared" si="209"/>
        <v xml:space="preserve">2.- R Aeolus 0230215-OT_009924  Vulcanizado (curación) E001-387 </v>
      </c>
      <c r="Z573" s="19" t="str">
        <f t="shared" si="219"/>
        <v>Transpl BandaReenc. MASTERCAUCHO</v>
      </c>
    </row>
    <row r="574" spans="2:26" ht="15.2" customHeight="1">
      <c r="B574" s="37"/>
      <c r="E574" s="3010">
        <v>3</v>
      </c>
      <c r="F574" s="2297" t="s">
        <v>723</v>
      </c>
      <c r="G574" s="68" t="s">
        <v>2533</v>
      </c>
      <c r="H574" s="69" t="s">
        <v>3358</v>
      </c>
      <c r="I574" s="68" t="s">
        <v>740</v>
      </c>
      <c r="J574" s="70" t="s">
        <v>727</v>
      </c>
      <c r="K574" s="71" t="s">
        <v>3339</v>
      </c>
      <c r="L574" s="72">
        <v>43353</v>
      </c>
      <c r="M574" s="2306" t="s">
        <v>729</v>
      </c>
      <c r="N574" s="74">
        <v>43360</v>
      </c>
      <c r="O574" s="75">
        <f t="shared" si="221"/>
        <v>43360</v>
      </c>
      <c r="P574" s="2765" t="s">
        <v>3357</v>
      </c>
      <c r="Q574" s="2954"/>
      <c r="R574" s="76">
        <v>127.11799999999999</v>
      </c>
      <c r="S574" s="1945" t="s">
        <v>731</v>
      </c>
      <c r="T574" s="77"/>
      <c r="U574" s="1893"/>
      <c r="V574" s="2079">
        <f t="shared" si="210"/>
        <v>0</v>
      </c>
      <c r="W574" s="78">
        <f t="shared" si="211"/>
        <v>149.99923999999999</v>
      </c>
      <c r="X574" s="1878" t="str">
        <f t="shared" si="209"/>
        <v xml:space="preserve">3.- R Stellmark 8300617-OT_009924  Transpl Banda E001-387 </v>
      </c>
      <c r="Z574" s="19" t="str">
        <f t="shared" si="219"/>
        <v>Sacar_BandaReenc. MASTERCAUCHO</v>
      </c>
    </row>
    <row r="575" spans="2:26" ht="15.2" customHeight="1">
      <c r="B575" s="37"/>
      <c r="E575" s="3017">
        <v>4</v>
      </c>
      <c r="F575" s="2297" t="s">
        <v>723</v>
      </c>
      <c r="G575" s="68" t="s">
        <v>3345</v>
      </c>
      <c r="H575" s="69" t="s">
        <v>3356</v>
      </c>
      <c r="I575" s="68" t="s">
        <v>3224</v>
      </c>
      <c r="J575" s="70" t="s">
        <v>727</v>
      </c>
      <c r="K575" s="2305" t="s">
        <v>857</v>
      </c>
      <c r="L575" s="72"/>
      <c r="M575" s="2306" t="s">
        <v>729</v>
      </c>
      <c r="N575" s="74">
        <v>43360</v>
      </c>
      <c r="O575" s="75">
        <f t="shared" ref="O575" si="223">+N575</f>
        <v>43360</v>
      </c>
      <c r="P575" s="2765" t="s">
        <v>3357</v>
      </c>
      <c r="Q575" s="2954"/>
      <c r="R575" s="76">
        <v>211.864</v>
      </c>
      <c r="S575" s="1945" t="s">
        <v>731</v>
      </c>
      <c r="T575" s="77" t="s">
        <v>3355</v>
      </c>
      <c r="U575" s="1893"/>
      <c r="V575" s="2079">
        <f t="shared" si="210"/>
        <v>0</v>
      </c>
      <c r="W575" s="78">
        <f t="shared" si="211"/>
        <v>249.99951999999999</v>
      </c>
      <c r="X575" s="1878" t="str">
        <f t="shared" si="209"/>
        <v>4.- R YellowSea 8310918-OT_S/D  Casc 2a trnspl E001-387 YellowSea YS08 1216 China</v>
      </c>
      <c r="Z575" s="19" t="str">
        <f t="shared" si="219"/>
        <v>Sacar_BandaReenc. MASTERCAUCHO</v>
      </c>
    </row>
    <row r="576" spans="2:26" ht="15.2" customHeight="1">
      <c r="B576" s="37"/>
      <c r="E576" s="3010">
        <v>5</v>
      </c>
      <c r="F576" s="2297" t="s">
        <v>723</v>
      </c>
      <c r="G576" s="68" t="s">
        <v>724</v>
      </c>
      <c r="H576" s="69" t="s">
        <v>873</v>
      </c>
      <c r="I576" s="68" t="s">
        <v>740</v>
      </c>
      <c r="J576" s="70" t="s">
        <v>727</v>
      </c>
      <c r="K576" s="71" t="s">
        <v>3339</v>
      </c>
      <c r="L576" s="72">
        <v>43353</v>
      </c>
      <c r="M576" s="2306" t="s">
        <v>729</v>
      </c>
      <c r="N576" s="74">
        <v>43360</v>
      </c>
      <c r="O576" s="75">
        <f t="shared" si="221"/>
        <v>43360</v>
      </c>
      <c r="P576" s="2765" t="s">
        <v>3360</v>
      </c>
      <c r="Q576" s="2954"/>
      <c r="R576" s="76">
        <v>0</v>
      </c>
      <c r="S576" s="1945" t="s">
        <v>731</v>
      </c>
      <c r="T576" s="77" t="s">
        <v>3110</v>
      </c>
      <c r="U576" s="1893"/>
      <c r="V576" s="2079">
        <f t="shared" si="210"/>
        <v>0</v>
      </c>
      <c r="W576" s="78">
        <f t="shared" si="211"/>
        <v>0</v>
      </c>
      <c r="X576" s="1878" t="str">
        <f t="shared" si="209"/>
        <v>5.- R Aeolus 0190514-OT_009924  Transpl Banda G0001-004420 Rechazada, falla estruct</v>
      </c>
      <c r="Z576" s="19" t="str">
        <f t="shared" si="219"/>
        <v>ReencaucheReencauchadora RENOVA</v>
      </c>
    </row>
    <row r="577" spans="2:26" ht="15.2" customHeight="1">
      <c r="B577" s="37"/>
      <c r="E577" s="3010">
        <v>6</v>
      </c>
      <c r="F577" s="2297" t="s">
        <v>732</v>
      </c>
      <c r="G577" s="68" t="s">
        <v>757</v>
      </c>
      <c r="H577" s="69" t="s">
        <v>3338</v>
      </c>
      <c r="I577" s="68" t="s">
        <v>744</v>
      </c>
      <c r="J577" s="70" t="s">
        <v>727</v>
      </c>
      <c r="K577" s="71" t="s">
        <v>3339</v>
      </c>
      <c r="L577" s="72">
        <v>43353</v>
      </c>
      <c r="M577" s="73" t="s">
        <v>729</v>
      </c>
      <c r="N577" s="74">
        <v>43360</v>
      </c>
      <c r="O577" s="75">
        <f t="shared" si="221"/>
        <v>43360</v>
      </c>
      <c r="P577" s="2765" t="s">
        <v>3360</v>
      </c>
      <c r="Q577" s="2954"/>
      <c r="R577" s="76">
        <v>0</v>
      </c>
      <c r="S577" s="1945" t="s">
        <v>731</v>
      </c>
      <c r="T577" s="77" t="s">
        <v>3361</v>
      </c>
      <c r="U577" s="1893"/>
      <c r="V577" s="2079">
        <f t="shared" si="210"/>
        <v>0</v>
      </c>
      <c r="W577" s="78">
        <f t="shared" si="211"/>
        <v>0</v>
      </c>
      <c r="X577" s="1878" t="str">
        <f t="shared" si="209"/>
        <v>6.- C Goodyear 8190517-OT_009924  Sacar_Banda G0001-004420 Devolucion</v>
      </c>
      <c r="Z577" s="19" t="str">
        <f t="shared" si="219"/>
        <v>ReencaucheReencauchadora RENOVA</v>
      </c>
    </row>
    <row r="578" spans="2:26" ht="15.2" customHeight="1">
      <c r="B578" s="37"/>
      <c r="E578" s="79">
        <v>7</v>
      </c>
      <c r="F578" s="2294" t="s">
        <v>723</v>
      </c>
      <c r="G578" s="81" t="s">
        <v>724</v>
      </c>
      <c r="H578" s="82" t="s">
        <v>2097</v>
      </c>
      <c r="I578" s="81" t="s">
        <v>744</v>
      </c>
      <c r="J578" s="83" t="s">
        <v>727</v>
      </c>
      <c r="K578" s="84" t="s">
        <v>3339</v>
      </c>
      <c r="L578" s="85">
        <v>43353</v>
      </c>
      <c r="M578" s="86" t="s">
        <v>729</v>
      </c>
      <c r="N578" s="87">
        <v>43360</v>
      </c>
      <c r="O578" s="88">
        <f t="shared" si="221"/>
        <v>43360</v>
      </c>
      <c r="P578" s="2766" t="s">
        <v>3360</v>
      </c>
      <c r="Q578" s="2955"/>
      <c r="R578" s="89">
        <v>0</v>
      </c>
      <c r="S578" s="1946" t="s">
        <v>731</v>
      </c>
      <c r="T578" s="77" t="s">
        <v>3361</v>
      </c>
      <c r="U578" s="1893"/>
      <c r="V578" s="2079">
        <f t="shared" si="210"/>
        <v>0</v>
      </c>
      <c r="W578" s="78">
        <f t="shared" si="211"/>
        <v>0</v>
      </c>
      <c r="X578" s="1878" t="str">
        <f t="shared" si="209"/>
        <v>7.- R Aeolus 0330814-OT_009924  Sacar_Banda G0001-004420 Devolucion</v>
      </c>
      <c r="Z578" s="19" t="str">
        <f t="shared" ref="Z578:Z588" si="224">CONCATENATE(I581,J581)</f>
        <v>ReencaucheReencauchadora RENOVA</v>
      </c>
    </row>
    <row r="579" spans="2:26" ht="15.2" customHeight="1">
      <c r="B579" s="37"/>
      <c r="E579" s="3010">
        <v>1</v>
      </c>
      <c r="F579" s="2297" t="s">
        <v>732</v>
      </c>
      <c r="G579" s="68" t="s">
        <v>737</v>
      </c>
      <c r="H579" s="69" t="s">
        <v>1047</v>
      </c>
      <c r="I579" s="68" t="s">
        <v>726</v>
      </c>
      <c r="J579" s="70" t="s">
        <v>760</v>
      </c>
      <c r="K579" s="2305" t="s">
        <v>3334</v>
      </c>
      <c r="L579" s="72">
        <v>43348</v>
      </c>
      <c r="M579" s="73" t="s">
        <v>729</v>
      </c>
      <c r="N579" s="74">
        <v>43354</v>
      </c>
      <c r="O579" s="75">
        <v>43354</v>
      </c>
      <c r="P579" s="2765" t="s">
        <v>3342</v>
      </c>
      <c r="Q579" s="2954">
        <v>90.26</v>
      </c>
      <c r="R579" s="76"/>
      <c r="S579" s="1945" t="s">
        <v>731</v>
      </c>
      <c r="T579" s="77" t="s">
        <v>3098</v>
      </c>
      <c r="U579" s="1893"/>
      <c r="V579" s="2079">
        <f t="shared" si="210"/>
        <v>106.5068</v>
      </c>
      <c r="W579" s="78">
        <f t="shared" si="211"/>
        <v>0</v>
      </c>
      <c r="X579" s="1878" t="str">
        <f t="shared" si="209"/>
        <v>1.- C Vikrant 0040312-OT_250700  Reencauche F101-00016580 IZB-220</v>
      </c>
      <c r="Z579" s="19" t="str">
        <f t="shared" si="224"/>
        <v>ReencaucheReencauchadora RENOVA</v>
      </c>
    </row>
    <row r="580" spans="2:26" ht="15.2" customHeight="1">
      <c r="B580" s="37"/>
      <c r="E580" s="3010">
        <v>2</v>
      </c>
      <c r="F580" s="2297" t="s">
        <v>732</v>
      </c>
      <c r="G580" s="68" t="s">
        <v>737</v>
      </c>
      <c r="H580" s="69" t="s">
        <v>1663</v>
      </c>
      <c r="I580" s="68" t="s">
        <v>726</v>
      </c>
      <c r="J580" s="70" t="s">
        <v>760</v>
      </c>
      <c r="K580" s="71" t="s">
        <v>3334</v>
      </c>
      <c r="L580" s="72">
        <v>43348</v>
      </c>
      <c r="M580" s="73" t="s">
        <v>729</v>
      </c>
      <c r="N580" s="74">
        <v>43354</v>
      </c>
      <c r="O580" s="75">
        <v>43354</v>
      </c>
      <c r="P580" s="2765" t="s">
        <v>3342</v>
      </c>
      <c r="Q580" s="2954">
        <v>90.26</v>
      </c>
      <c r="R580" s="76"/>
      <c r="S580" s="1945" t="s">
        <v>731</v>
      </c>
      <c r="T580" s="77" t="s">
        <v>3098</v>
      </c>
      <c r="U580" s="1893"/>
      <c r="V580" s="2079">
        <f t="shared" si="210"/>
        <v>106.5068</v>
      </c>
      <c r="W580" s="78">
        <f t="shared" si="211"/>
        <v>0</v>
      </c>
      <c r="X580" s="1878" t="str">
        <f t="shared" si="209"/>
        <v>2.- C Vikrant 0290410-OT_250700  Reencauche F101-00016580 IZB-220</v>
      </c>
      <c r="Z580" s="19" t="str">
        <f>CONCATENATE(I583,J583)</f>
        <v>ReencaucheReencauchadora RENOVA</v>
      </c>
    </row>
    <row r="581" spans="2:26" ht="15.2" customHeight="1">
      <c r="B581" s="37"/>
      <c r="E581" s="3010">
        <v>3</v>
      </c>
      <c r="F581" s="2297" t="s">
        <v>732</v>
      </c>
      <c r="G581" s="68" t="s">
        <v>737</v>
      </c>
      <c r="H581" s="69" t="s">
        <v>846</v>
      </c>
      <c r="I581" s="68" t="s">
        <v>726</v>
      </c>
      <c r="J581" s="70" t="s">
        <v>760</v>
      </c>
      <c r="K581" s="71" t="s">
        <v>3334</v>
      </c>
      <c r="L581" s="72">
        <v>43348</v>
      </c>
      <c r="M581" s="73" t="s">
        <v>729</v>
      </c>
      <c r="N581" s="74">
        <v>43354</v>
      </c>
      <c r="O581" s="75">
        <v>43354</v>
      </c>
      <c r="P581" s="2765" t="s">
        <v>3342</v>
      </c>
      <c r="Q581" s="2954">
        <v>90.26</v>
      </c>
      <c r="R581" s="76"/>
      <c r="S581" s="1945" t="s">
        <v>731</v>
      </c>
      <c r="T581" s="77" t="s">
        <v>3098</v>
      </c>
      <c r="U581" s="1893"/>
      <c r="V581" s="2079">
        <f t="shared" si="210"/>
        <v>106.5068</v>
      </c>
      <c r="W581" s="78">
        <f t="shared" si="211"/>
        <v>0</v>
      </c>
      <c r="X581" s="1878" t="str">
        <f t="shared" si="209"/>
        <v>3.- C Vikrant 0150111-OT_250700  Reencauche F101-00016580 IZB-220</v>
      </c>
      <c r="Z581" s="19" t="str">
        <f t="shared" si="224"/>
        <v>ReencaucheReencauchadora RENOVA</v>
      </c>
    </row>
    <row r="582" spans="2:26" ht="15.2" customHeight="1">
      <c r="B582" s="37"/>
      <c r="E582" s="3010">
        <v>4</v>
      </c>
      <c r="F582" s="2297" t="s">
        <v>732</v>
      </c>
      <c r="G582" s="68" t="s">
        <v>737</v>
      </c>
      <c r="H582" s="69" t="s">
        <v>1169</v>
      </c>
      <c r="I582" s="68" t="s">
        <v>726</v>
      </c>
      <c r="J582" s="70" t="s">
        <v>760</v>
      </c>
      <c r="K582" s="71" t="s">
        <v>3334</v>
      </c>
      <c r="L582" s="72">
        <v>43348</v>
      </c>
      <c r="M582" s="73" t="s">
        <v>729</v>
      </c>
      <c r="N582" s="74">
        <v>43354</v>
      </c>
      <c r="O582" s="75">
        <v>43354</v>
      </c>
      <c r="P582" s="2765" t="s">
        <v>3342</v>
      </c>
      <c r="Q582" s="2954">
        <v>85.79</v>
      </c>
      <c r="R582" s="76"/>
      <c r="S582" s="1945" t="s">
        <v>731</v>
      </c>
      <c r="T582" s="77" t="s">
        <v>2566</v>
      </c>
      <c r="U582" s="1893"/>
      <c r="V582" s="2079">
        <f t="shared" si="210"/>
        <v>101.23220000000001</v>
      </c>
      <c r="W582" s="78">
        <f t="shared" si="211"/>
        <v>0</v>
      </c>
      <c r="X582" s="1878" t="str">
        <f t="shared" si="209"/>
        <v>4.- C Vikrant 0600911-OT_250700  Reencauche F101-00016580 IZB-210</v>
      </c>
      <c r="Z582" s="19" t="str">
        <f t="shared" si="224"/>
        <v>ReencaucheReencauchadora RENOVA</v>
      </c>
    </row>
    <row r="583" spans="2:26" ht="15.2" customHeight="1">
      <c r="B583" s="37"/>
      <c r="E583" s="3016">
        <v>7</v>
      </c>
      <c r="F583" s="2297" t="s">
        <v>723</v>
      </c>
      <c r="G583" s="68" t="s">
        <v>724</v>
      </c>
      <c r="H583" s="69" t="s">
        <v>3333</v>
      </c>
      <c r="I583" s="68" t="s">
        <v>726</v>
      </c>
      <c r="J583" s="70" t="s">
        <v>760</v>
      </c>
      <c r="K583" s="71" t="s">
        <v>3334</v>
      </c>
      <c r="L583" s="72">
        <v>43348</v>
      </c>
      <c r="M583" s="2306" t="s">
        <v>729</v>
      </c>
      <c r="N583" s="74">
        <v>43354</v>
      </c>
      <c r="O583" s="75">
        <f>+N583</f>
        <v>43354</v>
      </c>
      <c r="P583" s="2765" t="s">
        <v>3342</v>
      </c>
      <c r="Q583" s="2954">
        <v>100.9</v>
      </c>
      <c r="R583" s="76"/>
      <c r="S583" s="1945" t="s">
        <v>731</v>
      </c>
      <c r="T583" s="77" t="s">
        <v>2570</v>
      </c>
      <c r="U583" s="1893"/>
      <c r="V583" s="2079">
        <f t="shared" si="210"/>
        <v>119.062</v>
      </c>
      <c r="W583" s="78">
        <f t="shared" si="211"/>
        <v>0</v>
      </c>
      <c r="X583" s="1878" t="str">
        <f t="shared" si="209"/>
        <v>7.- R Aeolus 8120410-OT_250700  Reencauche F101-00016580 IDY3-220</v>
      </c>
      <c r="Z583" s="19" t="str">
        <f t="shared" si="224"/>
        <v>ReencaucheReenc. MASTERCAUCHO</v>
      </c>
    </row>
    <row r="584" spans="2:26" ht="15.2" customHeight="1">
      <c r="B584" s="37"/>
      <c r="E584" s="3016">
        <v>5</v>
      </c>
      <c r="F584" s="2297" t="s">
        <v>732</v>
      </c>
      <c r="G584" s="68" t="s">
        <v>737</v>
      </c>
      <c r="H584" s="69" t="s">
        <v>1494</v>
      </c>
      <c r="I584" s="68" t="s">
        <v>726</v>
      </c>
      <c r="J584" s="70" t="s">
        <v>760</v>
      </c>
      <c r="K584" s="71" t="s">
        <v>3334</v>
      </c>
      <c r="L584" s="72">
        <v>43348</v>
      </c>
      <c r="M584" s="2306" t="s">
        <v>729</v>
      </c>
      <c r="N584" s="74">
        <v>43354</v>
      </c>
      <c r="O584" s="75">
        <f t="shared" ref="O584:O592" si="225">+N584</f>
        <v>43354</v>
      </c>
      <c r="P584" s="2765" t="s">
        <v>3341</v>
      </c>
      <c r="Q584" s="2954">
        <v>0</v>
      </c>
      <c r="R584" s="76"/>
      <c r="S584" s="1945" t="s">
        <v>731</v>
      </c>
      <c r="T584" s="77" t="s">
        <v>3343</v>
      </c>
      <c r="U584" s="1893"/>
      <c r="V584" s="2079">
        <f t="shared" si="210"/>
        <v>0</v>
      </c>
      <c r="W584" s="78">
        <f t="shared" si="211"/>
        <v>0</v>
      </c>
      <c r="X584" s="1878" t="str">
        <f t="shared" si="209"/>
        <v>5.- C Vikrant 0690906-OT_250700  Reencauche G030-0075428 RECHAZADA Falla x Fatiga en Casco</v>
      </c>
      <c r="Z584" s="19" t="str">
        <f t="shared" si="224"/>
        <v>ReencaucheReenc. MASTERCAUCHO</v>
      </c>
    </row>
    <row r="585" spans="2:26" ht="15.2" customHeight="1">
      <c r="B585" s="37"/>
      <c r="E585" s="79">
        <v>6</v>
      </c>
      <c r="F585" s="2294" t="s">
        <v>732</v>
      </c>
      <c r="G585" s="81" t="s">
        <v>737</v>
      </c>
      <c r="H585" s="82" t="s">
        <v>1409</v>
      </c>
      <c r="I585" s="81" t="s">
        <v>726</v>
      </c>
      <c r="J585" s="83" t="s">
        <v>760</v>
      </c>
      <c r="K585" s="84" t="s">
        <v>3334</v>
      </c>
      <c r="L585" s="85">
        <v>43348</v>
      </c>
      <c r="M585" s="2296" t="s">
        <v>729</v>
      </c>
      <c r="N585" s="87">
        <v>43354</v>
      </c>
      <c r="O585" s="88">
        <f t="shared" si="225"/>
        <v>43354</v>
      </c>
      <c r="P585" s="2766" t="s">
        <v>3341</v>
      </c>
      <c r="Q585" s="2955">
        <v>0</v>
      </c>
      <c r="R585" s="89"/>
      <c r="S585" s="1946" t="s">
        <v>731</v>
      </c>
      <c r="T585" s="77" t="s">
        <v>3344</v>
      </c>
      <c r="U585" s="1893"/>
      <c r="V585" s="2079">
        <f t="shared" si="210"/>
        <v>0</v>
      </c>
      <c r="W585" s="78">
        <f t="shared" si="211"/>
        <v>0</v>
      </c>
      <c r="X585" s="1878" t="str">
        <f t="shared" si="209"/>
        <v>6.- C Vikrant 0020312-OT_250700  Reencauche G030-0075428 RECHAZADA Falla x Rodado baja presion</v>
      </c>
      <c r="Z585" s="19" t="str">
        <f t="shared" si="224"/>
        <v>ReencaucheReenc. MASTERCAUCHO</v>
      </c>
    </row>
    <row r="586" spans="2:26" ht="15.2" customHeight="1">
      <c r="B586" s="37"/>
      <c r="E586" s="3010">
        <v>1</v>
      </c>
      <c r="F586" s="2297" t="s">
        <v>732</v>
      </c>
      <c r="G586" s="68" t="s">
        <v>737</v>
      </c>
      <c r="H586" s="69" t="s">
        <v>1419</v>
      </c>
      <c r="I586" s="68" t="s">
        <v>726</v>
      </c>
      <c r="J586" s="70" t="s">
        <v>727</v>
      </c>
      <c r="K586" s="71" t="s">
        <v>3327</v>
      </c>
      <c r="L586" s="72">
        <v>43339</v>
      </c>
      <c r="M586" s="2306" t="s">
        <v>729</v>
      </c>
      <c r="N586" s="74">
        <v>43346</v>
      </c>
      <c r="O586" s="75">
        <f t="shared" si="225"/>
        <v>43346</v>
      </c>
      <c r="P586" s="2765" t="s">
        <v>3335</v>
      </c>
      <c r="Q586" s="2954"/>
      <c r="R586" s="76">
        <v>262.71100000000001</v>
      </c>
      <c r="S586" s="1945" t="s">
        <v>731</v>
      </c>
      <c r="T586" s="77" t="s">
        <v>3050</v>
      </c>
      <c r="U586" s="1893"/>
      <c r="V586" s="2079">
        <f t="shared" si="210"/>
        <v>0</v>
      </c>
      <c r="W586" s="78">
        <f t="shared" si="211"/>
        <v>309.99898000000002</v>
      </c>
      <c r="X586" s="1878" t="str">
        <f t="shared" si="209"/>
        <v>1.- C Vikrant 0811009-OT_009081  Reencauche E001-298 ZB-220</v>
      </c>
      <c r="Z586" s="19" t="str">
        <f t="shared" si="224"/>
        <v>ReencaucheReenc. MASTERCAUCHO</v>
      </c>
    </row>
    <row r="587" spans="2:26" ht="15.2" customHeight="1">
      <c r="B587" s="37"/>
      <c r="E587" s="3010">
        <v>2</v>
      </c>
      <c r="F587" s="2297" t="s">
        <v>732</v>
      </c>
      <c r="G587" s="68" t="s">
        <v>733</v>
      </c>
      <c r="H587" s="69" t="s">
        <v>1122</v>
      </c>
      <c r="I587" s="68" t="s">
        <v>726</v>
      </c>
      <c r="J587" s="70" t="s">
        <v>727</v>
      </c>
      <c r="K587" s="71" t="s">
        <v>3327</v>
      </c>
      <c r="L587" s="72">
        <v>43339</v>
      </c>
      <c r="M587" s="2306" t="s">
        <v>729</v>
      </c>
      <c r="N587" s="74">
        <v>43346</v>
      </c>
      <c r="O587" s="75">
        <f t="shared" si="225"/>
        <v>43346</v>
      </c>
      <c r="P587" s="2765" t="s">
        <v>3335</v>
      </c>
      <c r="Q587" s="2954"/>
      <c r="R587" s="76">
        <v>262.71100000000001</v>
      </c>
      <c r="S587" s="1945" t="s">
        <v>731</v>
      </c>
      <c r="T587" s="77" t="s">
        <v>3050</v>
      </c>
      <c r="U587" s="1893"/>
      <c r="V587" s="2079">
        <f t="shared" si="210"/>
        <v>0</v>
      </c>
      <c r="W587" s="78">
        <f t="shared" si="211"/>
        <v>309.99898000000002</v>
      </c>
      <c r="X587" s="1878" t="str">
        <f t="shared" si="209"/>
        <v>2.- C Lima Caucho 0210108-OT_009081  Reencauche E001-298 ZB-220</v>
      </c>
      <c r="Z587" s="19" t="str">
        <f t="shared" si="224"/>
        <v>RECLAMOReenc. MASTERCAUCHO</v>
      </c>
    </row>
    <row r="588" spans="2:26" ht="15.2" customHeight="1">
      <c r="B588" s="37"/>
      <c r="E588" s="3010">
        <v>3</v>
      </c>
      <c r="F588" s="2297" t="s">
        <v>732</v>
      </c>
      <c r="G588" s="68" t="s">
        <v>737</v>
      </c>
      <c r="H588" s="69" t="s">
        <v>1060</v>
      </c>
      <c r="I588" s="68" t="s">
        <v>726</v>
      </c>
      <c r="J588" s="70" t="s">
        <v>727</v>
      </c>
      <c r="K588" s="71" t="s">
        <v>3327</v>
      </c>
      <c r="L588" s="72">
        <v>43339</v>
      </c>
      <c r="M588" s="2306" t="s">
        <v>729</v>
      </c>
      <c r="N588" s="74">
        <v>43346</v>
      </c>
      <c r="O588" s="75">
        <f t="shared" si="225"/>
        <v>43346</v>
      </c>
      <c r="P588" s="2765" t="s">
        <v>3335</v>
      </c>
      <c r="Q588" s="2954"/>
      <c r="R588" s="76">
        <v>262.71100000000001</v>
      </c>
      <c r="S588" s="1945" t="s">
        <v>731</v>
      </c>
      <c r="T588" s="77" t="s">
        <v>3050</v>
      </c>
      <c r="U588" s="1893"/>
      <c r="V588" s="2079">
        <f t="shared" si="210"/>
        <v>0</v>
      </c>
      <c r="W588" s="78">
        <f t="shared" si="211"/>
        <v>309.99898000000002</v>
      </c>
      <c r="X588" s="1878" t="str">
        <f t="shared" si="209"/>
        <v>3.- C Vikrant 0801009-OT_009081  Reencauche E001-298 ZB-220</v>
      </c>
      <c r="Z588" s="19" t="str">
        <f t="shared" si="224"/>
        <v>Vulcanizado (curación)Reenc. MASTERCAUCHO</v>
      </c>
    </row>
    <row r="589" spans="2:26" ht="15.2" customHeight="1">
      <c r="B589" s="37"/>
      <c r="E589" s="3010">
        <v>4</v>
      </c>
      <c r="F589" s="2297" t="s">
        <v>723</v>
      </c>
      <c r="G589" s="68" t="s">
        <v>737</v>
      </c>
      <c r="H589" s="69" t="s">
        <v>3297</v>
      </c>
      <c r="I589" s="68" t="s">
        <v>726</v>
      </c>
      <c r="J589" s="70" t="s">
        <v>727</v>
      </c>
      <c r="K589" s="71" t="s">
        <v>3327</v>
      </c>
      <c r="L589" s="72">
        <v>43339</v>
      </c>
      <c r="M589" s="2306" t="s">
        <v>729</v>
      </c>
      <c r="N589" s="74">
        <v>43346</v>
      </c>
      <c r="O589" s="75">
        <f t="shared" si="225"/>
        <v>43346</v>
      </c>
      <c r="P589" s="2765" t="s">
        <v>3335</v>
      </c>
      <c r="Q589" s="2954"/>
      <c r="R589" s="76">
        <v>279.661</v>
      </c>
      <c r="S589" s="1945" t="s">
        <v>731</v>
      </c>
      <c r="T589" s="77" t="s">
        <v>2712</v>
      </c>
      <c r="U589" s="1893"/>
      <c r="V589" s="2079">
        <f t="shared" si="210"/>
        <v>0</v>
      </c>
      <c r="W589" s="78">
        <f t="shared" si="211"/>
        <v>329.99997999999999</v>
      </c>
      <c r="X589" s="1878" t="str">
        <f t="shared" si="209"/>
        <v>4.- R Vikrant 0870917-OT_009081  Reencauche E001-298 MDY-220</v>
      </c>
      <c r="Z589" s="19" t="str">
        <f t="shared" si="217"/>
        <v>ReencaucheReencauchadora RENOVA</v>
      </c>
    </row>
    <row r="590" spans="2:26" ht="15.2" customHeight="1">
      <c r="B590" s="37"/>
      <c r="E590" s="3010">
        <v>5</v>
      </c>
      <c r="F590" s="2297" t="s">
        <v>723</v>
      </c>
      <c r="G590" s="68" t="s">
        <v>3205</v>
      </c>
      <c r="H590" s="69" t="s">
        <v>3223</v>
      </c>
      <c r="I590" s="68" t="s">
        <v>816</v>
      </c>
      <c r="J590" s="70" t="s">
        <v>727</v>
      </c>
      <c r="K590" s="71" t="s">
        <v>3327</v>
      </c>
      <c r="L590" s="72">
        <v>43339</v>
      </c>
      <c r="M590" s="2306" t="s">
        <v>729</v>
      </c>
      <c r="N590" s="74">
        <v>43346</v>
      </c>
      <c r="O590" s="75">
        <f t="shared" si="225"/>
        <v>43346</v>
      </c>
      <c r="P590" s="2765" t="s">
        <v>3336</v>
      </c>
      <c r="Q590" s="2954"/>
      <c r="R590" s="76">
        <v>0</v>
      </c>
      <c r="S590" s="1945" t="s">
        <v>731</v>
      </c>
      <c r="T590" s="77"/>
      <c r="U590" s="1893"/>
      <c r="V590" s="2079">
        <f t="shared" si="210"/>
        <v>0</v>
      </c>
      <c r="W590" s="78">
        <f t="shared" si="211"/>
        <v>0</v>
      </c>
      <c r="X590" s="1878" t="str">
        <f t="shared" si="209"/>
        <v xml:space="preserve">5.- R LEAO 8270618-OT_009081  RECLAMO G0001-004370 </v>
      </c>
      <c r="Z590" s="19" t="str">
        <f t="shared" si="217"/>
        <v>ReencaucheReencauchadora RENOVA</v>
      </c>
    </row>
    <row r="591" spans="2:26" ht="15.2" customHeight="1">
      <c r="B591" s="37"/>
      <c r="E591" s="79">
        <v>6</v>
      </c>
      <c r="F591" s="2294" t="s">
        <v>2825</v>
      </c>
      <c r="G591" s="81" t="s">
        <v>2858</v>
      </c>
      <c r="H591" s="82" t="s">
        <v>2859</v>
      </c>
      <c r="I591" s="81" t="s">
        <v>811</v>
      </c>
      <c r="J591" s="83" t="s">
        <v>727</v>
      </c>
      <c r="K591" s="2295" t="s">
        <v>3327</v>
      </c>
      <c r="L591" s="85">
        <v>43339</v>
      </c>
      <c r="M591" s="2296" t="s">
        <v>729</v>
      </c>
      <c r="N591" s="87">
        <v>43346</v>
      </c>
      <c r="O591" s="88">
        <f t="shared" si="225"/>
        <v>43346</v>
      </c>
      <c r="P591" s="2766" t="s">
        <v>3335</v>
      </c>
      <c r="Q591" s="2955"/>
      <c r="R591" s="89">
        <v>127.11799999999999</v>
      </c>
      <c r="S591" s="1946" t="s">
        <v>731</v>
      </c>
      <c r="T591" s="77" t="s">
        <v>3229</v>
      </c>
      <c r="U591" s="1893"/>
      <c r="V591" s="2079">
        <f t="shared" si="210"/>
        <v>0</v>
      </c>
      <c r="W591" s="78">
        <f t="shared" si="211"/>
        <v>149.99923999999999</v>
      </c>
      <c r="X591" s="1878" t="str">
        <f t="shared" si="209"/>
        <v>6.- B TOYO 260-OT_009081  Vulcanizado (curación) E001-298 Corte lateral</v>
      </c>
      <c r="Z591" s="19" t="str">
        <f t="shared" si="217"/>
        <v>ReencaucheReencauchadora RENOVA</v>
      </c>
    </row>
    <row r="592" spans="2:26" ht="15.2" customHeight="1">
      <c r="B592" s="37"/>
      <c r="E592" s="2949">
        <v>1</v>
      </c>
      <c r="F592" s="2297" t="s">
        <v>723</v>
      </c>
      <c r="G592" s="68" t="s">
        <v>724</v>
      </c>
      <c r="H592" s="69" t="s">
        <v>3325</v>
      </c>
      <c r="I592" s="68" t="s">
        <v>726</v>
      </c>
      <c r="J592" s="70" t="s">
        <v>760</v>
      </c>
      <c r="K592" s="71" t="s">
        <v>3324</v>
      </c>
      <c r="L592" s="72">
        <v>43335</v>
      </c>
      <c r="M592" s="73" t="s">
        <v>729</v>
      </c>
      <c r="N592" s="74">
        <v>43341</v>
      </c>
      <c r="O592" s="75">
        <f t="shared" si="225"/>
        <v>43341</v>
      </c>
      <c r="P592" s="2765" t="s">
        <v>3332</v>
      </c>
      <c r="Q592" s="2954">
        <v>100.9</v>
      </c>
      <c r="R592" s="76"/>
      <c r="S592" s="1945" t="s">
        <v>731</v>
      </c>
      <c r="T592" s="77" t="s">
        <v>2570</v>
      </c>
      <c r="U592" s="1893"/>
      <c r="V592" s="2079">
        <f t="shared" si="210"/>
        <v>119.062</v>
      </c>
      <c r="W592" s="78">
        <f t="shared" si="211"/>
        <v>0</v>
      </c>
      <c r="X592" s="1878" t="str">
        <f t="shared" si="209"/>
        <v>1.- R Aeolus 0441114-OT_250670  Reencauche F01-00016388 IDY3-220</v>
      </c>
      <c r="Z592" s="19" t="str">
        <f t="shared" si="217"/>
        <v>ReencaucheReencauchadora RENOVA</v>
      </c>
    </row>
    <row r="593" spans="2:26" ht="15.2" customHeight="1">
      <c r="B593" s="37"/>
      <c r="E593" s="2949">
        <v>2</v>
      </c>
      <c r="F593" s="2297" t="s">
        <v>723</v>
      </c>
      <c r="G593" s="68" t="s">
        <v>724</v>
      </c>
      <c r="H593" s="69" t="s">
        <v>1439</v>
      </c>
      <c r="I593" s="68" t="s">
        <v>726</v>
      </c>
      <c r="J593" s="70" t="s">
        <v>760</v>
      </c>
      <c r="K593" s="71" t="s">
        <v>3324</v>
      </c>
      <c r="L593" s="72">
        <v>43335</v>
      </c>
      <c r="M593" s="73" t="s">
        <v>729</v>
      </c>
      <c r="N593" s="74">
        <v>43341</v>
      </c>
      <c r="O593" s="75">
        <v>43341</v>
      </c>
      <c r="P593" s="2765" t="s">
        <v>3332</v>
      </c>
      <c r="Q593" s="2954">
        <v>100.9</v>
      </c>
      <c r="R593" s="76"/>
      <c r="S593" s="1945" t="s">
        <v>731</v>
      </c>
      <c r="T593" s="77" t="s">
        <v>2570</v>
      </c>
      <c r="U593" s="1893"/>
      <c r="V593" s="2079">
        <f t="shared" si="210"/>
        <v>119.062</v>
      </c>
      <c r="W593" s="78">
        <f t="shared" si="211"/>
        <v>0</v>
      </c>
      <c r="X593" s="1878" t="str">
        <f t="shared" si="209"/>
        <v>2.- R Aeolus 0040114-OT_250670  Reencauche F01-00016388 IDY3-220</v>
      </c>
      <c r="Z593" s="19" t="str">
        <f t="shared" si="217"/>
        <v>ReencaucheReencauchadora RENOVA</v>
      </c>
    </row>
    <row r="594" spans="2:26" ht="15.2" customHeight="1">
      <c r="B594" s="37"/>
      <c r="E594" s="2949">
        <v>3</v>
      </c>
      <c r="F594" s="2297" t="s">
        <v>723</v>
      </c>
      <c r="G594" s="68" t="s">
        <v>724</v>
      </c>
      <c r="H594" s="69" t="s">
        <v>1438</v>
      </c>
      <c r="I594" s="68" t="s">
        <v>726</v>
      </c>
      <c r="J594" s="70" t="s">
        <v>760</v>
      </c>
      <c r="K594" s="71" t="s">
        <v>3324</v>
      </c>
      <c r="L594" s="72">
        <v>43335</v>
      </c>
      <c r="M594" s="73" t="s">
        <v>729</v>
      </c>
      <c r="N594" s="74">
        <v>43341</v>
      </c>
      <c r="O594" s="75">
        <f t="shared" si="220"/>
        <v>43341</v>
      </c>
      <c r="P594" s="2765" t="s">
        <v>3332</v>
      </c>
      <c r="Q594" s="2954">
        <v>100.9</v>
      </c>
      <c r="R594" s="76"/>
      <c r="S594" s="1945" t="s">
        <v>731</v>
      </c>
      <c r="T594" s="77" t="s">
        <v>2570</v>
      </c>
      <c r="U594" s="1893"/>
      <c r="V594" s="2079">
        <f t="shared" si="210"/>
        <v>119.062</v>
      </c>
      <c r="W594" s="78">
        <f t="shared" si="211"/>
        <v>0</v>
      </c>
      <c r="X594" s="1878" t="str">
        <f t="shared" si="209"/>
        <v>3.- R Aeolus 0060114-OT_250670  Reencauche F01-00016388 IDY3-220</v>
      </c>
      <c r="Z594" s="19" t="str">
        <f t="shared" si="217"/>
        <v>ReencaucheReencauchadora RENOVA</v>
      </c>
    </row>
    <row r="595" spans="2:26" ht="15.2" customHeight="1">
      <c r="B595" s="37"/>
      <c r="E595" s="2949">
        <v>4</v>
      </c>
      <c r="F595" s="2297" t="s">
        <v>723</v>
      </c>
      <c r="G595" s="68" t="s">
        <v>724</v>
      </c>
      <c r="H595" s="69" t="s">
        <v>1176</v>
      </c>
      <c r="I595" s="68" t="s">
        <v>726</v>
      </c>
      <c r="J595" s="70" t="s">
        <v>760</v>
      </c>
      <c r="K595" s="71" t="s">
        <v>3324</v>
      </c>
      <c r="L595" s="72">
        <v>43335</v>
      </c>
      <c r="M595" s="73" t="s">
        <v>729</v>
      </c>
      <c r="N595" s="74">
        <v>43341</v>
      </c>
      <c r="O595" s="75">
        <f t="shared" si="220"/>
        <v>43341</v>
      </c>
      <c r="P595" s="2765" t="s">
        <v>3332</v>
      </c>
      <c r="Q595" s="2954">
        <v>100.9</v>
      </c>
      <c r="R595" s="76"/>
      <c r="S595" s="1945" t="s">
        <v>731</v>
      </c>
      <c r="T595" s="77" t="s">
        <v>2570</v>
      </c>
      <c r="U595" s="1893"/>
      <c r="V595" s="2079">
        <f t="shared" si="210"/>
        <v>119.062</v>
      </c>
      <c r="W595" s="78">
        <f t="shared" si="211"/>
        <v>0</v>
      </c>
      <c r="X595" s="1878" t="str">
        <f t="shared" si="209"/>
        <v>4.- R Aeolus 0501214-OT_250670  Reencauche F01-00016388 IDY3-220</v>
      </c>
      <c r="Z595" s="19" t="str">
        <f>CONCATENATE(I598,J598)</f>
        <v>ReencaucheReencauchadora RENOVA</v>
      </c>
    </row>
    <row r="596" spans="2:26" ht="15.2" customHeight="1">
      <c r="B596" s="37"/>
      <c r="E596" s="2949">
        <v>5</v>
      </c>
      <c r="F596" s="2297" t="s">
        <v>723</v>
      </c>
      <c r="G596" s="68" t="s">
        <v>737</v>
      </c>
      <c r="H596" s="69" t="s">
        <v>3326</v>
      </c>
      <c r="I596" s="68" t="s">
        <v>726</v>
      </c>
      <c r="J596" s="70" t="s">
        <v>760</v>
      </c>
      <c r="K596" s="2305" t="s">
        <v>3324</v>
      </c>
      <c r="L596" s="72">
        <v>43335</v>
      </c>
      <c r="M596" s="73" t="s">
        <v>729</v>
      </c>
      <c r="N596" s="74">
        <v>43341</v>
      </c>
      <c r="O596" s="75">
        <f t="shared" ref="O596" si="226">+N596</f>
        <v>43341</v>
      </c>
      <c r="P596" s="2765" t="s">
        <v>3332</v>
      </c>
      <c r="Q596" s="2954">
        <v>100.9</v>
      </c>
      <c r="R596" s="76"/>
      <c r="S596" s="1945" t="s">
        <v>731</v>
      </c>
      <c r="T596" s="77" t="s">
        <v>2570</v>
      </c>
      <c r="U596" s="1893"/>
      <c r="V596" s="2079">
        <f t="shared" si="210"/>
        <v>119.062</v>
      </c>
      <c r="W596" s="78">
        <f t="shared" si="211"/>
        <v>0</v>
      </c>
      <c r="X596" s="1878" t="str">
        <f t="shared" si="209"/>
        <v>5.- R Vikrant 0240318-OT_250670  Reencauche F01-00016388 IDY3-220</v>
      </c>
      <c r="Z596" s="19" t="str">
        <f t="shared" si="217"/>
        <v>ReencaucheReencauchadora RENOVA</v>
      </c>
    </row>
    <row r="597" spans="2:26" ht="15.2" customHeight="1">
      <c r="B597" s="37"/>
      <c r="E597" s="3013">
        <v>6</v>
      </c>
      <c r="F597" s="2297" t="s">
        <v>732</v>
      </c>
      <c r="G597" s="68" t="s">
        <v>737</v>
      </c>
      <c r="H597" s="69" t="s">
        <v>1625</v>
      </c>
      <c r="I597" s="68" t="s">
        <v>726</v>
      </c>
      <c r="J597" s="70" t="s">
        <v>760</v>
      </c>
      <c r="K597" s="2305" t="s">
        <v>3323</v>
      </c>
      <c r="L597" s="72">
        <v>43335</v>
      </c>
      <c r="M597" s="2306" t="s">
        <v>729</v>
      </c>
      <c r="N597" s="74">
        <v>43341</v>
      </c>
      <c r="O597" s="75">
        <f t="shared" si="220"/>
        <v>43341</v>
      </c>
      <c r="P597" s="2765" t="s">
        <v>3332</v>
      </c>
      <c r="Q597" s="2954">
        <v>90.26</v>
      </c>
      <c r="R597" s="76"/>
      <c r="S597" s="1945" t="s">
        <v>731</v>
      </c>
      <c r="T597" s="77" t="s">
        <v>3098</v>
      </c>
      <c r="U597" s="1893"/>
      <c r="V597" s="2079">
        <f t="shared" si="210"/>
        <v>106.5068</v>
      </c>
      <c r="W597" s="78">
        <f t="shared" si="211"/>
        <v>0</v>
      </c>
      <c r="X597" s="1878" t="str">
        <f t="shared" si="209"/>
        <v>6.- C Vikrant 0320410-OT_250671  Reencauche F01-00016388 IZB-220</v>
      </c>
      <c r="Z597" s="19" t="str">
        <f t="shared" si="217"/>
        <v>ReencaucheReencauchadora RENOVA</v>
      </c>
    </row>
    <row r="598" spans="2:26" ht="15.2" customHeight="1">
      <c r="B598" s="37"/>
      <c r="E598" s="79">
        <v>7</v>
      </c>
      <c r="F598" s="2575" t="s">
        <v>723</v>
      </c>
      <c r="G598" s="2576" t="s">
        <v>724</v>
      </c>
      <c r="H598" s="2577" t="s">
        <v>1443</v>
      </c>
      <c r="I598" s="2576" t="s">
        <v>726</v>
      </c>
      <c r="J598" s="2578" t="s">
        <v>760</v>
      </c>
      <c r="K598" s="2579" t="s">
        <v>3324</v>
      </c>
      <c r="L598" s="2580">
        <v>43335</v>
      </c>
      <c r="M598" s="2581" t="s">
        <v>729</v>
      </c>
      <c r="N598" s="2582">
        <v>43354</v>
      </c>
      <c r="O598" s="2583">
        <f>+N598</f>
        <v>43354</v>
      </c>
      <c r="P598" s="2766" t="s">
        <v>3342</v>
      </c>
      <c r="Q598" s="2955">
        <v>100.9</v>
      </c>
      <c r="R598" s="89"/>
      <c r="S598" s="1946" t="s">
        <v>731</v>
      </c>
      <c r="T598" s="77" t="s">
        <v>2570</v>
      </c>
      <c r="U598" s="1893"/>
      <c r="V598" s="2079">
        <f t="shared" si="210"/>
        <v>119.062</v>
      </c>
      <c r="W598" s="78">
        <f t="shared" si="211"/>
        <v>0</v>
      </c>
      <c r="X598" s="1878" t="str">
        <f t="shared" si="209"/>
        <v>7.- R Aeolus 0451214-OT_250670  Reencauche F101-00016580 IDY3-220</v>
      </c>
      <c r="Z598" s="19" t="str">
        <f t="shared" si="217"/>
        <v>ReencaucheReencauchadora RENOVA</v>
      </c>
    </row>
    <row r="599" spans="2:26" ht="15.2" customHeight="1">
      <c r="B599" s="37"/>
      <c r="E599" s="2949">
        <v>1</v>
      </c>
      <c r="F599" s="2297" t="s">
        <v>723</v>
      </c>
      <c r="G599" s="68" t="s">
        <v>737</v>
      </c>
      <c r="H599" s="69" t="s">
        <v>3294</v>
      </c>
      <c r="I599" s="68" t="s">
        <v>726</v>
      </c>
      <c r="J599" s="70" t="s">
        <v>760</v>
      </c>
      <c r="K599" s="2305" t="s">
        <v>3302</v>
      </c>
      <c r="L599" s="72">
        <v>43325</v>
      </c>
      <c r="M599" s="73" t="s">
        <v>729</v>
      </c>
      <c r="N599" s="74">
        <v>43329</v>
      </c>
      <c r="O599" s="75">
        <f t="shared" si="220"/>
        <v>43329</v>
      </c>
      <c r="P599" s="2765" t="s">
        <v>3320</v>
      </c>
      <c r="Q599" s="2954">
        <v>100.9</v>
      </c>
      <c r="R599" s="76"/>
      <c r="S599" s="1945" t="s">
        <v>731</v>
      </c>
      <c r="T599" s="77" t="s">
        <v>2570</v>
      </c>
      <c r="U599" s="1893"/>
      <c r="V599" s="2079">
        <f t="shared" si="210"/>
        <v>119.062</v>
      </c>
      <c r="W599" s="78">
        <f t="shared" si="211"/>
        <v>0</v>
      </c>
      <c r="X599" s="1878" t="str">
        <f t="shared" si="209"/>
        <v>1.- R Vikrant 0850917-OT_250656  Reencauche F01-00016349 IDY3-220</v>
      </c>
      <c r="Z599" s="19" t="str">
        <f t="shared" si="217"/>
        <v>ReencaucheReencauchadora RENOVA</v>
      </c>
    </row>
    <row r="600" spans="2:26" ht="15.2" customHeight="1">
      <c r="B600" s="37"/>
      <c r="E600" s="2949">
        <v>2</v>
      </c>
      <c r="F600" s="2297" t="s">
        <v>723</v>
      </c>
      <c r="G600" s="68" t="s">
        <v>737</v>
      </c>
      <c r="H600" s="69" t="s">
        <v>3295</v>
      </c>
      <c r="I600" s="68" t="s">
        <v>726</v>
      </c>
      <c r="J600" s="70" t="s">
        <v>760</v>
      </c>
      <c r="K600" s="71" t="s">
        <v>3302</v>
      </c>
      <c r="L600" s="72">
        <v>43325</v>
      </c>
      <c r="M600" s="73" t="s">
        <v>729</v>
      </c>
      <c r="N600" s="74">
        <v>43329</v>
      </c>
      <c r="O600" s="75">
        <f t="shared" si="220"/>
        <v>43329</v>
      </c>
      <c r="P600" s="2765" t="s">
        <v>3320</v>
      </c>
      <c r="Q600" s="2954">
        <v>100.9</v>
      </c>
      <c r="R600" s="76"/>
      <c r="S600" s="1945" t="s">
        <v>731</v>
      </c>
      <c r="T600" s="77" t="s">
        <v>2570</v>
      </c>
      <c r="U600" s="1893"/>
      <c r="V600" s="2079">
        <f t="shared" si="210"/>
        <v>119.062</v>
      </c>
      <c r="W600" s="78">
        <f t="shared" si="211"/>
        <v>0</v>
      </c>
      <c r="X600" s="1878" t="str">
        <f t="shared" si="209"/>
        <v>2.- R Vikrant 0840917-OT_250656  Reencauche F01-00016349 IDY3-220</v>
      </c>
      <c r="Z600" s="19" t="str">
        <f t="shared" si="215"/>
        <v>ReencaucheReencauchadora RENOVA</v>
      </c>
    </row>
    <row r="601" spans="2:26" ht="15.2" customHeight="1">
      <c r="B601" s="37"/>
      <c r="E601" s="2949">
        <v>3</v>
      </c>
      <c r="F601" s="2297" t="s">
        <v>723</v>
      </c>
      <c r="G601" s="68" t="s">
        <v>737</v>
      </c>
      <c r="H601" s="69" t="s">
        <v>3296</v>
      </c>
      <c r="I601" s="68" t="s">
        <v>726</v>
      </c>
      <c r="J601" s="70" t="s">
        <v>760</v>
      </c>
      <c r="K601" s="71" t="s">
        <v>3302</v>
      </c>
      <c r="L601" s="72">
        <v>43325</v>
      </c>
      <c r="M601" s="73" t="s">
        <v>729</v>
      </c>
      <c r="N601" s="74">
        <v>43329</v>
      </c>
      <c r="O601" s="75">
        <f t="shared" si="220"/>
        <v>43329</v>
      </c>
      <c r="P601" s="2765" t="s">
        <v>3320</v>
      </c>
      <c r="Q601" s="2954">
        <v>100.9</v>
      </c>
      <c r="R601" s="76"/>
      <c r="S601" s="1945" t="s">
        <v>731</v>
      </c>
      <c r="T601" s="77" t="s">
        <v>2570</v>
      </c>
      <c r="U601" s="1893"/>
      <c r="V601" s="2079">
        <f t="shared" si="210"/>
        <v>119.062</v>
      </c>
      <c r="W601" s="78">
        <f t="shared" si="211"/>
        <v>0</v>
      </c>
      <c r="X601" s="1878" t="str">
        <f t="shared" si="209"/>
        <v>3.- R Vikrant 0860917-OT_250656  Reencauche F01-00016349 IDY3-220</v>
      </c>
      <c r="Z601" s="19" t="str">
        <f t="shared" si="215"/>
        <v>ReencaucheReencauchadora RENOVA</v>
      </c>
    </row>
    <row r="602" spans="2:26" ht="15.2" customHeight="1">
      <c r="B602" s="37"/>
      <c r="E602" s="2949">
        <v>4</v>
      </c>
      <c r="F602" s="2297" t="s">
        <v>723</v>
      </c>
      <c r="G602" s="68" t="s">
        <v>151</v>
      </c>
      <c r="H602" s="69" t="s">
        <v>3298</v>
      </c>
      <c r="I602" s="68" t="s">
        <v>726</v>
      </c>
      <c r="J602" s="70" t="s">
        <v>760</v>
      </c>
      <c r="K602" s="71" t="s">
        <v>3302</v>
      </c>
      <c r="L602" s="72">
        <v>43325</v>
      </c>
      <c r="M602" s="73" t="s">
        <v>729</v>
      </c>
      <c r="N602" s="74">
        <v>43329</v>
      </c>
      <c r="O602" s="75">
        <f t="shared" si="220"/>
        <v>43329</v>
      </c>
      <c r="P602" s="2765" t="s">
        <v>3320</v>
      </c>
      <c r="Q602" s="2954">
        <v>100.9</v>
      </c>
      <c r="R602" s="76"/>
      <c r="S602" s="1945" t="s">
        <v>731</v>
      </c>
      <c r="T602" s="77" t="s">
        <v>2570</v>
      </c>
      <c r="U602" s="1893"/>
      <c r="V602" s="2079">
        <f t="shared" si="210"/>
        <v>119.062</v>
      </c>
      <c r="W602" s="78">
        <f t="shared" si="211"/>
        <v>0</v>
      </c>
      <c r="X602" s="1878" t="str">
        <f t="shared" si="209"/>
        <v>4.- R WindPower 0761115-OT_250656  Reencauche F01-00016349 IDY3-220</v>
      </c>
      <c r="Z602" s="19" t="str">
        <f>CONCATENATE(I605,J605)</f>
        <v>ReencaucheReencauchadora RENOVA</v>
      </c>
    </row>
    <row r="603" spans="2:26" ht="15.2" customHeight="1">
      <c r="B603" s="37"/>
      <c r="E603" s="2946">
        <v>5</v>
      </c>
      <c r="F603" s="2297" t="s">
        <v>2825</v>
      </c>
      <c r="G603" s="68" t="s">
        <v>724</v>
      </c>
      <c r="H603" s="69" t="s">
        <v>3300</v>
      </c>
      <c r="I603" s="68" t="s">
        <v>726</v>
      </c>
      <c r="J603" s="70" t="s">
        <v>760</v>
      </c>
      <c r="K603" s="71" t="s">
        <v>3302</v>
      </c>
      <c r="L603" s="72">
        <v>43325</v>
      </c>
      <c r="M603" s="2306" t="s">
        <v>729</v>
      </c>
      <c r="N603" s="74">
        <v>43329</v>
      </c>
      <c r="O603" s="75">
        <f t="shared" si="218"/>
        <v>43329</v>
      </c>
      <c r="P603" s="2765" t="s">
        <v>3320</v>
      </c>
      <c r="Q603" s="2954">
        <v>168.02</v>
      </c>
      <c r="R603" s="76"/>
      <c r="S603" s="1945" t="s">
        <v>731</v>
      </c>
      <c r="T603" s="77" t="s">
        <v>3321</v>
      </c>
      <c r="U603" s="1893"/>
      <c r="V603" s="2079">
        <f t="shared" si="210"/>
        <v>198.2636</v>
      </c>
      <c r="W603" s="78">
        <f t="shared" si="211"/>
        <v>0</v>
      </c>
      <c r="X603" s="1878" t="str">
        <f t="shared" si="209"/>
        <v>5.- B Aeolus 0580716-OT_250656  Reencauche F01-00016349 LZY3-350 425/65/22.5</v>
      </c>
      <c r="Z603" s="19" t="str">
        <f>CONCATENATE(I606,J606)</f>
        <v>ReencaucheReencauchadora RENOVA</v>
      </c>
    </row>
    <row r="604" spans="2:26" ht="15.2" customHeight="1">
      <c r="B604" s="37"/>
      <c r="E604" s="3009">
        <v>6</v>
      </c>
      <c r="F604" s="2297" t="s">
        <v>2825</v>
      </c>
      <c r="G604" s="68" t="s">
        <v>724</v>
      </c>
      <c r="H604" s="69" t="s">
        <v>3301</v>
      </c>
      <c r="I604" s="68" t="s">
        <v>726</v>
      </c>
      <c r="J604" s="70" t="s">
        <v>760</v>
      </c>
      <c r="K604" s="71" t="s">
        <v>3302</v>
      </c>
      <c r="L604" s="72">
        <v>43325</v>
      </c>
      <c r="M604" s="2306" t="s">
        <v>729</v>
      </c>
      <c r="N604" s="74">
        <v>43329</v>
      </c>
      <c r="O604" s="75">
        <f t="shared" si="218"/>
        <v>43329</v>
      </c>
      <c r="P604" s="2765" t="s">
        <v>3320</v>
      </c>
      <c r="Q604" s="2954">
        <v>168.02</v>
      </c>
      <c r="R604" s="76"/>
      <c r="S604" s="1945" t="s">
        <v>731</v>
      </c>
      <c r="T604" s="77" t="s">
        <v>3321</v>
      </c>
      <c r="U604" s="1893"/>
      <c r="V604" s="2079">
        <f t="shared" si="210"/>
        <v>198.2636</v>
      </c>
      <c r="W604" s="78">
        <f t="shared" si="211"/>
        <v>0</v>
      </c>
      <c r="X604" s="1878" t="str">
        <f t="shared" si="209"/>
        <v>6.- B Aeolus 0570716-OT_250656  Reencauche F01-00016349 LZY3-350 425/65/22.5</v>
      </c>
      <c r="Z604" s="19" t="str">
        <f>CONCATENATE(I607,J607)</f>
        <v>ReencaucheReencauchadora RENOVA</v>
      </c>
    </row>
    <row r="605" spans="2:26" ht="15.2" customHeight="1">
      <c r="B605" s="37"/>
      <c r="E605" s="2949">
        <v>7</v>
      </c>
      <c r="F605" s="2297" t="s">
        <v>723</v>
      </c>
      <c r="G605" s="68" t="s">
        <v>724</v>
      </c>
      <c r="H605" s="69" t="s">
        <v>3299</v>
      </c>
      <c r="I605" s="68" t="s">
        <v>726</v>
      </c>
      <c r="J605" s="70" t="s">
        <v>760</v>
      </c>
      <c r="K605" s="71" t="s">
        <v>3302</v>
      </c>
      <c r="L605" s="72">
        <v>43325</v>
      </c>
      <c r="M605" s="2306" t="s">
        <v>729</v>
      </c>
      <c r="N605" s="74">
        <v>43329</v>
      </c>
      <c r="O605" s="75">
        <f>+N605</f>
        <v>43329</v>
      </c>
      <c r="P605" s="2765" t="s">
        <v>3320</v>
      </c>
      <c r="Q605" s="2954">
        <v>88.03</v>
      </c>
      <c r="R605" s="76"/>
      <c r="S605" s="1945" t="s">
        <v>731</v>
      </c>
      <c r="T605" s="77" t="s">
        <v>3322</v>
      </c>
      <c r="U605" s="1893"/>
      <c r="V605" s="2079">
        <f t="shared" si="210"/>
        <v>103.8754</v>
      </c>
      <c r="W605" s="78">
        <f t="shared" si="211"/>
        <v>0</v>
      </c>
      <c r="X605" s="1878" t="str">
        <f t="shared" si="209"/>
        <v>7.- R Aeolus 0220215-OT_250656  Reencauche F01-00016349 IZY2W-220</v>
      </c>
      <c r="Z605" s="19" t="str">
        <f t="shared" ref="Z605:Z607" si="227">CONCATENATE(I608,J608)</f>
        <v>ReencaucheReenc. MASTERCAUCHO</v>
      </c>
    </row>
    <row r="606" spans="2:26" ht="15.2" customHeight="1">
      <c r="B606" s="37"/>
      <c r="E606" s="3009">
        <v>8</v>
      </c>
      <c r="F606" s="2297" t="s">
        <v>723</v>
      </c>
      <c r="G606" s="68" t="s">
        <v>724</v>
      </c>
      <c r="H606" s="69" t="s">
        <v>873</v>
      </c>
      <c r="I606" s="68" t="s">
        <v>726</v>
      </c>
      <c r="J606" s="70" t="s">
        <v>760</v>
      </c>
      <c r="K606" s="71" t="s">
        <v>3302</v>
      </c>
      <c r="L606" s="72">
        <v>43325</v>
      </c>
      <c r="M606" s="3011" t="s">
        <v>729</v>
      </c>
      <c r="N606" s="74">
        <v>43329</v>
      </c>
      <c r="O606" s="75">
        <f>+N606</f>
        <v>43329</v>
      </c>
      <c r="P606" s="2765" t="s">
        <v>3318</v>
      </c>
      <c r="Q606" s="2954">
        <v>0</v>
      </c>
      <c r="R606" s="76"/>
      <c r="S606" s="1945" t="s">
        <v>731</v>
      </c>
      <c r="T606" s="77" t="s">
        <v>3319</v>
      </c>
      <c r="U606" s="1893"/>
      <c r="V606" s="2079">
        <f t="shared" si="210"/>
        <v>0</v>
      </c>
      <c r="W606" s="78">
        <f t="shared" si="211"/>
        <v>0</v>
      </c>
      <c r="X606" s="1878" t="str">
        <f t="shared" si="209"/>
        <v>8.- R Aeolus 0190514-OT_250656  Reencauche G030-0075096 Rechazada, Falla Estructural</v>
      </c>
      <c r="Z606" s="19" t="str">
        <f t="shared" si="227"/>
        <v>ReencaucheReenc. MASTERCAUCHO</v>
      </c>
    </row>
    <row r="607" spans="2:26" ht="15.2" customHeight="1">
      <c r="B607" s="37"/>
      <c r="E607" s="79">
        <v>9</v>
      </c>
      <c r="F607" s="2294" t="s">
        <v>723</v>
      </c>
      <c r="G607" s="81" t="s">
        <v>737</v>
      </c>
      <c r="H607" s="82" t="s">
        <v>3297</v>
      </c>
      <c r="I607" s="81" t="s">
        <v>726</v>
      </c>
      <c r="J607" s="83" t="s">
        <v>760</v>
      </c>
      <c r="K607" s="84" t="s">
        <v>3302</v>
      </c>
      <c r="L607" s="85">
        <v>43325</v>
      </c>
      <c r="M607" s="3012" t="s">
        <v>729</v>
      </c>
      <c r="N607" s="87">
        <v>43329</v>
      </c>
      <c r="O607" s="88">
        <f>+N607</f>
        <v>43329</v>
      </c>
      <c r="P607" s="2766" t="s">
        <v>3318</v>
      </c>
      <c r="Q607" s="2955">
        <v>0</v>
      </c>
      <c r="R607" s="89"/>
      <c r="S607" s="1946" t="s">
        <v>731</v>
      </c>
      <c r="T607" s="77" t="s">
        <v>3319</v>
      </c>
      <c r="U607" s="1893"/>
      <c r="V607" s="2079">
        <f t="shared" si="210"/>
        <v>0</v>
      </c>
      <c r="W607" s="78">
        <f t="shared" si="211"/>
        <v>0</v>
      </c>
      <c r="X607" s="1878" t="str">
        <f t="shared" si="209"/>
        <v>9.- R Vikrant 0870917-OT_250656  Reencauche G030-0075096 Rechazada, Falla Estructural</v>
      </c>
      <c r="Z607" s="19" t="str">
        <f t="shared" si="227"/>
        <v>ReencaucheReenc. MASTERCAUCHO</v>
      </c>
    </row>
    <row r="608" spans="2:26" ht="15.2" customHeight="1">
      <c r="B608" s="37"/>
      <c r="E608" s="3009">
        <v>1</v>
      </c>
      <c r="F608" s="2297" t="s">
        <v>732</v>
      </c>
      <c r="G608" s="68" t="s">
        <v>737</v>
      </c>
      <c r="H608" s="69" t="s">
        <v>1164</v>
      </c>
      <c r="I608" s="68" t="s">
        <v>726</v>
      </c>
      <c r="J608" s="70" t="s">
        <v>727</v>
      </c>
      <c r="K608" s="2305" t="s">
        <v>3311</v>
      </c>
      <c r="L608" s="72">
        <v>43321</v>
      </c>
      <c r="M608" s="2306" t="s">
        <v>729</v>
      </c>
      <c r="N608" s="74">
        <v>43329</v>
      </c>
      <c r="O608" s="75">
        <f t="shared" ref="O608:O610" si="228">+N608</f>
        <v>43329</v>
      </c>
      <c r="P608" s="2765" t="s">
        <v>3312</v>
      </c>
      <c r="Q608" s="2954"/>
      <c r="R608" s="76">
        <v>262.70999999999998</v>
      </c>
      <c r="S608" s="1945" t="s">
        <v>731</v>
      </c>
      <c r="T608" s="77" t="s">
        <v>3050</v>
      </c>
      <c r="U608" s="1893"/>
      <c r="V608" s="2079">
        <f t="shared" si="210"/>
        <v>0</v>
      </c>
      <c r="W608" s="78">
        <f t="shared" si="211"/>
        <v>309.99779999999998</v>
      </c>
      <c r="X608" s="1878" t="str">
        <f t="shared" si="209"/>
        <v>1.- C Vikrant 1090705-OT_009278  Reencauche E001-123 ZB-220</v>
      </c>
      <c r="Z608" s="19" t="str">
        <f t="shared" ref="Z608:Z609" si="229">CONCATENATE(I611,J611)</f>
        <v>Casc 2a trnsplReenc. MASTERCAUCHO</v>
      </c>
    </row>
    <row r="609" spans="2:26" ht="15.2" customHeight="1">
      <c r="B609" s="37"/>
      <c r="E609" s="3009">
        <v>2</v>
      </c>
      <c r="F609" s="2297" t="s">
        <v>732</v>
      </c>
      <c r="G609" s="68" t="s">
        <v>737</v>
      </c>
      <c r="H609" s="69" t="s">
        <v>1635</v>
      </c>
      <c r="I609" s="68" t="s">
        <v>726</v>
      </c>
      <c r="J609" s="70" t="s">
        <v>727</v>
      </c>
      <c r="K609" s="71" t="s">
        <v>3311</v>
      </c>
      <c r="L609" s="72">
        <v>43321</v>
      </c>
      <c r="M609" s="2306" t="s">
        <v>729</v>
      </c>
      <c r="N609" s="74">
        <v>43329</v>
      </c>
      <c r="O609" s="75">
        <f t="shared" si="228"/>
        <v>43329</v>
      </c>
      <c r="P609" s="2765" t="s">
        <v>3312</v>
      </c>
      <c r="Q609" s="2954"/>
      <c r="R609" s="76">
        <v>262.70999999999998</v>
      </c>
      <c r="S609" s="1945" t="s">
        <v>731</v>
      </c>
      <c r="T609" s="77" t="s">
        <v>3050</v>
      </c>
      <c r="U609" s="1893"/>
      <c r="V609" s="2079">
        <f t="shared" si="210"/>
        <v>0</v>
      </c>
      <c r="W609" s="78">
        <f t="shared" si="211"/>
        <v>309.99779999999998</v>
      </c>
      <c r="X609" s="1878" t="str">
        <f t="shared" si="209"/>
        <v>2.- C Vikrant 0430510-OT_009278  Reencauche E001-123 ZB-220</v>
      </c>
      <c r="Z609" s="19" t="str">
        <f t="shared" si="229"/>
        <v>Casc 2a trnsplReenc. MASTERCAUCHO</v>
      </c>
    </row>
    <row r="610" spans="2:26" ht="15.2" customHeight="1">
      <c r="B610" s="37"/>
      <c r="E610" s="79">
        <v>3</v>
      </c>
      <c r="F610" s="2294" t="s">
        <v>732</v>
      </c>
      <c r="G610" s="81" t="s">
        <v>737</v>
      </c>
      <c r="H610" s="82" t="s">
        <v>904</v>
      </c>
      <c r="I610" s="81" t="s">
        <v>726</v>
      </c>
      <c r="J610" s="83" t="s">
        <v>727</v>
      </c>
      <c r="K610" s="84" t="s">
        <v>3311</v>
      </c>
      <c r="L610" s="85">
        <v>43321</v>
      </c>
      <c r="M610" s="2296" t="s">
        <v>729</v>
      </c>
      <c r="N610" s="87">
        <v>43329</v>
      </c>
      <c r="O610" s="88">
        <f t="shared" si="228"/>
        <v>43329</v>
      </c>
      <c r="P610" s="2766" t="s">
        <v>3312</v>
      </c>
      <c r="Q610" s="2955"/>
      <c r="R610" s="89">
        <v>262.70999999999998</v>
      </c>
      <c r="S610" s="1946" t="s">
        <v>731</v>
      </c>
      <c r="T610" s="77" t="s">
        <v>3050</v>
      </c>
      <c r="U610" s="1893"/>
      <c r="V610" s="2079">
        <f t="shared" si="210"/>
        <v>0</v>
      </c>
      <c r="W610" s="78">
        <f t="shared" si="211"/>
        <v>309.99779999999998</v>
      </c>
      <c r="X610" s="1878" t="str">
        <f t="shared" ref="X610:X673" si="230">CONCATENATE(E610,".- ",F610," ",G610," ",H610,"-OT_",K610," "," ",I610," ",P610," ",T610)</f>
        <v>3.- C Vikrant 0660809-OT_009278  Reencauche E001-123 ZB-220</v>
      </c>
      <c r="Z610" s="19" t="str">
        <f t="shared" si="215"/>
        <v>Vulcanizado (curación)Reenc. MASTERCAUCHO</v>
      </c>
    </row>
    <row r="611" spans="2:26" ht="15.2" customHeight="1">
      <c r="B611" s="37"/>
      <c r="E611" s="3009">
        <v>4</v>
      </c>
      <c r="F611" s="2297"/>
      <c r="G611" s="68" t="s">
        <v>2551</v>
      </c>
      <c r="H611" s="69" t="s">
        <v>3314</v>
      </c>
      <c r="I611" s="68" t="s">
        <v>3224</v>
      </c>
      <c r="J611" s="70" t="s">
        <v>727</v>
      </c>
      <c r="K611" s="2305" t="s">
        <v>857</v>
      </c>
      <c r="L611" s="72"/>
      <c r="M611" s="73"/>
      <c r="N611" s="74">
        <v>43329</v>
      </c>
      <c r="O611" s="75">
        <f t="shared" ref="O611:O612" si="231">+N611</f>
        <v>43329</v>
      </c>
      <c r="P611" s="2765" t="s">
        <v>3317</v>
      </c>
      <c r="Q611" s="2954"/>
      <c r="R611" s="76">
        <v>211.864</v>
      </c>
      <c r="S611" s="1945" t="s">
        <v>731</v>
      </c>
      <c r="T611" s="77" t="s">
        <v>3313</v>
      </c>
      <c r="U611" s="1893"/>
      <c r="V611" s="2079">
        <f t="shared" ref="V611:V674" si="232">+Q611*(1.18)</f>
        <v>0</v>
      </c>
      <c r="W611" s="78">
        <f t="shared" ref="W611:W674" si="233">+R611*(1.18)</f>
        <v>249.99951999999999</v>
      </c>
      <c r="X611" s="1878" t="str">
        <f t="shared" si="230"/>
        <v>4.-  SAILUM 8290818 -OT_S/D  Casc 2a trnspl E001-128 SAILUM S815 1914 China</v>
      </c>
      <c r="Z611" s="19" t="str">
        <f t="shared" si="215"/>
        <v>ReencaucheReenc. MASTERCAUCHO</v>
      </c>
    </row>
    <row r="612" spans="2:26" ht="15.2" customHeight="1">
      <c r="B612" s="37"/>
      <c r="E612" s="79">
        <v>5</v>
      </c>
      <c r="F612" s="2294"/>
      <c r="G612" s="81" t="s">
        <v>291</v>
      </c>
      <c r="H612" s="82" t="s">
        <v>3316</v>
      </c>
      <c r="I612" s="81" t="s">
        <v>3224</v>
      </c>
      <c r="J612" s="83" t="s">
        <v>727</v>
      </c>
      <c r="K612" s="2295" t="s">
        <v>857</v>
      </c>
      <c r="L612" s="85"/>
      <c r="M612" s="86"/>
      <c r="N612" s="87">
        <v>43329</v>
      </c>
      <c r="O612" s="88">
        <f t="shared" si="231"/>
        <v>43329</v>
      </c>
      <c r="P612" s="2766" t="s">
        <v>3317</v>
      </c>
      <c r="Q612" s="2955"/>
      <c r="R612" s="89">
        <v>211.864</v>
      </c>
      <c r="S612" s="1946" t="s">
        <v>731</v>
      </c>
      <c r="T612" s="77" t="s">
        <v>3315</v>
      </c>
      <c r="U612" s="1893"/>
      <c r="V612" s="2079">
        <f t="shared" si="232"/>
        <v>0</v>
      </c>
      <c r="W612" s="78">
        <f t="shared" si="233"/>
        <v>249.99951999999999</v>
      </c>
      <c r="X612" s="1878" t="str">
        <f t="shared" si="230"/>
        <v>5.-  Brigestone 8300818 -OT_S/D  Casc 2a trnspl E001-128 Brigestone M840 2813 España</v>
      </c>
      <c r="Z612" s="19" t="str">
        <f t="shared" si="215"/>
        <v>ReencaucheReenc. MASTERCAUCHO</v>
      </c>
    </row>
    <row r="613" spans="2:26" ht="15.2" customHeight="1">
      <c r="B613" s="37"/>
      <c r="E613" s="2949">
        <v>1</v>
      </c>
      <c r="F613" s="2297" t="s">
        <v>723</v>
      </c>
      <c r="G613" s="68" t="s">
        <v>3205</v>
      </c>
      <c r="H613" s="69" t="s">
        <v>3223</v>
      </c>
      <c r="I613" s="68" t="s">
        <v>811</v>
      </c>
      <c r="J613" s="70" t="s">
        <v>727</v>
      </c>
      <c r="K613" s="71" t="s">
        <v>3285</v>
      </c>
      <c r="L613" s="72">
        <v>43315</v>
      </c>
      <c r="M613" s="2306" t="s">
        <v>729</v>
      </c>
      <c r="N613" s="74">
        <v>43321</v>
      </c>
      <c r="O613" s="75">
        <f t="shared" si="218"/>
        <v>43321</v>
      </c>
      <c r="P613" s="2765" t="s">
        <v>3309</v>
      </c>
      <c r="Q613" s="2954"/>
      <c r="R613" s="76">
        <v>84.745000000000005</v>
      </c>
      <c r="S613" s="1945" t="s">
        <v>731</v>
      </c>
      <c r="T613" s="77" t="s">
        <v>3229</v>
      </c>
      <c r="U613" s="1893"/>
      <c r="V613" s="2079">
        <f t="shared" si="232"/>
        <v>0</v>
      </c>
      <c r="W613" s="78">
        <f t="shared" si="233"/>
        <v>99.999099999999999</v>
      </c>
      <c r="X613" s="1878" t="str">
        <f t="shared" si="230"/>
        <v>1.- R LEAO 8270618-OT_009263  Vulcanizado (curación) E001-99 Corte lateral</v>
      </c>
      <c r="Z613" s="19" t="str">
        <f>CONCATENATE(I616,J616)</f>
        <v>Vulcanizado (curación)Reenc. MASTERCAUCHO</v>
      </c>
    </row>
    <row r="614" spans="2:26" ht="15.2" customHeight="1">
      <c r="B614" s="37"/>
      <c r="E614" s="2949">
        <v>2</v>
      </c>
      <c r="F614" s="2297" t="s">
        <v>732</v>
      </c>
      <c r="G614" s="68" t="s">
        <v>733</v>
      </c>
      <c r="H614" s="69" t="s">
        <v>1335</v>
      </c>
      <c r="I614" s="68" t="s">
        <v>726</v>
      </c>
      <c r="J614" s="70" t="s">
        <v>727</v>
      </c>
      <c r="K614" s="71" t="s">
        <v>3285</v>
      </c>
      <c r="L614" s="72">
        <v>43315</v>
      </c>
      <c r="M614" s="2306" t="s">
        <v>729</v>
      </c>
      <c r="N614" s="74">
        <v>43321</v>
      </c>
      <c r="O614" s="75">
        <f t="shared" si="218"/>
        <v>43321</v>
      </c>
      <c r="P614" s="2765" t="s">
        <v>3309</v>
      </c>
      <c r="Q614" s="2954"/>
      <c r="R614" s="76">
        <v>262.70999999999998</v>
      </c>
      <c r="S614" s="1945" t="s">
        <v>731</v>
      </c>
      <c r="T614" s="77" t="s">
        <v>3050</v>
      </c>
      <c r="U614" s="1893"/>
      <c r="V614" s="2079">
        <f t="shared" si="232"/>
        <v>0</v>
      </c>
      <c r="W614" s="78">
        <f t="shared" si="233"/>
        <v>309.99779999999998</v>
      </c>
      <c r="X614" s="1878" t="str">
        <f t="shared" si="230"/>
        <v>2.- C Lima Caucho 0070108-OT_009263  Reencauche E001-99 ZB-220</v>
      </c>
      <c r="Z614" s="19" t="str">
        <f t="shared" si="215"/>
        <v>ReencaucheReencauchadora RENOVA</v>
      </c>
    </row>
    <row r="615" spans="2:26" ht="15.2" customHeight="1">
      <c r="B615" s="37"/>
      <c r="E615" s="3009">
        <v>3</v>
      </c>
      <c r="F615" s="2297" t="s">
        <v>732</v>
      </c>
      <c r="G615" s="68" t="s">
        <v>733</v>
      </c>
      <c r="H615" s="69" t="s">
        <v>1333</v>
      </c>
      <c r="I615" s="68" t="s">
        <v>726</v>
      </c>
      <c r="J615" s="70" t="s">
        <v>727</v>
      </c>
      <c r="K615" s="2305" t="s">
        <v>3285</v>
      </c>
      <c r="L615" s="72">
        <v>43315</v>
      </c>
      <c r="M615" s="2306" t="s">
        <v>729</v>
      </c>
      <c r="N615" s="74">
        <v>43321</v>
      </c>
      <c r="O615" s="75">
        <f t="shared" si="218"/>
        <v>43321</v>
      </c>
      <c r="P615" s="2765" t="s">
        <v>3309</v>
      </c>
      <c r="Q615" s="2954"/>
      <c r="R615" s="76">
        <v>262.70999999999998</v>
      </c>
      <c r="S615" s="1945" t="s">
        <v>731</v>
      </c>
      <c r="T615" s="77" t="s">
        <v>3050</v>
      </c>
      <c r="U615" s="1893"/>
      <c r="V615" s="2079">
        <f t="shared" si="232"/>
        <v>0</v>
      </c>
      <c r="W615" s="78">
        <f t="shared" si="233"/>
        <v>309.99779999999998</v>
      </c>
      <c r="X615" s="1878" t="str">
        <f t="shared" si="230"/>
        <v>3.- C Lima Caucho 0881010-OT_009263  Reencauche E001-99 ZB-220</v>
      </c>
      <c r="Z615" s="19" t="str">
        <f t="shared" si="215"/>
        <v>ReencaucheReencauchadora RENOVA</v>
      </c>
    </row>
    <row r="616" spans="2:26" ht="15.2" customHeight="1">
      <c r="B616" s="37"/>
      <c r="E616" s="79">
        <v>4</v>
      </c>
      <c r="F616" s="2294" t="s">
        <v>723</v>
      </c>
      <c r="G616" s="81" t="s">
        <v>2460</v>
      </c>
      <c r="H616" s="82" t="s">
        <v>3284</v>
      </c>
      <c r="I616" s="81" t="s">
        <v>811</v>
      </c>
      <c r="J616" s="83" t="s">
        <v>727</v>
      </c>
      <c r="K616" s="84" t="s">
        <v>3285</v>
      </c>
      <c r="L616" s="85">
        <v>43315</v>
      </c>
      <c r="M616" s="86"/>
      <c r="N616" s="87">
        <v>43328</v>
      </c>
      <c r="O616" s="88">
        <f>+N616</f>
        <v>43328</v>
      </c>
      <c r="P616" s="2766" t="s">
        <v>3310</v>
      </c>
      <c r="Q616" s="2955"/>
      <c r="R616" s="89">
        <v>0</v>
      </c>
      <c r="S616" s="1946" t="s">
        <v>731</v>
      </c>
      <c r="T616" s="77" t="s">
        <v>3293</v>
      </c>
      <c r="U616" s="1893"/>
      <c r="V616" s="2079">
        <f t="shared" si="232"/>
        <v>0</v>
      </c>
      <c r="W616" s="78">
        <f t="shared" si="233"/>
        <v>0</v>
      </c>
      <c r="X616" s="1878" t="str">
        <f t="shared" si="230"/>
        <v>4.- R MICHELLIN 8270517-OT_009263  Vulcanizado (curación) G0001-004299 Rechazada x separac d telas estruct</v>
      </c>
      <c r="Z616" s="19" t="str">
        <f t="shared" si="215"/>
        <v>ReencaucheReencauchadora RENOVA</v>
      </c>
    </row>
    <row r="617" spans="2:26" ht="15.2" customHeight="1">
      <c r="B617" s="37"/>
      <c r="E617" s="2946">
        <v>1</v>
      </c>
      <c r="F617" s="2297" t="s">
        <v>723</v>
      </c>
      <c r="G617" s="68" t="s">
        <v>724</v>
      </c>
      <c r="H617" s="69" t="s">
        <v>2478</v>
      </c>
      <c r="I617" s="68" t="s">
        <v>726</v>
      </c>
      <c r="J617" s="70" t="s">
        <v>760</v>
      </c>
      <c r="K617" s="2305" t="s">
        <v>3289</v>
      </c>
      <c r="L617" s="72">
        <v>43314</v>
      </c>
      <c r="M617" s="73" t="s">
        <v>729</v>
      </c>
      <c r="N617" s="74">
        <v>43319</v>
      </c>
      <c r="O617" s="75">
        <f t="shared" ref="O617" si="234">+N617</f>
        <v>43319</v>
      </c>
      <c r="P617" s="2765" t="s">
        <v>3290</v>
      </c>
      <c r="Q617" s="2954">
        <v>100.9</v>
      </c>
      <c r="R617" s="76"/>
      <c r="S617" s="1945" t="s">
        <v>731</v>
      </c>
      <c r="T617" s="77" t="s">
        <v>3291</v>
      </c>
      <c r="U617" s="1893"/>
      <c r="V617" s="2079">
        <f t="shared" si="232"/>
        <v>119.062</v>
      </c>
      <c r="W617" s="78">
        <f t="shared" si="233"/>
        <v>0</v>
      </c>
      <c r="X617" s="1878" t="str">
        <f t="shared" si="230"/>
        <v>1.- R Aeolus 0531214-OT_249986  Reencauche F101-00016180 IDY3-330</v>
      </c>
      <c r="Z617" s="19" t="str">
        <f t="shared" si="215"/>
        <v>ReencaucheReencauchadora RENOVA</v>
      </c>
    </row>
    <row r="618" spans="2:26" ht="15.2" customHeight="1">
      <c r="B618" s="37"/>
      <c r="E618" s="2946">
        <v>2</v>
      </c>
      <c r="F618" s="2297" t="s">
        <v>723</v>
      </c>
      <c r="G618" s="68" t="s">
        <v>724</v>
      </c>
      <c r="H618" s="69" t="s">
        <v>2480</v>
      </c>
      <c r="I618" s="68" t="s">
        <v>726</v>
      </c>
      <c r="J618" s="70" t="s">
        <v>760</v>
      </c>
      <c r="K618" s="71" t="s">
        <v>3289</v>
      </c>
      <c r="L618" s="72">
        <v>43314</v>
      </c>
      <c r="M618" s="73" t="s">
        <v>729</v>
      </c>
      <c r="N618" s="74">
        <v>43319</v>
      </c>
      <c r="O618" s="75">
        <f t="shared" ref="O618" si="235">+N618</f>
        <v>43319</v>
      </c>
      <c r="P618" s="2765" t="s">
        <v>3290</v>
      </c>
      <c r="Q618" s="2954">
        <v>100.9</v>
      </c>
      <c r="R618" s="76"/>
      <c r="S618" s="1945" t="s">
        <v>731</v>
      </c>
      <c r="T618" s="77" t="s">
        <v>3291</v>
      </c>
      <c r="U618" s="1893"/>
      <c r="V618" s="2079">
        <f t="shared" si="232"/>
        <v>119.062</v>
      </c>
      <c r="W618" s="78">
        <f t="shared" si="233"/>
        <v>0</v>
      </c>
      <c r="X618" s="1878" t="str">
        <f t="shared" si="230"/>
        <v>2.- R Aeolus 0521214-OT_249986  Reencauche F101-00016180 IDY3-330</v>
      </c>
      <c r="Z618" s="19" t="str">
        <f t="shared" si="215"/>
        <v>ReencaucheReencauchadora RENOVA</v>
      </c>
    </row>
    <row r="619" spans="2:26" ht="15.2" customHeight="1">
      <c r="B619" s="37"/>
      <c r="E619" s="2949">
        <v>3</v>
      </c>
      <c r="F619" s="2297" t="s">
        <v>723</v>
      </c>
      <c r="G619" s="68" t="s">
        <v>724</v>
      </c>
      <c r="H619" s="69" t="s">
        <v>3002</v>
      </c>
      <c r="I619" s="68" t="s">
        <v>726</v>
      </c>
      <c r="J619" s="70" t="s">
        <v>760</v>
      </c>
      <c r="K619" s="71" t="s">
        <v>3289</v>
      </c>
      <c r="L619" s="72">
        <v>43314</v>
      </c>
      <c r="M619" s="73" t="s">
        <v>729</v>
      </c>
      <c r="N619" s="74">
        <v>43319</v>
      </c>
      <c r="O619" s="75">
        <v>43319</v>
      </c>
      <c r="P619" s="2765" t="s">
        <v>3290</v>
      </c>
      <c r="Q619" s="2954">
        <v>100.9</v>
      </c>
      <c r="R619" s="76"/>
      <c r="S619" s="1945" t="s">
        <v>731</v>
      </c>
      <c r="T619" s="77" t="s">
        <v>3291</v>
      </c>
      <c r="U619" s="1893"/>
      <c r="V619" s="2079">
        <f t="shared" si="232"/>
        <v>119.062</v>
      </c>
      <c r="W619" s="78">
        <f t="shared" si="233"/>
        <v>0</v>
      </c>
      <c r="X619" s="1878" t="str">
        <f t="shared" si="230"/>
        <v>3.- R Aeolus 8090418-OT_249986  Reencauche F101-00016180 IDY3-330</v>
      </c>
      <c r="Z619" s="19" t="str">
        <f>CONCATENATE(I622,J622)</f>
        <v>ReencaucheReencauchadora RENOVA</v>
      </c>
    </row>
    <row r="620" spans="2:26" ht="15.2" customHeight="1">
      <c r="B620" s="37"/>
      <c r="E620" s="2949">
        <v>4</v>
      </c>
      <c r="F620" s="2297" t="s">
        <v>723</v>
      </c>
      <c r="G620" s="68" t="s">
        <v>724</v>
      </c>
      <c r="H620" s="69" t="s">
        <v>3287</v>
      </c>
      <c r="I620" s="68" t="s">
        <v>726</v>
      </c>
      <c r="J620" s="70" t="s">
        <v>760</v>
      </c>
      <c r="K620" s="71" t="s">
        <v>3289</v>
      </c>
      <c r="L620" s="72">
        <v>43314</v>
      </c>
      <c r="M620" s="73" t="s">
        <v>729</v>
      </c>
      <c r="N620" s="74">
        <v>43319</v>
      </c>
      <c r="O620" s="75">
        <f t="shared" ref="O620:O623" si="236">+N620</f>
        <v>43319</v>
      </c>
      <c r="P620" s="2765" t="s">
        <v>3290</v>
      </c>
      <c r="Q620" s="2954">
        <v>100.9</v>
      </c>
      <c r="R620" s="76"/>
      <c r="S620" s="1945" t="s">
        <v>731</v>
      </c>
      <c r="T620" s="77" t="s">
        <v>3291</v>
      </c>
      <c r="U620" s="1893"/>
      <c r="V620" s="2079">
        <f t="shared" si="232"/>
        <v>119.062</v>
      </c>
      <c r="W620" s="78">
        <f t="shared" si="233"/>
        <v>0</v>
      </c>
      <c r="X620" s="1878" t="str">
        <f t="shared" si="230"/>
        <v>4.- R Aeolus 0320814-OT_249986  Reencauche F101-00016180 IDY3-330</v>
      </c>
      <c r="Z620" s="19" t="str">
        <f t="shared" si="215"/>
        <v>ReencaucheReencauchadora RENOVA</v>
      </c>
    </row>
    <row r="621" spans="2:26" ht="15.2" customHeight="1">
      <c r="B621" s="37"/>
      <c r="E621" s="2949">
        <v>5</v>
      </c>
      <c r="F621" s="2297" t="s">
        <v>723</v>
      </c>
      <c r="G621" s="68" t="s">
        <v>724</v>
      </c>
      <c r="H621" s="69" t="s">
        <v>3286</v>
      </c>
      <c r="I621" s="68" t="s">
        <v>726</v>
      </c>
      <c r="J621" s="70" t="s">
        <v>760</v>
      </c>
      <c r="K621" s="71" t="s">
        <v>3289</v>
      </c>
      <c r="L621" s="72">
        <v>43314</v>
      </c>
      <c r="M621" s="73" t="s">
        <v>729</v>
      </c>
      <c r="N621" s="74">
        <v>43319</v>
      </c>
      <c r="O621" s="75">
        <f t="shared" si="236"/>
        <v>43319</v>
      </c>
      <c r="P621" s="2765" t="s">
        <v>3290</v>
      </c>
      <c r="Q621" s="2954">
        <v>100.9</v>
      </c>
      <c r="R621" s="76"/>
      <c r="S621" s="1945" t="s">
        <v>731</v>
      </c>
      <c r="T621" s="77" t="s">
        <v>3291</v>
      </c>
      <c r="U621" s="1893"/>
      <c r="V621" s="2079">
        <f t="shared" si="232"/>
        <v>119.062</v>
      </c>
      <c r="W621" s="78">
        <f t="shared" si="233"/>
        <v>0</v>
      </c>
      <c r="X621" s="1878" t="str">
        <f t="shared" si="230"/>
        <v>5.- R Aeolus 0300814-OT_249986  Reencauche F101-00016180 IDY3-330</v>
      </c>
      <c r="Z621" s="19" t="str">
        <f t="shared" si="215"/>
        <v>ReencaucheReenc. MASTERCAUCHO</v>
      </c>
    </row>
    <row r="622" spans="2:26" ht="15.2" customHeight="1">
      <c r="B622" s="37"/>
      <c r="E622" s="3005">
        <v>6</v>
      </c>
      <c r="F622" s="2297" t="s">
        <v>723</v>
      </c>
      <c r="G622" s="68" t="s">
        <v>724</v>
      </c>
      <c r="H622" s="69" t="s">
        <v>3288</v>
      </c>
      <c r="I622" s="68" t="s">
        <v>726</v>
      </c>
      <c r="J622" s="70" t="s">
        <v>760</v>
      </c>
      <c r="K622" s="2305" t="s">
        <v>3289</v>
      </c>
      <c r="L622" s="72">
        <v>43314</v>
      </c>
      <c r="M622" s="2306" t="s">
        <v>729</v>
      </c>
      <c r="N622" s="74">
        <v>43319</v>
      </c>
      <c r="O622" s="75">
        <f>+N622</f>
        <v>43319</v>
      </c>
      <c r="P622" s="2765" t="s">
        <v>3290</v>
      </c>
      <c r="Q622" s="2954">
        <v>100.9</v>
      </c>
      <c r="R622" s="76"/>
      <c r="S622" s="1945" t="s">
        <v>731</v>
      </c>
      <c r="T622" s="77" t="s">
        <v>3291</v>
      </c>
      <c r="U622" s="1893"/>
      <c r="V622" s="2079">
        <f t="shared" si="232"/>
        <v>119.062</v>
      </c>
      <c r="W622" s="78">
        <f t="shared" si="233"/>
        <v>0</v>
      </c>
      <c r="X622" s="1878" t="str">
        <f t="shared" si="230"/>
        <v>6.- R Aeolus 0290814-OT_249986  Reencauche F101-00016180 IDY3-330</v>
      </c>
      <c r="Z622" s="19" t="str">
        <f t="shared" ref="Z622:Z710" si="237">CONCATENATE(I625,J625)</f>
        <v>ReencaucheReenc. MASTERCAUCHO</v>
      </c>
    </row>
    <row r="623" spans="2:26" ht="15.2" customHeight="1">
      <c r="B623" s="37"/>
      <c r="E623" s="79">
        <v>7</v>
      </c>
      <c r="F623" s="2294" t="s">
        <v>723</v>
      </c>
      <c r="G623" s="81" t="s">
        <v>151</v>
      </c>
      <c r="H623" s="82" t="s">
        <v>3047</v>
      </c>
      <c r="I623" s="81" t="s">
        <v>726</v>
      </c>
      <c r="J623" s="83" t="s">
        <v>760</v>
      </c>
      <c r="K623" s="84" t="s">
        <v>3289</v>
      </c>
      <c r="L623" s="85">
        <v>43314</v>
      </c>
      <c r="M623" s="2296" t="s">
        <v>729</v>
      </c>
      <c r="N623" s="87">
        <v>43319</v>
      </c>
      <c r="O623" s="88">
        <f t="shared" si="236"/>
        <v>43319</v>
      </c>
      <c r="P623" s="2766" t="s">
        <v>3292</v>
      </c>
      <c r="Q623" s="2955">
        <v>0</v>
      </c>
      <c r="R623" s="89"/>
      <c r="S623" s="1946" t="s">
        <v>731</v>
      </c>
      <c r="T623" s="77" t="s">
        <v>3293</v>
      </c>
      <c r="U623" s="1893"/>
      <c r="V623" s="2079">
        <f t="shared" si="232"/>
        <v>0</v>
      </c>
      <c r="W623" s="78">
        <f t="shared" si="233"/>
        <v>0</v>
      </c>
      <c r="X623" s="1878" t="str">
        <f t="shared" si="230"/>
        <v>7.- R WindPower 0530915-OT_249986  Reencauche G030-0074849 Rechazada x separac d telas estruct</v>
      </c>
      <c r="Z623" s="19" t="str">
        <f t="shared" ref="Z623:Z647" si="238">CONCATENATE(I626,J626)</f>
        <v>ReencaucheReenc. MASTERCAUCHO</v>
      </c>
    </row>
    <row r="624" spans="2:26" ht="15.2" customHeight="1">
      <c r="B624" s="37"/>
      <c r="E624" s="2946">
        <v>1</v>
      </c>
      <c r="F624" s="2297" t="s">
        <v>723</v>
      </c>
      <c r="G624" s="68" t="s">
        <v>724</v>
      </c>
      <c r="H624" s="69" t="s">
        <v>1598</v>
      </c>
      <c r="I624" s="68" t="s">
        <v>726</v>
      </c>
      <c r="J624" s="70" t="s">
        <v>727</v>
      </c>
      <c r="K624" s="2305" t="s">
        <v>3266</v>
      </c>
      <c r="L624" s="72">
        <v>43300</v>
      </c>
      <c r="M624" s="2306" t="s">
        <v>729</v>
      </c>
      <c r="N624" s="74">
        <v>43302</v>
      </c>
      <c r="O624" s="75">
        <f t="shared" si="218"/>
        <v>43302</v>
      </c>
      <c r="P624" s="2765" t="s">
        <v>3267</v>
      </c>
      <c r="Q624" s="2954"/>
      <c r="R624" s="76">
        <v>279.661</v>
      </c>
      <c r="S624" s="1945" t="s">
        <v>731</v>
      </c>
      <c r="T624" s="77" t="s">
        <v>2712</v>
      </c>
      <c r="U624" s="1893"/>
      <c r="V624" s="2079">
        <f t="shared" si="232"/>
        <v>0</v>
      </c>
      <c r="W624" s="78">
        <f t="shared" si="233"/>
        <v>329.99997999999999</v>
      </c>
      <c r="X624" s="1878" t="str">
        <f t="shared" si="230"/>
        <v>1.- R Aeolus 8190616-OT_009037  Reencauche 0001-011911 MDY-220</v>
      </c>
      <c r="Z624" s="19" t="str">
        <f t="shared" ref="Z624:Z635" si="239">CONCATENATE(I627,J627)</f>
        <v>ReencaucheReencauchadora RENOVA</v>
      </c>
    </row>
    <row r="625" spans="2:26" ht="15.2" customHeight="1">
      <c r="B625" s="37"/>
      <c r="E625" s="2899">
        <v>2</v>
      </c>
      <c r="F625" s="2297" t="s">
        <v>723</v>
      </c>
      <c r="G625" s="68" t="s">
        <v>1603</v>
      </c>
      <c r="H625" s="69" t="s">
        <v>1597</v>
      </c>
      <c r="I625" s="68" t="s">
        <v>726</v>
      </c>
      <c r="J625" s="70" t="s">
        <v>727</v>
      </c>
      <c r="K625" s="71" t="s">
        <v>3266</v>
      </c>
      <c r="L625" s="72">
        <v>43300</v>
      </c>
      <c r="M625" s="2306" t="s">
        <v>729</v>
      </c>
      <c r="N625" s="74">
        <v>43302</v>
      </c>
      <c r="O625" s="75">
        <f t="shared" ref="O625:O709" si="240">+N625</f>
        <v>43302</v>
      </c>
      <c r="P625" s="2765" t="s">
        <v>3267</v>
      </c>
      <c r="Q625" s="2954"/>
      <c r="R625" s="76">
        <v>279.661</v>
      </c>
      <c r="S625" s="1945" t="s">
        <v>731</v>
      </c>
      <c r="T625" s="77" t="s">
        <v>2712</v>
      </c>
      <c r="U625" s="1893"/>
      <c r="V625" s="2079">
        <f t="shared" si="232"/>
        <v>0</v>
      </c>
      <c r="W625" s="78">
        <f t="shared" si="233"/>
        <v>329.99997999999999</v>
      </c>
      <c r="X625" s="1878" t="str">
        <f t="shared" si="230"/>
        <v>2.- R Otani 8180616-OT_009037  Reencauche 0001-011911 MDY-220</v>
      </c>
      <c r="Z625" s="19" t="str">
        <f t="shared" si="239"/>
        <v>ReencaucheReencauchadora RENOVA</v>
      </c>
    </row>
    <row r="626" spans="2:26" ht="15.2" customHeight="1">
      <c r="B626" s="37"/>
      <c r="E626" s="79">
        <v>3</v>
      </c>
      <c r="F626" s="2294" t="s">
        <v>723</v>
      </c>
      <c r="G626" s="81" t="s">
        <v>737</v>
      </c>
      <c r="H626" s="82" t="s">
        <v>3253</v>
      </c>
      <c r="I626" s="81" t="s">
        <v>726</v>
      </c>
      <c r="J626" s="83" t="s">
        <v>727</v>
      </c>
      <c r="K626" s="84" t="s">
        <v>3266</v>
      </c>
      <c r="L626" s="85">
        <v>43300</v>
      </c>
      <c r="M626" s="2296" t="s">
        <v>729</v>
      </c>
      <c r="N626" s="87">
        <v>43302</v>
      </c>
      <c r="O626" s="88">
        <f t="shared" ref="O626:O650" si="241">+N626</f>
        <v>43302</v>
      </c>
      <c r="P626" s="2766" t="s">
        <v>3267</v>
      </c>
      <c r="Q626" s="2955"/>
      <c r="R626" s="89">
        <v>279.661</v>
      </c>
      <c r="S626" s="1946" t="s">
        <v>731</v>
      </c>
      <c r="T626" s="77" t="s">
        <v>2712</v>
      </c>
      <c r="U626" s="1893"/>
      <c r="V626" s="2079">
        <f t="shared" si="232"/>
        <v>0</v>
      </c>
      <c r="W626" s="78">
        <f t="shared" si="233"/>
        <v>329.99997999999999</v>
      </c>
      <c r="X626" s="1878" t="str">
        <f t="shared" si="230"/>
        <v>3.- R Vikrant 1111217-OT_009037  Reencauche 0001-011911 MDY-220</v>
      </c>
      <c r="Z626" s="19" t="str">
        <f t="shared" si="239"/>
        <v>ReencaucheReenc. MASTERCAUCHO</v>
      </c>
    </row>
    <row r="627" spans="2:26" ht="15.2" customHeight="1">
      <c r="B627" s="37"/>
      <c r="E627" s="2946">
        <v>1</v>
      </c>
      <c r="F627" s="3131" t="s">
        <v>732</v>
      </c>
      <c r="G627" s="2263" t="s">
        <v>737</v>
      </c>
      <c r="H627" s="2265" t="s">
        <v>842</v>
      </c>
      <c r="I627" s="2263" t="s">
        <v>726</v>
      </c>
      <c r="J627" s="2266" t="s">
        <v>760</v>
      </c>
      <c r="K627" s="3133" t="s">
        <v>3264</v>
      </c>
      <c r="L627" s="2268">
        <v>43298</v>
      </c>
      <c r="M627" s="3122" t="s">
        <v>729</v>
      </c>
      <c r="N627" s="2270">
        <v>43319</v>
      </c>
      <c r="O627" s="2271">
        <f t="shared" ref="O627:O638" si="242">+N627</f>
        <v>43319</v>
      </c>
      <c r="P627" s="2765" t="s">
        <v>3290</v>
      </c>
      <c r="Q627" s="2954">
        <v>90.26</v>
      </c>
      <c r="R627" s="76"/>
      <c r="S627" s="1945" t="s">
        <v>731</v>
      </c>
      <c r="T627" s="77" t="s">
        <v>3098</v>
      </c>
      <c r="U627" s="1893"/>
      <c r="V627" s="2079">
        <f t="shared" si="232"/>
        <v>106.5068</v>
      </c>
      <c r="W627" s="78">
        <f t="shared" si="233"/>
        <v>0</v>
      </c>
      <c r="X627" s="1878" t="str">
        <f t="shared" si="230"/>
        <v>1.- C Vikrant 0841007-OT_249951  Reencauche F101-00016180 IZB-220</v>
      </c>
      <c r="Z627" s="19" t="str">
        <f t="shared" si="239"/>
        <v>ReencaucheReenc. MASTERCAUCHO</v>
      </c>
    </row>
    <row r="628" spans="2:26" ht="15.2" customHeight="1">
      <c r="B628" s="37"/>
      <c r="E628" s="79">
        <v>2</v>
      </c>
      <c r="F628" s="2294" t="s">
        <v>723</v>
      </c>
      <c r="G628" s="81" t="s">
        <v>737</v>
      </c>
      <c r="H628" s="82" t="s">
        <v>3263</v>
      </c>
      <c r="I628" s="81" t="s">
        <v>726</v>
      </c>
      <c r="J628" s="83" t="s">
        <v>760</v>
      </c>
      <c r="K628" s="84" t="s">
        <v>3264</v>
      </c>
      <c r="L628" s="85">
        <v>43298</v>
      </c>
      <c r="M628" s="86" t="s">
        <v>729</v>
      </c>
      <c r="N628" s="87">
        <v>43305</v>
      </c>
      <c r="O628" s="88">
        <f>+N628</f>
        <v>43305</v>
      </c>
      <c r="P628" s="2766" t="s">
        <v>3280</v>
      </c>
      <c r="Q628" s="2955">
        <v>100.9</v>
      </c>
      <c r="R628" s="89"/>
      <c r="S628" s="1946" t="s">
        <v>731</v>
      </c>
      <c r="T628" s="77" t="s">
        <v>2570</v>
      </c>
      <c r="U628" s="1893"/>
      <c r="V628" s="2079">
        <f t="shared" si="232"/>
        <v>119.062</v>
      </c>
      <c r="W628" s="78">
        <f t="shared" si="233"/>
        <v>0</v>
      </c>
      <c r="X628" s="1878" t="str">
        <f t="shared" si="230"/>
        <v>2.- R Vikrant 0951216-OT_249951  Reencauche F101-00015959 IDY3-220</v>
      </c>
      <c r="Z628" s="19" t="str">
        <f t="shared" si="239"/>
        <v>ReencaucheReenc. MASTERCAUCHO</v>
      </c>
    </row>
    <row r="629" spans="2:26" ht="15.2" customHeight="1">
      <c r="B629" s="37"/>
      <c r="E629" s="2946">
        <v>1</v>
      </c>
      <c r="F629" s="2297" t="s">
        <v>732</v>
      </c>
      <c r="G629" s="68" t="s">
        <v>733</v>
      </c>
      <c r="H629" s="69" t="s">
        <v>1551</v>
      </c>
      <c r="I629" s="68" t="s">
        <v>726</v>
      </c>
      <c r="J629" s="70" t="s">
        <v>727</v>
      </c>
      <c r="K629" s="2305" t="s">
        <v>3262</v>
      </c>
      <c r="L629" s="72">
        <v>43295</v>
      </c>
      <c r="M629" s="2306" t="s">
        <v>729</v>
      </c>
      <c r="N629" s="74">
        <v>43300</v>
      </c>
      <c r="O629" s="75">
        <f t="shared" si="242"/>
        <v>43300</v>
      </c>
      <c r="P629" s="2765" t="s">
        <v>3265</v>
      </c>
      <c r="Q629" s="2954"/>
      <c r="R629" s="76">
        <v>262.71179999999998</v>
      </c>
      <c r="S629" s="1945" t="s">
        <v>731</v>
      </c>
      <c r="T629" s="77" t="s">
        <v>3050</v>
      </c>
      <c r="U629" s="1893"/>
      <c r="V629" s="2079">
        <f t="shared" si="232"/>
        <v>0</v>
      </c>
      <c r="W629" s="78">
        <f t="shared" si="233"/>
        <v>309.99992399999996</v>
      </c>
      <c r="X629" s="1878" t="str">
        <f t="shared" si="230"/>
        <v>1.- C Lima Caucho 0590610-OT_009230  Reencauche 0001-011898 ZB-220</v>
      </c>
      <c r="Z629" s="19" t="str">
        <f t="shared" si="239"/>
        <v>ReencaucheReencauchadora RENOVA</v>
      </c>
    </row>
    <row r="630" spans="2:26" ht="15.2" customHeight="1">
      <c r="B630" s="37"/>
      <c r="E630" s="2946">
        <v>2</v>
      </c>
      <c r="F630" s="2297" t="s">
        <v>732</v>
      </c>
      <c r="G630" s="68" t="s">
        <v>733</v>
      </c>
      <c r="H630" s="69" t="s">
        <v>1244</v>
      </c>
      <c r="I630" s="68" t="s">
        <v>726</v>
      </c>
      <c r="J630" s="70" t="s">
        <v>727</v>
      </c>
      <c r="K630" s="71" t="s">
        <v>3262</v>
      </c>
      <c r="L630" s="72">
        <v>43295</v>
      </c>
      <c r="M630" s="2306" t="s">
        <v>729</v>
      </c>
      <c r="N630" s="74">
        <v>43300</v>
      </c>
      <c r="O630" s="75">
        <f t="shared" si="242"/>
        <v>43300</v>
      </c>
      <c r="P630" s="2765" t="s">
        <v>3265</v>
      </c>
      <c r="Q630" s="2954"/>
      <c r="R630" s="76">
        <v>262.71179999999998</v>
      </c>
      <c r="S630" s="1945" t="s">
        <v>731</v>
      </c>
      <c r="T630" s="77" t="s">
        <v>3050</v>
      </c>
      <c r="U630" s="1893"/>
      <c r="V630" s="2079">
        <f t="shared" si="232"/>
        <v>0</v>
      </c>
      <c r="W630" s="78">
        <f t="shared" si="233"/>
        <v>309.99992399999996</v>
      </c>
      <c r="X630" s="1878" t="str">
        <f t="shared" si="230"/>
        <v>2.- C Lima Caucho 1201210-OT_009230  Reencauche 0001-011898 ZB-220</v>
      </c>
      <c r="Z630" s="19" t="str">
        <f t="shared" si="239"/>
        <v>ReencaucheReencauchadora RENOVA</v>
      </c>
    </row>
    <row r="631" spans="2:26" ht="15.2" customHeight="1">
      <c r="B631" s="37"/>
      <c r="E631" s="79">
        <v>3</v>
      </c>
      <c r="F631" s="2294" t="s">
        <v>732</v>
      </c>
      <c r="G631" s="81" t="s">
        <v>1108</v>
      </c>
      <c r="H631" s="82" t="s">
        <v>1196</v>
      </c>
      <c r="I631" s="81" t="s">
        <v>726</v>
      </c>
      <c r="J631" s="83" t="s">
        <v>727</v>
      </c>
      <c r="K631" s="84" t="s">
        <v>3262</v>
      </c>
      <c r="L631" s="85">
        <v>43295</v>
      </c>
      <c r="M631" s="2296" t="s">
        <v>729</v>
      </c>
      <c r="N631" s="87">
        <v>43300</v>
      </c>
      <c r="O631" s="88">
        <f t="shared" si="242"/>
        <v>43300</v>
      </c>
      <c r="P631" s="2766" t="s">
        <v>3265</v>
      </c>
      <c r="Q631" s="2955"/>
      <c r="R631" s="89">
        <v>262.71179999999998</v>
      </c>
      <c r="S631" s="1946" t="s">
        <v>731</v>
      </c>
      <c r="T631" s="77" t="s">
        <v>3050</v>
      </c>
      <c r="U631" s="1893"/>
      <c r="V631" s="2079">
        <f t="shared" si="232"/>
        <v>0</v>
      </c>
      <c r="W631" s="78">
        <f t="shared" si="233"/>
        <v>309.99992399999996</v>
      </c>
      <c r="X631" s="1878" t="str">
        <f t="shared" si="230"/>
        <v>3.- C Hankook 0360305-OT_009230  Reencauche 0001-011898 ZB-220</v>
      </c>
      <c r="Z631" s="19" t="str">
        <f t="shared" si="239"/>
        <v>ReencaucheReencauchadora RENOVA</v>
      </c>
    </row>
    <row r="632" spans="2:26" ht="15.2" customHeight="1">
      <c r="B632" s="37"/>
      <c r="E632" s="2946">
        <v>1</v>
      </c>
      <c r="F632" s="2297" t="s">
        <v>723</v>
      </c>
      <c r="G632" s="68" t="s">
        <v>737</v>
      </c>
      <c r="H632" s="69" t="s">
        <v>3247</v>
      </c>
      <c r="I632" s="68" t="s">
        <v>726</v>
      </c>
      <c r="J632" s="70" t="s">
        <v>760</v>
      </c>
      <c r="K632" s="2305" t="s">
        <v>3255</v>
      </c>
      <c r="L632" s="72">
        <v>43292</v>
      </c>
      <c r="M632" s="2306" t="s">
        <v>729</v>
      </c>
      <c r="N632" s="74">
        <v>43298</v>
      </c>
      <c r="O632" s="75">
        <f t="shared" si="242"/>
        <v>43298</v>
      </c>
      <c r="P632" s="2765" t="s">
        <v>3259</v>
      </c>
      <c r="Q632" s="2954">
        <v>81.28</v>
      </c>
      <c r="R632" s="76"/>
      <c r="S632" s="1945" t="s">
        <v>731</v>
      </c>
      <c r="T632" s="77" t="s">
        <v>3260</v>
      </c>
      <c r="U632" s="1893"/>
      <c r="V632" s="2079">
        <f t="shared" si="232"/>
        <v>95.910399999999996</v>
      </c>
      <c r="W632" s="78">
        <f t="shared" si="233"/>
        <v>0</v>
      </c>
      <c r="X632" s="1878" t="str">
        <f t="shared" si="230"/>
        <v>1.- R Vikrant 0240217-OT_249186  Reencauche F101-00015836 ZZY-220</v>
      </c>
      <c r="Z632" s="19" t="str">
        <f t="shared" si="239"/>
        <v>ReencaucheReencauchadora RENOVA</v>
      </c>
    </row>
    <row r="633" spans="2:26" ht="15.2" customHeight="1">
      <c r="B633" s="37"/>
      <c r="E633" s="2946">
        <v>2</v>
      </c>
      <c r="F633" s="2297" t="s">
        <v>723</v>
      </c>
      <c r="G633" s="68" t="s">
        <v>737</v>
      </c>
      <c r="H633" s="69" t="s">
        <v>3248</v>
      </c>
      <c r="I633" s="68" t="s">
        <v>726</v>
      </c>
      <c r="J633" s="70" t="s">
        <v>760</v>
      </c>
      <c r="K633" s="2305" t="s">
        <v>3255</v>
      </c>
      <c r="L633" s="72">
        <v>43292</v>
      </c>
      <c r="M633" s="2306" t="s">
        <v>729</v>
      </c>
      <c r="N633" s="74">
        <v>43298</v>
      </c>
      <c r="O633" s="75">
        <f t="shared" ref="O633" si="243">+N633</f>
        <v>43298</v>
      </c>
      <c r="P633" s="2765" t="s">
        <v>3259</v>
      </c>
      <c r="Q633" s="2954">
        <v>100.9</v>
      </c>
      <c r="R633" s="76"/>
      <c r="S633" s="1945" t="s">
        <v>731</v>
      </c>
      <c r="T633" s="77" t="s">
        <v>2570</v>
      </c>
      <c r="U633" s="1893"/>
      <c r="V633" s="2079">
        <f t="shared" si="232"/>
        <v>119.062</v>
      </c>
      <c r="W633" s="78">
        <f t="shared" si="233"/>
        <v>0</v>
      </c>
      <c r="X633" s="1878" t="str">
        <f t="shared" si="230"/>
        <v>2.- R Vikrant 1081217-OT_249186  Reencauche F101-00015836 IDY3-220</v>
      </c>
      <c r="Z633" s="19" t="str">
        <f t="shared" si="239"/>
        <v>ReencaucheReencauchadora RENOVA</v>
      </c>
    </row>
    <row r="634" spans="2:26" ht="15.2" customHeight="1">
      <c r="B634" s="37"/>
      <c r="E634" s="2946">
        <v>3</v>
      </c>
      <c r="F634" s="2297" t="s">
        <v>723</v>
      </c>
      <c r="G634" s="68" t="s">
        <v>737</v>
      </c>
      <c r="H634" s="69" t="s">
        <v>3249</v>
      </c>
      <c r="I634" s="68" t="s">
        <v>726</v>
      </c>
      <c r="J634" s="70" t="s">
        <v>760</v>
      </c>
      <c r="K634" s="2305" t="s">
        <v>3255</v>
      </c>
      <c r="L634" s="72">
        <v>43292</v>
      </c>
      <c r="M634" s="2306" t="s">
        <v>729</v>
      </c>
      <c r="N634" s="74">
        <v>43298</v>
      </c>
      <c r="O634" s="75">
        <f t="shared" si="242"/>
        <v>43298</v>
      </c>
      <c r="P634" s="2765" t="s">
        <v>3259</v>
      </c>
      <c r="Q634" s="2954">
        <v>100.9</v>
      </c>
      <c r="R634" s="76"/>
      <c r="S634" s="1945" t="s">
        <v>731</v>
      </c>
      <c r="T634" s="77" t="s">
        <v>2570</v>
      </c>
      <c r="U634" s="1893"/>
      <c r="V634" s="2079">
        <f t="shared" si="232"/>
        <v>119.062</v>
      </c>
      <c r="W634" s="78">
        <f t="shared" si="233"/>
        <v>0</v>
      </c>
      <c r="X634" s="1878" t="str">
        <f t="shared" si="230"/>
        <v>3.- R Vikrant 1161217-OT_249186  Reencauche F101-00015836 IDY3-220</v>
      </c>
      <c r="Z634" s="19" t="str">
        <f t="shared" si="239"/>
        <v>ReencaucheReencauchadora RENOVA</v>
      </c>
    </row>
    <row r="635" spans="2:26" ht="15.2" customHeight="1">
      <c r="B635" s="37"/>
      <c r="E635" s="2946">
        <v>4</v>
      </c>
      <c r="F635" s="2297" t="s">
        <v>723</v>
      </c>
      <c r="G635" s="68" t="s">
        <v>737</v>
      </c>
      <c r="H635" s="69" t="s">
        <v>3250</v>
      </c>
      <c r="I635" s="68" t="s">
        <v>726</v>
      </c>
      <c r="J635" s="70" t="s">
        <v>760</v>
      </c>
      <c r="K635" s="2305" t="s">
        <v>3255</v>
      </c>
      <c r="L635" s="72">
        <v>43292</v>
      </c>
      <c r="M635" s="2306" t="s">
        <v>729</v>
      </c>
      <c r="N635" s="74">
        <v>43298</v>
      </c>
      <c r="O635" s="75">
        <f t="shared" ref="O635" si="244">+N635</f>
        <v>43298</v>
      </c>
      <c r="P635" s="2765" t="s">
        <v>3259</v>
      </c>
      <c r="Q635" s="2954">
        <v>100.9</v>
      </c>
      <c r="R635" s="76"/>
      <c r="S635" s="1945" t="s">
        <v>731</v>
      </c>
      <c r="T635" s="77" t="s">
        <v>2570</v>
      </c>
      <c r="U635" s="1893"/>
      <c r="V635" s="2079">
        <f t="shared" si="232"/>
        <v>119.062</v>
      </c>
      <c r="W635" s="78">
        <f t="shared" si="233"/>
        <v>0</v>
      </c>
      <c r="X635" s="1878" t="str">
        <f t="shared" si="230"/>
        <v>4.- R Vikrant 1181217-OT_249186  Reencauche F101-00015836 IDY3-220</v>
      </c>
      <c r="Z635" s="19" t="str">
        <f t="shared" si="239"/>
        <v>ReencaucheReencauchadora RENOVA</v>
      </c>
    </row>
    <row r="636" spans="2:26" ht="15.2" customHeight="1">
      <c r="B636" s="37"/>
      <c r="E636" s="2946">
        <v>5</v>
      </c>
      <c r="F636" s="2297" t="s">
        <v>723</v>
      </c>
      <c r="G636" s="68" t="s">
        <v>737</v>
      </c>
      <c r="H636" s="69" t="s">
        <v>3251</v>
      </c>
      <c r="I636" s="68" t="s">
        <v>726</v>
      </c>
      <c r="J636" s="70" t="s">
        <v>760</v>
      </c>
      <c r="K636" s="2305" t="s">
        <v>3255</v>
      </c>
      <c r="L636" s="72">
        <v>43292</v>
      </c>
      <c r="M636" s="2306" t="s">
        <v>729</v>
      </c>
      <c r="N636" s="74">
        <v>43298</v>
      </c>
      <c r="O636" s="75">
        <f t="shared" si="242"/>
        <v>43298</v>
      </c>
      <c r="P636" s="2765" t="s">
        <v>3259</v>
      </c>
      <c r="Q636" s="2954">
        <v>100.9</v>
      </c>
      <c r="R636" s="76"/>
      <c r="S636" s="1945" t="s">
        <v>731</v>
      </c>
      <c r="T636" s="77" t="s">
        <v>2570</v>
      </c>
      <c r="U636" s="1893"/>
      <c r="V636" s="2079">
        <f t="shared" si="232"/>
        <v>119.062</v>
      </c>
      <c r="W636" s="78">
        <f t="shared" si="233"/>
        <v>0</v>
      </c>
      <c r="X636" s="1878" t="str">
        <f t="shared" si="230"/>
        <v>5.- R Vikrant 1091217-OT_249186  Reencauche F101-00015836 IDY3-220</v>
      </c>
      <c r="Z636" s="19" t="str">
        <f t="shared" ref="Z636:Z644" si="245">CONCATENATE(I639,J639)</f>
        <v>ReencaucheReencauchadora RENOVA</v>
      </c>
    </row>
    <row r="637" spans="2:26" ht="15.2" customHeight="1">
      <c r="B637" s="37"/>
      <c r="E637" s="2946">
        <v>6</v>
      </c>
      <c r="F637" s="2297" t="s">
        <v>723</v>
      </c>
      <c r="G637" s="68" t="s">
        <v>737</v>
      </c>
      <c r="H637" s="69" t="s">
        <v>3261</v>
      </c>
      <c r="I637" s="68" t="s">
        <v>726</v>
      </c>
      <c r="J637" s="70" t="s">
        <v>760</v>
      </c>
      <c r="K637" s="2305" t="s">
        <v>3255</v>
      </c>
      <c r="L637" s="72">
        <v>43292</v>
      </c>
      <c r="M637" s="2306" t="s">
        <v>729</v>
      </c>
      <c r="N637" s="74">
        <v>43298</v>
      </c>
      <c r="O637" s="75">
        <f t="shared" ref="O637" si="246">+N637</f>
        <v>43298</v>
      </c>
      <c r="P637" s="2765" t="s">
        <v>3259</v>
      </c>
      <c r="Q637" s="2954">
        <v>100.9</v>
      </c>
      <c r="R637" s="76"/>
      <c r="S637" s="1945" t="s">
        <v>731</v>
      </c>
      <c r="T637" s="77" t="s">
        <v>2570</v>
      </c>
      <c r="U637" s="1893"/>
      <c r="V637" s="2079">
        <f t="shared" si="232"/>
        <v>119.062</v>
      </c>
      <c r="W637" s="78">
        <f t="shared" si="233"/>
        <v>0</v>
      </c>
      <c r="X637" s="1878" t="str">
        <f t="shared" si="230"/>
        <v>6.- R Vikrant 1171217-OT_249186  Reencauche F101-00015836 IDY3-220</v>
      </c>
      <c r="Z637" s="19" t="str">
        <f t="shared" si="245"/>
        <v>ReencaucheReencauchadora RENOVA</v>
      </c>
    </row>
    <row r="638" spans="2:26" ht="15.2" customHeight="1">
      <c r="B638" s="37"/>
      <c r="E638" s="2946">
        <v>7</v>
      </c>
      <c r="F638" s="2297" t="s">
        <v>723</v>
      </c>
      <c r="G638" s="68" t="s">
        <v>737</v>
      </c>
      <c r="H638" s="69" t="s">
        <v>3252</v>
      </c>
      <c r="I638" s="68" t="s">
        <v>726</v>
      </c>
      <c r="J638" s="70" t="s">
        <v>760</v>
      </c>
      <c r="K638" s="2305" t="s">
        <v>3255</v>
      </c>
      <c r="L638" s="72">
        <v>43292</v>
      </c>
      <c r="M638" s="2306" t="s">
        <v>729</v>
      </c>
      <c r="N638" s="74">
        <v>43298</v>
      </c>
      <c r="O638" s="75">
        <f t="shared" si="242"/>
        <v>43298</v>
      </c>
      <c r="P638" s="2765" t="s">
        <v>3259</v>
      </c>
      <c r="Q638" s="2954">
        <v>100.9</v>
      </c>
      <c r="R638" s="76"/>
      <c r="S638" s="1945" t="s">
        <v>731</v>
      </c>
      <c r="T638" s="77" t="s">
        <v>2570</v>
      </c>
      <c r="U638" s="1893"/>
      <c r="V638" s="2079">
        <f t="shared" si="232"/>
        <v>119.062</v>
      </c>
      <c r="W638" s="78">
        <f t="shared" si="233"/>
        <v>0</v>
      </c>
      <c r="X638" s="1878" t="str">
        <f t="shared" si="230"/>
        <v>7.- R Vikrant 1101217-OT_249186  Reencauche F101-00015836 IDY3-220</v>
      </c>
      <c r="Z638" s="19" t="str">
        <f t="shared" si="245"/>
        <v>ReencaucheReencauchadora RENOVA</v>
      </c>
    </row>
    <row r="639" spans="2:26" ht="15.2" customHeight="1">
      <c r="B639" s="37"/>
      <c r="E639" s="2946">
        <v>8</v>
      </c>
      <c r="F639" s="2297" t="s">
        <v>723</v>
      </c>
      <c r="G639" s="68" t="s">
        <v>737</v>
      </c>
      <c r="H639" s="69" t="s">
        <v>3254</v>
      </c>
      <c r="I639" s="68" t="s">
        <v>726</v>
      </c>
      <c r="J639" s="70" t="s">
        <v>760</v>
      </c>
      <c r="K639" s="2305" t="s">
        <v>3255</v>
      </c>
      <c r="L639" s="72">
        <v>43292</v>
      </c>
      <c r="M639" s="2306" t="s">
        <v>729</v>
      </c>
      <c r="N639" s="74">
        <v>43298</v>
      </c>
      <c r="O639" s="75">
        <f t="shared" ref="O639:O640" si="247">+N639</f>
        <v>43298</v>
      </c>
      <c r="P639" s="2765" t="s">
        <v>3259</v>
      </c>
      <c r="Q639" s="2954">
        <v>100.9</v>
      </c>
      <c r="R639" s="76"/>
      <c r="S639" s="1945" t="s">
        <v>731</v>
      </c>
      <c r="T639" s="77" t="s">
        <v>2570</v>
      </c>
      <c r="U639" s="1893"/>
      <c r="V639" s="2079">
        <f t="shared" si="232"/>
        <v>119.062</v>
      </c>
      <c r="W639" s="78">
        <f t="shared" si="233"/>
        <v>0</v>
      </c>
      <c r="X639" s="1878" t="str">
        <f t="shared" si="230"/>
        <v>8.- R Vikrant 0790917-OT_249186  Reencauche F101-00015836 IDY3-220</v>
      </c>
      <c r="Z639" s="19" t="str">
        <f t="shared" si="245"/>
        <v>ReencaucheReencauchadora RENOVA</v>
      </c>
    </row>
    <row r="640" spans="2:26" ht="15.2" customHeight="1">
      <c r="B640" s="37"/>
      <c r="E640" s="2946">
        <v>9</v>
      </c>
      <c r="F640" s="2297" t="s">
        <v>723</v>
      </c>
      <c r="G640" s="68" t="s">
        <v>724</v>
      </c>
      <c r="H640" s="69" t="s">
        <v>3245</v>
      </c>
      <c r="I640" s="68" t="s">
        <v>726</v>
      </c>
      <c r="J640" s="70" t="s">
        <v>760</v>
      </c>
      <c r="K640" s="2305" t="s">
        <v>3256</v>
      </c>
      <c r="L640" s="72">
        <v>43292</v>
      </c>
      <c r="M640" s="2306" t="s">
        <v>729</v>
      </c>
      <c r="N640" s="74">
        <v>43298</v>
      </c>
      <c r="O640" s="75">
        <f t="shared" si="247"/>
        <v>43298</v>
      </c>
      <c r="P640" s="2765" t="s">
        <v>3259</v>
      </c>
      <c r="Q640" s="2954">
        <v>100.9</v>
      </c>
      <c r="R640" s="76"/>
      <c r="S640" s="1945" t="s">
        <v>731</v>
      </c>
      <c r="T640" s="77" t="s">
        <v>2570</v>
      </c>
      <c r="U640" s="1893"/>
      <c r="V640" s="2079">
        <f t="shared" si="232"/>
        <v>119.062</v>
      </c>
      <c r="W640" s="78">
        <f t="shared" si="233"/>
        <v>0</v>
      </c>
      <c r="X640" s="1878" t="str">
        <f t="shared" si="230"/>
        <v>9.- R Aeolus 0140215-OT_249187  Reencauche F101-00015836 IDY3-220</v>
      </c>
      <c r="Z640" s="19" t="str">
        <f t="shared" si="245"/>
        <v>ReencaucheReencauchadora RENOVA</v>
      </c>
    </row>
    <row r="641" spans="2:26" ht="15.2" customHeight="1">
      <c r="B641" s="37"/>
      <c r="E641" s="2946">
        <v>10</v>
      </c>
      <c r="F641" s="2297" t="s">
        <v>723</v>
      </c>
      <c r="G641" s="68" t="s">
        <v>724</v>
      </c>
      <c r="H641" s="69" t="s">
        <v>3246</v>
      </c>
      <c r="I641" s="68" t="s">
        <v>726</v>
      </c>
      <c r="J641" s="70" t="s">
        <v>760</v>
      </c>
      <c r="K641" s="71" t="s">
        <v>3256</v>
      </c>
      <c r="L641" s="72">
        <v>43292</v>
      </c>
      <c r="M641" s="2306" t="s">
        <v>729</v>
      </c>
      <c r="N641" s="74">
        <v>43298</v>
      </c>
      <c r="O641" s="75">
        <f t="shared" ref="O641" si="248">+N641</f>
        <v>43298</v>
      </c>
      <c r="P641" s="2765" t="s">
        <v>3259</v>
      </c>
      <c r="Q641" s="2954">
        <v>100.9</v>
      </c>
      <c r="R641" s="76"/>
      <c r="S641" s="1945" t="s">
        <v>731</v>
      </c>
      <c r="T641" s="77" t="s">
        <v>2570</v>
      </c>
      <c r="U641" s="1893"/>
      <c r="V641" s="2079">
        <f t="shared" si="232"/>
        <v>119.062</v>
      </c>
      <c r="W641" s="78">
        <f t="shared" si="233"/>
        <v>0</v>
      </c>
      <c r="X641" s="1878" t="str">
        <f t="shared" si="230"/>
        <v>10.- R Aeolus 0130215-OT_249187  Reencauche F101-00015836 IDY3-220</v>
      </c>
      <c r="Z641" s="19" t="str">
        <f t="shared" si="245"/>
        <v>ReencaucheReencauchadora RENOVA</v>
      </c>
    </row>
    <row r="642" spans="2:26" ht="15.2" customHeight="1">
      <c r="B642" s="37"/>
      <c r="E642" s="2946">
        <v>11</v>
      </c>
      <c r="F642" s="2297" t="s">
        <v>723</v>
      </c>
      <c r="G642" s="68" t="s">
        <v>1601</v>
      </c>
      <c r="H642" s="69" t="s">
        <v>1596</v>
      </c>
      <c r="I642" s="68" t="s">
        <v>726</v>
      </c>
      <c r="J642" s="70" t="s">
        <v>760</v>
      </c>
      <c r="K642" s="71" t="s">
        <v>3256</v>
      </c>
      <c r="L642" s="72">
        <v>43292</v>
      </c>
      <c r="M642" s="2306" t="s">
        <v>729</v>
      </c>
      <c r="N642" s="74">
        <v>43298</v>
      </c>
      <c r="O642" s="75">
        <f t="shared" ref="O642" si="249">+N642</f>
        <v>43298</v>
      </c>
      <c r="P642" s="2765" t="s">
        <v>3259</v>
      </c>
      <c r="Q642" s="2954">
        <v>100.9</v>
      </c>
      <c r="R642" s="76"/>
      <c r="S642" s="1945" t="s">
        <v>731</v>
      </c>
      <c r="T642" s="77" t="s">
        <v>2570</v>
      </c>
      <c r="U642" s="1893"/>
      <c r="V642" s="2079">
        <f t="shared" si="232"/>
        <v>119.062</v>
      </c>
      <c r="W642" s="78">
        <f t="shared" si="233"/>
        <v>0</v>
      </c>
      <c r="X642" s="1878" t="str">
        <f t="shared" si="230"/>
        <v>11.- R Roadshine 8170616-OT_249187  Reencauche F101-00015836 IDY3-220</v>
      </c>
      <c r="Z642" s="19" t="str">
        <f t="shared" si="245"/>
        <v>ReencaucheReencauchadora RENOVA</v>
      </c>
    </row>
    <row r="643" spans="2:26" ht="15.2" customHeight="1">
      <c r="B643" s="37"/>
      <c r="E643" s="2946">
        <v>12</v>
      </c>
      <c r="F643" s="2297" t="s">
        <v>723</v>
      </c>
      <c r="G643" s="68" t="s">
        <v>737</v>
      </c>
      <c r="H643" s="69" t="s">
        <v>3253</v>
      </c>
      <c r="I643" s="68" t="s">
        <v>726</v>
      </c>
      <c r="J643" s="70" t="s">
        <v>760</v>
      </c>
      <c r="K643" s="2305" t="s">
        <v>3255</v>
      </c>
      <c r="L643" s="72">
        <v>43292</v>
      </c>
      <c r="M643" s="2306" t="s">
        <v>729</v>
      </c>
      <c r="N643" s="74">
        <v>43298</v>
      </c>
      <c r="O643" s="75">
        <f>+N643</f>
        <v>43298</v>
      </c>
      <c r="P643" s="2765" t="s">
        <v>3257</v>
      </c>
      <c r="Q643" s="2954">
        <v>0</v>
      </c>
      <c r="R643" s="76"/>
      <c r="S643" s="1945" t="s">
        <v>731</v>
      </c>
      <c r="T643" s="77" t="s">
        <v>3258</v>
      </c>
      <c r="U643" s="1893"/>
      <c r="V643" s="2079">
        <f t="shared" si="232"/>
        <v>0</v>
      </c>
      <c r="W643" s="78">
        <f t="shared" si="233"/>
        <v>0</v>
      </c>
      <c r="X643" s="1878" t="str">
        <f t="shared" si="230"/>
        <v>12.- R Vikrant 1111217-OT_249186  Reencauche G030-0074355 Rechazada x pestaña dañada</v>
      </c>
      <c r="Z643" s="19" t="str">
        <f t="shared" si="245"/>
        <v>ReencaucheReencauchadora RENOVA</v>
      </c>
    </row>
    <row r="644" spans="2:26" ht="15.2" customHeight="1">
      <c r="B644" s="37"/>
      <c r="E644" s="2946">
        <v>13</v>
      </c>
      <c r="F644" s="2297" t="s">
        <v>723</v>
      </c>
      <c r="G644" s="68" t="s">
        <v>1603</v>
      </c>
      <c r="H644" s="69" t="s">
        <v>1597</v>
      </c>
      <c r="I644" s="68" t="s">
        <v>726</v>
      </c>
      <c r="J644" s="70" t="s">
        <v>760</v>
      </c>
      <c r="K644" s="2305" t="s">
        <v>3255</v>
      </c>
      <c r="L644" s="72">
        <v>43292</v>
      </c>
      <c r="M644" s="2306" t="s">
        <v>729</v>
      </c>
      <c r="N644" s="74">
        <v>43298</v>
      </c>
      <c r="O644" s="75">
        <f t="shared" ref="O644" si="250">+N644</f>
        <v>43298</v>
      </c>
      <c r="P644" s="2765" t="s">
        <v>3257</v>
      </c>
      <c r="Q644" s="2954">
        <v>0</v>
      </c>
      <c r="R644" s="76"/>
      <c r="S644" s="1945" t="s">
        <v>731</v>
      </c>
      <c r="T644" s="77" t="s">
        <v>3258</v>
      </c>
      <c r="U644" s="1893"/>
      <c r="V644" s="2079">
        <f t="shared" si="232"/>
        <v>0</v>
      </c>
      <c r="W644" s="78">
        <f t="shared" si="233"/>
        <v>0</v>
      </c>
      <c r="X644" s="1878" t="str">
        <f t="shared" si="230"/>
        <v>13.- R Otani 8180616-OT_249186  Reencauche G030-0074355 Rechazada x pestaña dañada</v>
      </c>
      <c r="Z644" s="19" t="str">
        <f t="shared" si="245"/>
        <v>ReencaucheReencauchadora RENOVA</v>
      </c>
    </row>
    <row r="645" spans="2:26" ht="15.2" customHeight="1">
      <c r="B645" s="37"/>
      <c r="E645" s="2946">
        <v>14</v>
      </c>
      <c r="F645" s="2294" t="s">
        <v>723</v>
      </c>
      <c r="G645" s="81" t="s">
        <v>724</v>
      </c>
      <c r="H645" s="82" t="s">
        <v>1598</v>
      </c>
      <c r="I645" s="81" t="s">
        <v>726</v>
      </c>
      <c r="J645" s="83" t="s">
        <v>760</v>
      </c>
      <c r="K645" s="84" t="s">
        <v>3256</v>
      </c>
      <c r="L645" s="85">
        <v>43292</v>
      </c>
      <c r="M645" s="2296" t="s">
        <v>729</v>
      </c>
      <c r="N645" s="87">
        <v>43298</v>
      </c>
      <c r="O645" s="88">
        <f>+N645</f>
        <v>43298</v>
      </c>
      <c r="P645" s="2766" t="s">
        <v>3257</v>
      </c>
      <c r="Q645" s="2955">
        <v>0</v>
      </c>
      <c r="R645" s="89"/>
      <c r="S645" s="1946" t="s">
        <v>731</v>
      </c>
      <c r="T645" s="77" t="s">
        <v>3258</v>
      </c>
      <c r="U645" s="1893"/>
      <c r="V645" s="2079">
        <f t="shared" si="232"/>
        <v>0</v>
      </c>
      <c r="W645" s="78">
        <f t="shared" si="233"/>
        <v>0</v>
      </c>
      <c r="X645" s="1878" t="str">
        <f t="shared" si="230"/>
        <v>14.- R Aeolus 8190616-OT_249187  Reencauche G030-0074355 Rechazada x pestaña dañada</v>
      </c>
      <c r="Z645" s="19" t="str">
        <f t="shared" si="238"/>
        <v>ReencaucheReencauchadora RENOVA</v>
      </c>
    </row>
    <row r="646" spans="2:26" ht="15.2" customHeight="1">
      <c r="B646" s="37"/>
      <c r="E646" s="2946">
        <v>15</v>
      </c>
      <c r="F646" s="2297" t="s">
        <v>723</v>
      </c>
      <c r="G646" s="68" t="s">
        <v>825</v>
      </c>
      <c r="H646" s="69" t="s">
        <v>1594</v>
      </c>
      <c r="I646" s="68" t="s">
        <v>726</v>
      </c>
      <c r="J646" s="70" t="s">
        <v>760</v>
      </c>
      <c r="K646" s="71" t="s">
        <v>3256</v>
      </c>
      <c r="L646" s="72">
        <v>43292</v>
      </c>
      <c r="M646" s="73" t="s">
        <v>729</v>
      </c>
      <c r="N646" s="74">
        <v>43305</v>
      </c>
      <c r="O646" s="75">
        <f>+N646</f>
        <v>43305</v>
      </c>
      <c r="P646" s="2765" t="s">
        <v>3280</v>
      </c>
      <c r="Q646" s="2954">
        <v>81.28</v>
      </c>
      <c r="R646" s="76"/>
      <c r="S646" s="1945" t="s">
        <v>731</v>
      </c>
      <c r="T646" s="77" t="s">
        <v>3260</v>
      </c>
      <c r="U646" s="1893"/>
      <c r="V646" s="2079">
        <f t="shared" si="232"/>
        <v>95.910399999999996</v>
      </c>
      <c r="W646" s="78">
        <f t="shared" si="233"/>
        <v>0</v>
      </c>
      <c r="X646" s="1878" t="str">
        <f t="shared" si="230"/>
        <v>15.- R Falken 8150616-OT_249187  Reencauche F101-00015959 ZZY-220</v>
      </c>
      <c r="Z646" s="19" t="str">
        <f>CONCATENATE(I649,J649)</f>
        <v>ReencaucheReencauchadora RENOVA</v>
      </c>
    </row>
    <row r="647" spans="2:26" ht="15.2" customHeight="1">
      <c r="B647" s="37"/>
      <c r="E647" s="2946">
        <v>16</v>
      </c>
      <c r="F647" s="2297" t="s">
        <v>723</v>
      </c>
      <c r="G647" s="68" t="s">
        <v>1602</v>
      </c>
      <c r="H647" s="69" t="s">
        <v>1595</v>
      </c>
      <c r="I647" s="68" t="s">
        <v>726</v>
      </c>
      <c r="J647" s="70" t="s">
        <v>760</v>
      </c>
      <c r="K647" s="71" t="s">
        <v>3256</v>
      </c>
      <c r="L647" s="72">
        <v>43292</v>
      </c>
      <c r="M647" s="73" t="s">
        <v>729</v>
      </c>
      <c r="N647" s="74">
        <v>43305</v>
      </c>
      <c r="O647" s="75">
        <f>+N647</f>
        <v>43305</v>
      </c>
      <c r="P647" s="2765" t="s">
        <v>3280</v>
      </c>
      <c r="Q647" s="2954">
        <v>100.9</v>
      </c>
      <c r="R647" s="76"/>
      <c r="S647" s="1945" t="s">
        <v>731</v>
      </c>
      <c r="T647" s="77" t="s">
        <v>2570</v>
      </c>
      <c r="U647" s="1893"/>
      <c r="V647" s="2079">
        <f t="shared" si="232"/>
        <v>119.062</v>
      </c>
      <c r="W647" s="78">
        <f t="shared" si="233"/>
        <v>0</v>
      </c>
      <c r="X647" s="1878" t="str">
        <f t="shared" si="230"/>
        <v>16.- R Dunlop 8160616-OT_249187  Reencauche F101-00015959 IDY3-220</v>
      </c>
      <c r="Z647" s="19" t="str">
        <f t="shared" si="238"/>
        <v>ReencaucheReencauchadora RENOVA</v>
      </c>
    </row>
    <row r="648" spans="2:26" ht="15.2" customHeight="1">
      <c r="B648" s="37"/>
      <c r="E648" s="2946">
        <v>17</v>
      </c>
      <c r="F648" s="2297" t="s">
        <v>732</v>
      </c>
      <c r="G648" s="68" t="s">
        <v>737</v>
      </c>
      <c r="H648" s="69" t="s">
        <v>901</v>
      </c>
      <c r="I648" s="68" t="s">
        <v>726</v>
      </c>
      <c r="J648" s="70" t="s">
        <v>760</v>
      </c>
      <c r="K648" s="71" t="s">
        <v>3256</v>
      </c>
      <c r="L648" s="72">
        <v>43292</v>
      </c>
      <c r="M648" s="73" t="s">
        <v>729</v>
      </c>
      <c r="N648" s="74">
        <v>43305</v>
      </c>
      <c r="O648" s="75">
        <f>+N648</f>
        <v>43305</v>
      </c>
      <c r="P648" s="2765" t="s">
        <v>3280</v>
      </c>
      <c r="Q648" s="2954">
        <v>90.26</v>
      </c>
      <c r="R648" s="76"/>
      <c r="S648" s="1945" t="s">
        <v>731</v>
      </c>
      <c r="T648" s="77" t="s">
        <v>3098</v>
      </c>
      <c r="U648" s="1893"/>
      <c r="V648" s="2079">
        <f t="shared" si="232"/>
        <v>106.5068</v>
      </c>
      <c r="W648" s="78">
        <f t="shared" si="233"/>
        <v>0</v>
      </c>
      <c r="X648" s="1878" t="str">
        <f t="shared" si="230"/>
        <v>17.- C Vikrant 0760906-OT_249187  Reencauche F101-00015959 IZB-220</v>
      </c>
      <c r="Z648" s="19" t="str">
        <f>CONCATENATE(I651,J651)</f>
        <v>ReencaucheReencauchadora RENOVA</v>
      </c>
    </row>
    <row r="649" spans="2:26" ht="15.2" customHeight="1">
      <c r="B649" s="37"/>
      <c r="E649" s="2947">
        <v>18</v>
      </c>
      <c r="F649" s="2297" t="s">
        <v>732</v>
      </c>
      <c r="G649" s="68" t="s">
        <v>737</v>
      </c>
      <c r="H649" s="69" t="s">
        <v>1328</v>
      </c>
      <c r="I649" s="68" t="s">
        <v>726</v>
      </c>
      <c r="J649" s="70" t="s">
        <v>760</v>
      </c>
      <c r="K649" s="71" t="s">
        <v>3256</v>
      </c>
      <c r="L649" s="72">
        <v>43292</v>
      </c>
      <c r="M649" s="2306" t="s">
        <v>729</v>
      </c>
      <c r="N649" s="74">
        <v>43305</v>
      </c>
      <c r="O649" s="75">
        <f>+N649</f>
        <v>43305</v>
      </c>
      <c r="P649" s="2765" t="s">
        <v>3280</v>
      </c>
      <c r="Q649" s="2954">
        <v>90.26</v>
      </c>
      <c r="R649" s="76"/>
      <c r="S649" s="1945" t="s">
        <v>731</v>
      </c>
      <c r="T649" s="77" t="s">
        <v>3098</v>
      </c>
      <c r="U649" s="1893"/>
      <c r="V649" s="2079">
        <f t="shared" si="232"/>
        <v>106.5068</v>
      </c>
      <c r="W649" s="78">
        <f t="shared" si="233"/>
        <v>0</v>
      </c>
      <c r="X649" s="1878" t="str">
        <f t="shared" si="230"/>
        <v>18.- C Vikrant 0180111-OT_249187  Reencauche F101-00015959 IZB-220</v>
      </c>
      <c r="Z649" s="19" t="str">
        <f t="shared" ref="Z649:Z661" si="251">CONCATENATE(I652,J652)</f>
        <v>ReencaucheReenc. MASTERCAUCHO</v>
      </c>
    </row>
    <row r="650" spans="2:26" ht="15.2" customHeight="1">
      <c r="B650" s="37"/>
      <c r="E650" s="2946">
        <v>19</v>
      </c>
      <c r="F650" s="2297" t="s">
        <v>732</v>
      </c>
      <c r="G650" s="68" t="s">
        <v>733</v>
      </c>
      <c r="H650" s="69" t="s">
        <v>1333</v>
      </c>
      <c r="I650" s="68" t="s">
        <v>726</v>
      </c>
      <c r="J650" s="70" t="s">
        <v>760</v>
      </c>
      <c r="K650" s="71" t="s">
        <v>3256</v>
      </c>
      <c r="L650" s="72">
        <v>43292</v>
      </c>
      <c r="M650" s="2306" t="s">
        <v>729</v>
      </c>
      <c r="N650" s="74">
        <v>43305</v>
      </c>
      <c r="O650" s="75">
        <f t="shared" si="241"/>
        <v>43305</v>
      </c>
      <c r="P650" s="2765" t="s">
        <v>3279</v>
      </c>
      <c r="Q650" s="2954">
        <v>0</v>
      </c>
      <c r="R650" s="76"/>
      <c r="S650" s="1945" t="s">
        <v>731</v>
      </c>
      <c r="T650" s="77" t="s">
        <v>3278</v>
      </c>
      <c r="U650" s="1893"/>
      <c r="V650" s="2079">
        <f t="shared" si="232"/>
        <v>0</v>
      </c>
      <c r="W650" s="78">
        <f t="shared" si="233"/>
        <v>0</v>
      </c>
      <c r="X650" s="1878" t="str">
        <f t="shared" si="230"/>
        <v>19.- C Lima Caucho 0881010-OT_249187  Reencauche G030-0074539 Rechazada x Fatiga estruc</v>
      </c>
      <c r="Z650" s="19" t="str">
        <f t="shared" si="251"/>
        <v>Vulcanizado (curación)Reenc. MASTERCAUCHO</v>
      </c>
    </row>
    <row r="651" spans="2:26" ht="15.2" customHeight="1">
      <c r="B651" s="37"/>
      <c r="E651" s="79">
        <v>20</v>
      </c>
      <c r="F651" s="2294" t="s">
        <v>732</v>
      </c>
      <c r="G651" s="81" t="s">
        <v>733</v>
      </c>
      <c r="H651" s="82" t="s">
        <v>1335</v>
      </c>
      <c r="I651" s="81" t="s">
        <v>726</v>
      </c>
      <c r="J651" s="83" t="s">
        <v>760</v>
      </c>
      <c r="K651" s="84" t="s">
        <v>3256</v>
      </c>
      <c r="L651" s="85">
        <v>43292</v>
      </c>
      <c r="M651" s="86" t="s">
        <v>729</v>
      </c>
      <c r="N651" s="87">
        <v>43305</v>
      </c>
      <c r="O651" s="88">
        <f t="shared" ref="O651" si="252">+N651</f>
        <v>43305</v>
      </c>
      <c r="P651" s="2766" t="s">
        <v>3279</v>
      </c>
      <c r="Q651" s="2955">
        <v>0</v>
      </c>
      <c r="R651" s="89"/>
      <c r="S651" s="1946" t="s">
        <v>731</v>
      </c>
      <c r="T651" s="77" t="s">
        <v>3278</v>
      </c>
      <c r="U651" s="1893"/>
      <c r="V651" s="2079">
        <f t="shared" si="232"/>
        <v>0</v>
      </c>
      <c r="W651" s="78">
        <f t="shared" si="233"/>
        <v>0</v>
      </c>
      <c r="X651" s="1878" t="str">
        <f t="shared" si="230"/>
        <v>20.- C Lima Caucho 0070108-OT_249187  Reencauche G030-0074539 Rechazada x Fatiga estruc</v>
      </c>
      <c r="Z651" s="19" t="str">
        <f t="shared" si="251"/>
        <v>Vulcanizado (curación)Reenc. MASTERCAUCHO</v>
      </c>
    </row>
    <row r="652" spans="2:26" ht="15.2" customHeight="1">
      <c r="B652" s="37"/>
      <c r="E652" s="2932">
        <v>1</v>
      </c>
      <c r="F652" s="2297" t="s">
        <v>723</v>
      </c>
      <c r="G652" s="68" t="s">
        <v>733</v>
      </c>
      <c r="H652" s="69" t="s">
        <v>1188</v>
      </c>
      <c r="I652" s="68" t="s">
        <v>726</v>
      </c>
      <c r="J652" s="70" t="s">
        <v>727</v>
      </c>
      <c r="K652" s="2305" t="s">
        <v>3243</v>
      </c>
      <c r="L652" s="72">
        <v>43291</v>
      </c>
      <c r="M652" s="2306" t="s">
        <v>729</v>
      </c>
      <c r="N652" s="74">
        <v>43295</v>
      </c>
      <c r="O652" s="75">
        <v>0</v>
      </c>
      <c r="P652" s="2765" t="s">
        <v>3244</v>
      </c>
      <c r="Q652" s="2954"/>
      <c r="R652" s="76">
        <v>262.71179999999998</v>
      </c>
      <c r="S652" s="1945" t="s">
        <v>731</v>
      </c>
      <c r="T652" s="77" t="s">
        <v>2784</v>
      </c>
      <c r="U652" s="1893"/>
      <c r="V652" s="2079">
        <f t="shared" si="232"/>
        <v>0</v>
      </c>
      <c r="W652" s="78">
        <f t="shared" si="233"/>
        <v>309.99992399999996</v>
      </c>
      <c r="X652" s="1878" t="str">
        <f t="shared" si="230"/>
        <v>1.- R Lima Caucho 0550610-OT_009224  Reencauche 0001-011828 ZY-220</v>
      </c>
      <c r="Z652" s="19" t="str">
        <f t="shared" si="251"/>
        <v>ReencaucheReencauchadora RENOVA</v>
      </c>
    </row>
    <row r="653" spans="2:26" ht="15.2" customHeight="1">
      <c r="B653" s="37"/>
      <c r="E653" s="2932">
        <v>2</v>
      </c>
      <c r="F653" s="2297" t="s">
        <v>723</v>
      </c>
      <c r="G653" s="68" t="s">
        <v>724</v>
      </c>
      <c r="H653" s="69" t="s">
        <v>3242</v>
      </c>
      <c r="I653" s="68" t="s">
        <v>811</v>
      </c>
      <c r="J653" s="70" t="s">
        <v>727</v>
      </c>
      <c r="K653" s="71" t="s">
        <v>3243</v>
      </c>
      <c r="L653" s="72">
        <v>43291</v>
      </c>
      <c r="M653" s="2306" t="s">
        <v>729</v>
      </c>
      <c r="N653" s="74">
        <v>43295</v>
      </c>
      <c r="O653" s="75">
        <v>0</v>
      </c>
      <c r="P653" s="2765" t="s">
        <v>3244</v>
      </c>
      <c r="Q653" s="2954"/>
      <c r="R653" s="76">
        <v>84.745999999999995</v>
      </c>
      <c r="S653" s="1945" t="s">
        <v>731</v>
      </c>
      <c r="T653" s="77" t="s">
        <v>3229</v>
      </c>
      <c r="U653" s="1893"/>
      <c r="V653" s="2079">
        <f t="shared" si="232"/>
        <v>0</v>
      </c>
      <c r="W653" s="78">
        <f t="shared" si="233"/>
        <v>100.00027999999999</v>
      </c>
      <c r="X653" s="1878" t="str">
        <f t="shared" si="230"/>
        <v>2.- R Aeolus 0290215-OT_009224  Vulcanizado (curación) 0001-011828 Corte lateral</v>
      </c>
      <c r="Z653" s="19" t="str">
        <f t="shared" si="251"/>
        <v>ReencaucheReencauchadora RENOVA</v>
      </c>
    </row>
    <row r="654" spans="2:26" ht="15.2" customHeight="1">
      <c r="B654" s="37"/>
      <c r="E654" s="79">
        <v>3</v>
      </c>
      <c r="F654" s="2294" t="s">
        <v>723</v>
      </c>
      <c r="G654" s="81" t="s">
        <v>724</v>
      </c>
      <c r="H654" s="82" t="s">
        <v>1593</v>
      </c>
      <c r="I654" s="81" t="s">
        <v>811</v>
      </c>
      <c r="J654" s="83" t="s">
        <v>727</v>
      </c>
      <c r="K654" s="84" t="s">
        <v>3243</v>
      </c>
      <c r="L654" s="85">
        <v>43291</v>
      </c>
      <c r="M654" s="2296" t="s">
        <v>729</v>
      </c>
      <c r="N654" s="87">
        <v>43295</v>
      </c>
      <c r="O654" s="88">
        <v>0</v>
      </c>
      <c r="P654" s="2766" t="s">
        <v>3244</v>
      </c>
      <c r="Q654" s="2955"/>
      <c r="R654" s="89">
        <v>84.745999999999995</v>
      </c>
      <c r="S654" s="1946" t="s">
        <v>731</v>
      </c>
      <c r="T654" s="77" t="s">
        <v>3229</v>
      </c>
      <c r="U654" s="1893"/>
      <c r="V654" s="2079">
        <f t="shared" si="232"/>
        <v>0</v>
      </c>
      <c r="W654" s="78">
        <f t="shared" si="233"/>
        <v>100.00027999999999</v>
      </c>
      <c r="X654" s="1878" t="str">
        <f t="shared" si="230"/>
        <v>3.- R Aeolus 8140616-OT_009224  Vulcanizado (curación) 0001-011828 Corte lateral</v>
      </c>
      <c r="Z654" s="19" t="str">
        <f t="shared" si="251"/>
        <v>Vulcanizado (curación)Reenc. MASTERCAUCHO</v>
      </c>
    </row>
    <row r="655" spans="2:26" ht="15.2" customHeight="1">
      <c r="B655" s="37"/>
      <c r="E655" s="343">
        <v>1</v>
      </c>
      <c r="F655" s="3006" t="s">
        <v>723</v>
      </c>
      <c r="G655" s="299" t="s">
        <v>151</v>
      </c>
      <c r="H655" s="300" t="s">
        <v>3230</v>
      </c>
      <c r="I655" s="299" t="s">
        <v>726</v>
      </c>
      <c r="J655" s="301" t="s">
        <v>760</v>
      </c>
      <c r="K655" s="2166" t="s">
        <v>3231</v>
      </c>
      <c r="L655" s="99">
        <v>43285</v>
      </c>
      <c r="M655" s="3007" t="s">
        <v>729</v>
      </c>
      <c r="N655" s="153">
        <v>43298</v>
      </c>
      <c r="O655" s="154">
        <f t="shared" ref="O655:O663" si="253">+N655</f>
        <v>43298</v>
      </c>
      <c r="P655" s="344" t="s">
        <v>3259</v>
      </c>
      <c r="Q655" s="2959">
        <v>100.9</v>
      </c>
      <c r="R655" s="103"/>
      <c r="S655" s="1945" t="s">
        <v>731</v>
      </c>
      <c r="T655" s="610" t="s">
        <v>2570</v>
      </c>
      <c r="U655" s="1893"/>
      <c r="V655" s="2079">
        <f t="shared" si="232"/>
        <v>119.062</v>
      </c>
      <c r="W655" s="78">
        <f t="shared" si="233"/>
        <v>0</v>
      </c>
      <c r="X655" s="1878" t="str">
        <f t="shared" si="230"/>
        <v>1.- R WindPower 0470815-OT_249175  Reencauche F101-00015836 IDY3-220</v>
      </c>
      <c r="Z655" s="19" t="str">
        <f t="shared" si="251"/>
        <v>Vulcanizado (curación)Reenc. MASTERCAUCHO</v>
      </c>
    </row>
    <row r="656" spans="2:26" ht="15.2" customHeight="1">
      <c r="B656" s="37"/>
      <c r="E656" s="602">
        <v>2</v>
      </c>
      <c r="F656" s="3008" t="s">
        <v>732</v>
      </c>
      <c r="G656" s="603" t="s">
        <v>733</v>
      </c>
      <c r="H656" s="604" t="s">
        <v>782</v>
      </c>
      <c r="I656" s="603" t="s">
        <v>726</v>
      </c>
      <c r="J656" s="605" t="s">
        <v>760</v>
      </c>
      <c r="K656" s="108" t="s">
        <v>3231</v>
      </c>
      <c r="L656" s="109">
        <v>43285</v>
      </c>
      <c r="M656" s="110" t="s">
        <v>729</v>
      </c>
      <c r="N656" s="606">
        <v>43298</v>
      </c>
      <c r="O656" s="607">
        <f t="shared" ref="O656" si="254">+N656</f>
        <v>43298</v>
      </c>
      <c r="P656" s="2774" t="s">
        <v>3259</v>
      </c>
      <c r="Q656" s="2965">
        <v>90.26</v>
      </c>
      <c r="R656" s="113"/>
      <c r="S656" s="1946" t="s">
        <v>731</v>
      </c>
      <c r="T656" s="610" t="s">
        <v>3098</v>
      </c>
      <c r="U656" s="1893"/>
      <c r="V656" s="2079">
        <f t="shared" si="232"/>
        <v>106.5068</v>
      </c>
      <c r="W656" s="78">
        <f t="shared" si="233"/>
        <v>0</v>
      </c>
      <c r="X656" s="1878" t="str">
        <f t="shared" si="230"/>
        <v>2.- C Lima Caucho 1011210-OT_249175  Reencauche F101-00015836 IZB-220</v>
      </c>
      <c r="Z656" s="19" t="str">
        <f t="shared" ref="Z656" si="255">CONCATENATE(I659,J659)</f>
        <v>Casc 2a trnsplReenc. MASTERCAUCHO</v>
      </c>
    </row>
    <row r="657" spans="2:26" ht="15.2" customHeight="1">
      <c r="B657" s="37"/>
      <c r="E657" s="2932">
        <v>1</v>
      </c>
      <c r="F657" s="2297" t="s">
        <v>723</v>
      </c>
      <c r="G657" s="68" t="s">
        <v>724</v>
      </c>
      <c r="H657" s="69" t="s">
        <v>875</v>
      </c>
      <c r="I657" s="68" t="s">
        <v>811</v>
      </c>
      <c r="J657" s="70" t="s">
        <v>727</v>
      </c>
      <c r="K657" s="2305" t="s">
        <v>3228</v>
      </c>
      <c r="L657" s="72">
        <v>43283</v>
      </c>
      <c r="M657" s="2306" t="s">
        <v>729</v>
      </c>
      <c r="N657" s="74">
        <v>43288</v>
      </c>
      <c r="O657" s="75">
        <f t="shared" si="253"/>
        <v>43288</v>
      </c>
      <c r="P657" s="2765" t="s">
        <v>3239</v>
      </c>
      <c r="Q657" s="2954"/>
      <c r="R657" s="76">
        <v>84.745999999999995</v>
      </c>
      <c r="S657" s="1945" t="s">
        <v>731</v>
      </c>
      <c r="T657" s="77" t="s">
        <v>3229</v>
      </c>
      <c r="U657" s="1893"/>
      <c r="V657" s="2079">
        <f t="shared" si="232"/>
        <v>0</v>
      </c>
      <c r="W657" s="78">
        <f t="shared" si="233"/>
        <v>100.00027999999999</v>
      </c>
      <c r="X657" s="1878" t="str">
        <f t="shared" si="230"/>
        <v>1.- R Aeolus 0220413-OT_009210  Vulcanizado (curación) 00001-0011768 Corte lateral</v>
      </c>
      <c r="Z657" s="19" t="str">
        <f t="shared" si="251"/>
        <v>Sacar_BandaReenc. MASTERCAUCHO</v>
      </c>
    </row>
    <row r="658" spans="2:26" ht="15.2" customHeight="1">
      <c r="B658" s="37"/>
      <c r="E658" s="2932">
        <v>2</v>
      </c>
      <c r="F658" s="2297" t="s">
        <v>723</v>
      </c>
      <c r="G658" s="68" t="s">
        <v>151</v>
      </c>
      <c r="H658" s="69" t="s">
        <v>3227</v>
      </c>
      <c r="I658" s="68" t="s">
        <v>811</v>
      </c>
      <c r="J658" s="70" t="s">
        <v>727</v>
      </c>
      <c r="K658" s="71" t="s">
        <v>3228</v>
      </c>
      <c r="L658" s="72">
        <v>43283</v>
      </c>
      <c r="M658" s="2306" t="s">
        <v>729</v>
      </c>
      <c r="N658" s="74">
        <v>43288</v>
      </c>
      <c r="O658" s="75">
        <f t="shared" si="253"/>
        <v>43288</v>
      </c>
      <c r="P658" s="2765" t="s">
        <v>3239</v>
      </c>
      <c r="Q658" s="2954"/>
      <c r="R658" s="76">
        <v>84.745999999999995</v>
      </c>
      <c r="S658" s="1945" t="s">
        <v>731</v>
      </c>
      <c r="T658" s="77" t="s">
        <v>3229</v>
      </c>
      <c r="U658" s="1893"/>
      <c r="V658" s="2079">
        <f t="shared" si="232"/>
        <v>0</v>
      </c>
      <c r="W658" s="78">
        <f t="shared" si="233"/>
        <v>100.00027999999999</v>
      </c>
      <c r="X658" s="1878" t="str">
        <f t="shared" si="230"/>
        <v>2.- R WindPower 0430815-OT_009210  Vulcanizado (curación) 00001-0011768 Corte lateral</v>
      </c>
      <c r="Z658" s="19" t="str">
        <f t="shared" si="251"/>
        <v>Casc 2a trnsplReenc. MASTERCAUCHO</v>
      </c>
    </row>
    <row r="659" spans="2:26" ht="15.2" customHeight="1">
      <c r="B659" s="37"/>
      <c r="E659" s="2944">
        <v>3</v>
      </c>
      <c r="F659" s="2297" t="s">
        <v>723</v>
      </c>
      <c r="G659" s="68" t="s">
        <v>3235</v>
      </c>
      <c r="H659" s="69" t="s">
        <v>3240</v>
      </c>
      <c r="I659" s="68" t="s">
        <v>3224</v>
      </c>
      <c r="J659" s="70" t="s">
        <v>727</v>
      </c>
      <c r="K659" s="2305" t="s">
        <v>857</v>
      </c>
      <c r="L659" s="72"/>
      <c r="M659" s="2306" t="s">
        <v>729</v>
      </c>
      <c r="N659" s="74">
        <v>43288</v>
      </c>
      <c r="O659" s="75">
        <f t="shared" ref="O659" si="256">+N659</f>
        <v>43288</v>
      </c>
      <c r="P659" s="2765" t="s">
        <v>3239</v>
      </c>
      <c r="Q659" s="2954"/>
      <c r="R659" s="76">
        <v>211.86439999999999</v>
      </c>
      <c r="S659" s="1945" t="s">
        <v>731</v>
      </c>
      <c r="T659" s="77" t="s">
        <v>3241</v>
      </c>
      <c r="U659" s="1893"/>
      <c r="V659" s="2079">
        <f t="shared" si="232"/>
        <v>0</v>
      </c>
      <c r="W659" s="78">
        <f t="shared" si="233"/>
        <v>249.99999199999996</v>
      </c>
      <c r="X659" s="1878" t="str">
        <f t="shared" si="230"/>
        <v>3.- R General 8280718-OT_S/D  Casc 2a trnspl 00001-0011768 General MS520 3012 Ecuador</v>
      </c>
      <c r="Z659" s="19" t="str">
        <f t="shared" si="251"/>
        <v>Casc 2a trnsplReenc. MASTERCAUCHO</v>
      </c>
    </row>
    <row r="660" spans="2:26" ht="15.2" customHeight="1">
      <c r="B660" s="37"/>
      <c r="E660" s="79">
        <v>4</v>
      </c>
      <c r="F660" s="2575" t="s">
        <v>723</v>
      </c>
      <c r="G660" s="2576" t="s">
        <v>724</v>
      </c>
      <c r="H660" s="2577" t="s">
        <v>1441</v>
      </c>
      <c r="I660" s="2576" t="s">
        <v>744</v>
      </c>
      <c r="J660" s="2578" t="s">
        <v>727</v>
      </c>
      <c r="K660" s="2579" t="s">
        <v>3228</v>
      </c>
      <c r="L660" s="2580">
        <v>43283</v>
      </c>
      <c r="M660" s="2581"/>
      <c r="N660" s="3134">
        <v>43315</v>
      </c>
      <c r="O660" s="2583">
        <f t="shared" si="253"/>
        <v>43315</v>
      </c>
      <c r="P660" s="2937" t="s">
        <v>3283</v>
      </c>
      <c r="Q660" s="2957"/>
      <c r="R660" s="2584"/>
      <c r="S660" s="2585" t="s">
        <v>731</v>
      </c>
      <c r="T660" s="2900" t="s">
        <v>3282</v>
      </c>
      <c r="U660" s="1893"/>
      <c r="V660" s="2079">
        <f t="shared" si="232"/>
        <v>0</v>
      </c>
      <c r="W660" s="78">
        <f t="shared" si="233"/>
        <v>0</v>
      </c>
      <c r="X660" s="1878" t="str">
        <f t="shared" si="230"/>
        <v>4.- R Aeolus 0080114-OT_009210  Sacar_Banda G0001-004234 Remplz x ZETA-0080114</v>
      </c>
      <c r="Z660" s="19" t="str">
        <f t="shared" si="251"/>
        <v>ReencaucheReencauchadora RENOVA</v>
      </c>
    </row>
    <row r="661" spans="2:26" ht="15.2" customHeight="1">
      <c r="B661" s="37"/>
      <c r="E661" s="2932">
        <v>1</v>
      </c>
      <c r="F661" s="2297" t="s">
        <v>723</v>
      </c>
      <c r="G661" s="68" t="s">
        <v>3205</v>
      </c>
      <c r="H661" s="69" t="s">
        <v>3222</v>
      </c>
      <c r="I661" s="68" t="s">
        <v>3224</v>
      </c>
      <c r="J661" s="70" t="s">
        <v>727</v>
      </c>
      <c r="K661" s="2305" t="s">
        <v>857</v>
      </c>
      <c r="L661" s="72"/>
      <c r="M661" s="73" t="s">
        <v>729</v>
      </c>
      <c r="N661" s="74">
        <v>43273</v>
      </c>
      <c r="O661" s="75">
        <v>43273</v>
      </c>
      <c r="P661" s="2765" t="s">
        <v>3217</v>
      </c>
      <c r="Q661" s="2954"/>
      <c r="R661" s="76">
        <v>211.86439999999999</v>
      </c>
      <c r="S661" s="1945" t="s">
        <v>731</v>
      </c>
      <c r="T661" s="2942" t="s">
        <v>3220</v>
      </c>
      <c r="U661" s="1893"/>
      <c r="V661" s="2079">
        <f t="shared" si="232"/>
        <v>0</v>
      </c>
      <c r="W661" s="78">
        <f t="shared" si="233"/>
        <v>249.99999199999996</v>
      </c>
      <c r="X661" s="1878" t="str">
        <f t="shared" si="230"/>
        <v>1.- R LEAO 8260618-OT_S/D  Casc 2a trnspl 0001-011637 LEAO F816 0216 China</v>
      </c>
      <c r="Z661" s="19" t="str">
        <f t="shared" si="251"/>
        <v>ReencaucheReencauchadora RENOVA</v>
      </c>
    </row>
    <row r="662" spans="2:26" ht="15.2" customHeight="1">
      <c r="B662" s="37"/>
      <c r="E662" s="79">
        <v>2</v>
      </c>
      <c r="F662" s="2294" t="s">
        <v>732</v>
      </c>
      <c r="G662" s="81" t="s">
        <v>551</v>
      </c>
      <c r="H662" s="82" t="s">
        <v>3223</v>
      </c>
      <c r="I662" s="81" t="s">
        <v>3224</v>
      </c>
      <c r="J662" s="83" t="s">
        <v>727</v>
      </c>
      <c r="K662" s="2295" t="s">
        <v>857</v>
      </c>
      <c r="L662" s="85"/>
      <c r="M662" s="86" t="s">
        <v>729</v>
      </c>
      <c r="N662" s="87">
        <v>43273</v>
      </c>
      <c r="O662" s="88">
        <v>43273</v>
      </c>
      <c r="P662" s="2766" t="s">
        <v>3217</v>
      </c>
      <c r="Q662" s="2955"/>
      <c r="R662" s="89">
        <v>211.86439999999999</v>
      </c>
      <c r="S662" s="1946" t="s">
        <v>731</v>
      </c>
      <c r="T662" s="2942" t="s">
        <v>3221</v>
      </c>
      <c r="U662" s="1893"/>
      <c r="V662" s="2079">
        <f t="shared" si="232"/>
        <v>0</v>
      </c>
      <c r="W662" s="78">
        <f t="shared" si="233"/>
        <v>249.99999199999996</v>
      </c>
      <c r="X662" s="1878" t="str">
        <f t="shared" si="230"/>
        <v>2.- C MRF 8270618-OT_S/D  Casc 2a trnspl 0001-011637 MRF SuperLug78 0111 India</v>
      </c>
      <c r="Z662" s="19" t="str">
        <f t="shared" si="237"/>
        <v>ReencaucheReencauchadora RENOVA</v>
      </c>
    </row>
    <row r="663" spans="2:26" ht="15.2" customHeight="1">
      <c r="B663" s="37"/>
      <c r="E663" s="2932">
        <v>1</v>
      </c>
      <c r="F663" s="2297" t="s">
        <v>732</v>
      </c>
      <c r="G663" s="68" t="s">
        <v>737</v>
      </c>
      <c r="H663" s="69" t="s">
        <v>1527</v>
      </c>
      <c r="I663" s="68" t="s">
        <v>726</v>
      </c>
      <c r="J663" s="70" t="s">
        <v>760</v>
      </c>
      <c r="K663" s="2305" t="s">
        <v>3216</v>
      </c>
      <c r="L663" s="72">
        <v>43276</v>
      </c>
      <c r="M663" s="2306" t="s">
        <v>729</v>
      </c>
      <c r="N663" s="74">
        <v>43285</v>
      </c>
      <c r="O663" s="75">
        <f t="shared" si="253"/>
        <v>43285</v>
      </c>
      <c r="P663" s="2765" t="s">
        <v>3234</v>
      </c>
      <c r="Q663" s="2954"/>
      <c r="R663" s="76">
        <v>85.79</v>
      </c>
      <c r="S663" s="1945" t="s">
        <v>731</v>
      </c>
      <c r="T663" s="77"/>
      <c r="U663" s="1893"/>
      <c r="V663" s="2079">
        <f t="shared" si="232"/>
        <v>0</v>
      </c>
      <c r="W663" s="78">
        <f t="shared" si="233"/>
        <v>101.23220000000001</v>
      </c>
      <c r="X663" s="1878" t="str">
        <f t="shared" si="230"/>
        <v xml:space="preserve">1.- C Vikrant 0270211-OT_249157  Reencauche F101-00015645 </v>
      </c>
      <c r="Z663" s="19" t="str">
        <f t="shared" si="237"/>
        <v>ReencaucheReencauchadora RENOVA</v>
      </c>
    </row>
    <row r="664" spans="2:26" ht="15.2" customHeight="1">
      <c r="B664" s="37"/>
      <c r="E664" s="2932">
        <v>2</v>
      </c>
      <c r="F664" s="2297" t="s">
        <v>732</v>
      </c>
      <c r="G664" s="68" t="s">
        <v>737</v>
      </c>
      <c r="H664" s="69" t="s">
        <v>26</v>
      </c>
      <c r="I664" s="68" t="s">
        <v>726</v>
      </c>
      <c r="J664" s="70" t="s">
        <v>760</v>
      </c>
      <c r="K664" s="71" t="s">
        <v>3216</v>
      </c>
      <c r="L664" s="72">
        <v>43276</v>
      </c>
      <c r="M664" s="2306" t="s">
        <v>729</v>
      </c>
      <c r="N664" s="74">
        <v>43285</v>
      </c>
      <c r="O664" s="75">
        <v>43285</v>
      </c>
      <c r="P664" s="2765" t="s">
        <v>3234</v>
      </c>
      <c r="Q664" s="2954"/>
      <c r="R664" s="76">
        <v>85.79</v>
      </c>
      <c r="S664" s="1945" t="s">
        <v>731</v>
      </c>
      <c r="T664" s="77"/>
      <c r="U664" s="1893"/>
      <c r="V664" s="2079">
        <f t="shared" si="232"/>
        <v>0</v>
      </c>
      <c r="W664" s="78">
        <f t="shared" si="233"/>
        <v>101.23220000000001</v>
      </c>
      <c r="X664" s="1878" t="str">
        <f t="shared" si="230"/>
        <v xml:space="preserve">2.- C Vikrant 0700505-OT_249157  Reencauche F101-00015645 </v>
      </c>
      <c r="Z664" s="19" t="str">
        <f t="shared" si="237"/>
        <v>ReencaucheReencauchadora RENOVA</v>
      </c>
    </row>
    <row r="665" spans="2:26" ht="15.2" customHeight="1">
      <c r="B665" s="37"/>
      <c r="E665" s="2899">
        <v>3</v>
      </c>
      <c r="F665" s="2945" t="s">
        <v>732</v>
      </c>
      <c r="G665" s="68" t="s">
        <v>737</v>
      </c>
      <c r="H665" s="69" t="s">
        <v>1526</v>
      </c>
      <c r="I665" s="68" t="s">
        <v>726</v>
      </c>
      <c r="J665" s="70" t="s">
        <v>760</v>
      </c>
      <c r="K665" s="71" t="s">
        <v>3216</v>
      </c>
      <c r="L665" s="72">
        <v>43276</v>
      </c>
      <c r="M665" s="2306" t="s">
        <v>729</v>
      </c>
      <c r="N665" s="74">
        <v>43285</v>
      </c>
      <c r="O665" s="75">
        <v>43285</v>
      </c>
      <c r="P665" s="2765" t="s">
        <v>3234</v>
      </c>
      <c r="Q665" s="2954"/>
      <c r="R665" s="76">
        <v>85.79</v>
      </c>
      <c r="S665" s="1945" t="s">
        <v>731</v>
      </c>
      <c r="T665" s="77"/>
      <c r="U665" s="1893"/>
      <c r="V665" s="2079">
        <f t="shared" si="232"/>
        <v>0</v>
      </c>
      <c r="W665" s="78">
        <f t="shared" si="233"/>
        <v>101.23220000000001</v>
      </c>
      <c r="X665" s="1878" t="str">
        <f t="shared" si="230"/>
        <v xml:space="preserve">3.- C Vikrant 0340410-OT_249157  Reencauche F101-00015645 </v>
      </c>
      <c r="Z665" s="19" t="str">
        <f t="shared" si="237"/>
        <v>ReencaucheReencauchadora RENOVA</v>
      </c>
    </row>
    <row r="666" spans="2:26" ht="15.2" customHeight="1">
      <c r="B666" s="37"/>
      <c r="E666" s="2899">
        <v>4</v>
      </c>
      <c r="F666" s="2297" t="s">
        <v>732</v>
      </c>
      <c r="G666" s="68" t="s">
        <v>737</v>
      </c>
      <c r="H666" s="69" t="s">
        <v>1317</v>
      </c>
      <c r="I666" s="68" t="s">
        <v>726</v>
      </c>
      <c r="J666" s="70" t="s">
        <v>760</v>
      </c>
      <c r="K666" s="71" t="s">
        <v>3216</v>
      </c>
      <c r="L666" s="72">
        <v>43276</v>
      </c>
      <c r="M666" s="2306" t="s">
        <v>729</v>
      </c>
      <c r="N666" s="74">
        <v>43285</v>
      </c>
      <c r="O666" s="75">
        <v>43285</v>
      </c>
      <c r="P666" s="2765" t="s">
        <v>3234</v>
      </c>
      <c r="Q666" s="2954"/>
      <c r="R666" s="76">
        <v>85.79</v>
      </c>
      <c r="S666" s="1945" t="s">
        <v>731</v>
      </c>
      <c r="T666" s="77"/>
      <c r="U666" s="1893"/>
      <c r="V666" s="2079">
        <f t="shared" si="232"/>
        <v>0</v>
      </c>
      <c r="W666" s="78">
        <f t="shared" si="233"/>
        <v>101.23220000000001</v>
      </c>
      <c r="X666" s="1878" t="str">
        <f t="shared" si="230"/>
        <v xml:space="preserve">4.- C Vikrant 0310410-OT_249157  Reencauche F101-00015645 </v>
      </c>
      <c r="Z666" s="19" t="str">
        <f t="shared" ref="Z666:Z679" si="257">CONCATENATE(I669,J669)</f>
        <v>ReencaucheReenc. MASTERCAUCHO</v>
      </c>
    </row>
    <row r="667" spans="2:26" ht="15.2" customHeight="1">
      <c r="B667" s="37"/>
      <c r="E667" s="2932">
        <v>5</v>
      </c>
      <c r="F667" s="2297" t="s">
        <v>732</v>
      </c>
      <c r="G667" s="68" t="s">
        <v>733</v>
      </c>
      <c r="H667" s="69" t="s">
        <v>1259</v>
      </c>
      <c r="I667" s="68" t="s">
        <v>726</v>
      </c>
      <c r="J667" s="70" t="s">
        <v>760</v>
      </c>
      <c r="K667" s="71" t="s">
        <v>3216</v>
      </c>
      <c r="L667" s="72">
        <v>43276</v>
      </c>
      <c r="M667" s="2306" t="s">
        <v>729</v>
      </c>
      <c r="N667" s="74">
        <v>43285</v>
      </c>
      <c r="O667" s="75">
        <v>43285</v>
      </c>
      <c r="P667" s="2765" t="s">
        <v>3234</v>
      </c>
      <c r="Q667" s="2954"/>
      <c r="R667" s="76">
        <v>85.79</v>
      </c>
      <c r="S667" s="1945" t="s">
        <v>731</v>
      </c>
      <c r="T667" s="77"/>
      <c r="U667" s="1893"/>
      <c r="V667" s="2079">
        <f t="shared" si="232"/>
        <v>0</v>
      </c>
      <c r="W667" s="78">
        <f t="shared" si="233"/>
        <v>101.23220000000001</v>
      </c>
      <c r="X667" s="1878" t="str">
        <f t="shared" si="230"/>
        <v xml:space="preserve">5.- C Lima Caucho 0370411-OT_249157  Reencauche F101-00015645 </v>
      </c>
      <c r="Z667" s="19" t="str">
        <f t="shared" si="257"/>
        <v>ReencaucheReenc. MASTERCAUCHO</v>
      </c>
    </row>
    <row r="668" spans="2:26" ht="15.2" customHeight="1">
      <c r="B668" s="37"/>
      <c r="E668" s="79">
        <v>6</v>
      </c>
      <c r="F668" s="2294" t="s">
        <v>732</v>
      </c>
      <c r="G668" s="81" t="s">
        <v>737</v>
      </c>
      <c r="H668" s="82" t="s">
        <v>1419</v>
      </c>
      <c r="I668" s="81" t="s">
        <v>726</v>
      </c>
      <c r="J668" s="83" t="s">
        <v>760</v>
      </c>
      <c r="K668" s="84" t="s">
        <v>3216</v>
      </c>
      <c r="L668" s="85">
        <v>43276</v>
      </c>
      <c r="M668" s="86" t="s">
        <v>729</v>
      </c>
      <c r="N668" s="87"/>
      <c r="O668" s="88">
        <v>0</v>
      </c>
      <c r="P668" s="2766" t="s">
        <v>3232</v>
      </c>
      <c r="Q668" s="2955">
        <v>0</v>
      </c>
      <c r="R668" s="89"/>
      <c r="S668" s="1946" t="s">
        <v>731</v>
      </c>
      <c r="T668" s="77" t="s">
        <v>3233</v>
      </c>
      <c r="U668" s="1893"/>
      <c r="V668" s="2079">
        <f t="shared" si="232"/>
        <v>0</v>
      </c>
      <c r="W668" s="78">
        <f t="shared" si="233"/>
        <v>0</v>
      </c>
      <c r="X668" s="1878" t="str">
        <f t="shared" si="230"/>
        <v>6.- C Vikrant 0811009-OT_249157  Reencauche G0300073942 RECHAZO x rodado a baja presion</v>
      </c>
      <c r="Z668" s="19" t="str">
        <f t="shared" si="257"/>
        <v>ReencaucheReenc. MASTERCAUCHO</v>
      </c>
    </row>
    <row r="669" spans="2:26" ht="15.2" customHeight="1">
      <c r="B669" s="37"/>
      <c r="E669" s="2928">
        <v>1</v>
      </c>
      <c r="F669" s="2297" t="s">
        <v>723</v>
      </c>
      <c r="G669" s="68" t="s">
        <v>724</v>
      </c>
      <c r="H669" s="69" t="s">
        <v>1440</v>
      </c>
      <c r="I669" s="68" t="s">
        <v>726</v>
      </c>
      <c r="J669" s="70" t="s">
        <v>727</v>
      </c>
      <c r="K669" s="2305" t="s">
        <v>3215</v>
      </c>
      <c r="L669" s="72">
        <v>43270</v>
      </c>
      <c r="M669" s="2306" t="s">
        <v>729</v>
      </c>
      <c r="N669" s="74">
        <v>43273</v>
      </c>
      <c r="O669" s="75">
        <f t="shared" ref="O669:O681" si="258">+N669</f>
        <v>43273</v>
      </c>
      <c r="P669" s="2765" t="s">
        <v>3217</v>
      </c>
      <c r="Q669" s="2954"/>
      <c r="R669" s="76">
        <v>279.661</v>
      </c>
      <c r="S669" s="1945" t="s">
        <v>731</v>
      </c>
      <c r="T669" s="77" t="s">
        <v>2712</v>
      </c>
      <c r="U669" s="1893"/>
      <c r="V669" s="2079">
        <f t="shared" si="232"/>
        <v>0</v>
      </c>
      <c r="W669" s="78">
        <f t="shared" si="233"/>
        <v>329.99997999999999</v>
      </c>
      <c r="X669" s="1878" t="str">
        <f t="shared" si="230"/>
        <v>1.- R Aeolus 0070114-OT_008746  Reencauche 0001-011637 MDY-220</v>
      </c>
    </row>
    <row r="670" spans="2:26" ht="15.2" customHeight="1">
      <c r="B670" s="37"/>
      <c r="E670" s="2928">
        <v>2</v>
      </c>
      <c r="F670" s="2297" t="s">
        <v>732</v>
      </c>
      <c r="G670" s="68" t="s">
        <v>737</v>
      </c>
      <c r="H670" s="69" t="s">
        <v>1077</v>
      </c>
      <c r="I670" s="68" t="s">
        <v>726</v>
      </c>
      <c r="J670" s="70" t="s">
        <v>727</v>
      </c>
      <c r="K670" s="71" t="s">
        <v>3215</v>
      </c>
      <c r="L670" s="72">
        <v>43270</v>
      </c>
      <c r="M670" s="73" t="s">
        <v>729</v>
      </c>
      <c r="N670" s="74">
        <v>43273</v>
      </c>
      <c r="O670" s="75">
        <v>43273</v>
      </c>
      <c r="P670" s="2765" t="s">
        <v>3217</v>
      </c>
      <c r="Q670" s="2954"/>
      <c r="R670" s="76">
        <v>279.661</v>
      </c>
      <c r="S670" s="1945" t="s">
        <v>731</v>
      </c>
      <c r="T670" s="77" t="s">
        <v>2712</v>
      </c>
      <c r="U670" s="1893"/>
      <c r="V670" s="2079">
        <f t="shared" si="232"/>
        <v>0</v>
      </c>
      <c r="W670" s="78">
        <f t="shared" si="233"/>
        <v>329.99997999999999</v>
      </c>
      <c r="X670" s="1878" t="str">
        <f t="shared" si="230"/>
        <v>2.- C Vikrant 0360410-OT_008746  Reencauche 0001-011637 MDY-220</v>
      </c>
      <c r="Z670" s="19" t="str">
        <f t="shared" si="257"/>
        <v>Casc 2a trnsplReenc. MASTERCAUCHO</v>
      </c>
    </row>
    <row r="671" spans="2:26" ht="15.2" customHeight="1">
      <c r="B671" s="37"/>
      <c r="E671" s="2928">
        <v>3</v>
      </c>
      <c r="F671" s="2297" t="s">
        <v>732</v>
      </c>
      <c r="G671" s="68" t="s">
        <v>733</v>
      </c>
      <c r="H671" s="69" t="s">
        <v>994</v>
      </c>
      <c r="I671" s="68" t="s">
        <v>726</v>
      </c>
      <c r="J671" s="70" t="s">
        <v>727</v>
      </c>
      <c r="K671" s="71" t="s">
        <v>3215</v>
      </c>
      <c r="L671" s="72">
        <v>43270</v>
      </c>
      <c r="M671" s="73" t="s">
        <v>729</v>
      </c>
      <c r="N671" s="74">
        <v>43273</v>
      </c>
      <c r="O671" s="75">
        <v>43273</v>
      </c>
      <c r="P671" s="2765" t="s">
        <v>3217</v>
      </c>
      <c r="Q671" s="2954"/>
      <c r="R671" s="76">
        <v>279.661</v>
      </c>
      <c r="S671" s="1945" t="s">
        <v>731</v>
      </c>
      <c r="T671" s="77" t="s">
        <v>2712</v>
      </c>
      <c r="U671" s="1893"/>
      <c r="V671" s="2079">
        <f t="shared" si="232"/>
        <v>0</v>
      </c>
      <c r="W671" s="78">
        <f t="shared" si="233"/>
        <v>329.99997999999999</v>
      </c>
      <c r="X671" s="1878" t="str">
        <f t="shared" si="230"/>
        <v>3.- C Lima Caucho 0180207-OT_008746  Reencauche 0001-011637 MDY-220</v>
      </c>
      <c r="Z671" s="19" t="str">
        <f t="shared" si="257"/>
        <v>ReencaucheReenc. MASTERCAUCHO</v>
      </c>
    </row>
    <row r="672" spans="2:26" ht="15.2" customHeight="1">
      <c r="B672" s="37"/>
      <c r="E672" s="2932">
        <v>4</v>
      </c>
      <c r="F672" s="2297" t="s">
        <v>732</v>
      </c>
      <c r="G672" s="68" t="s">
        <v>737</v>
      </c>
      <c r="H672" s="69" t="s">
        <v>3214</v>
      </c>
      <c r="I672" s="68" t="s">
        <v>726</v>
      </c>
      <c r="J672" s="70" t="s">
        <v>727</v>
      </c>
      <c r="K672" s="71" t="s">
        <v>3215</v>
      </c>
      <c r="L672" s="72">
        <v>43270</v>
      </c>
      <c r="M672" s="73" t="s">
        <v>729</v>
      </c>
      <c r="N672" s="74">
        <v>43273</v>
      </c>
      <c r="O672" s="75">
        <v>43273</v>
      </c>
      <c r="P672" s="2765" t="s">
        <v>3217</v>
      </c>
      <c r="Q672" s="2954"/>
      <c r="R672" s="76">
        <v>279.661</v>
      </c>
      <c r="S672" s="1945" t="s">
        <v>731</v>
      </c>
      <c r="T672" s="77" t="s">
        <v>2712</v>
      </c>
      <c r="U672" s="1893"/>
      <c r="V672" s="2079">
        <f t="shared" si="232"/>
        <v>0</v>
      </c>
      <c r="W672" s="78">
        <f t="shared" si="233"/>
        <v>329.99997999999999</v>
      </c>
      <c r="X672" s="1878" t="str">
        <f t="shared" si="230"/>
        <v>4.- C Vikrant 0390506-OT_008746  Reencauche 0001-011637 MDY-220</v>
      </c>
      <c r="Z672" s="19" t="str">
        <f t="shared" si="257"/>
        <v>ReencaucheReenc. MASTERCAUCHO</v>
      </c>
    </row>
    <row r="673" spans="2:26" ht="15.2" customHeight="1">
      <c r="B673" s="37"/>
      <c r="E673" s="79">
        <v>5</v>
      </c>
      <c r="F673" s="2294" t="s">
        <v>732</v>
      </c>
      <c r="G673" s="81" t="s">
        <v>757</v>
      </c>
      <c r="H673" s="82" t="s">
        <v>3218</v>
      </c>
      <c r="I673" s="81" t="s">
        <v>3224</v>
      </c>
      <c r="J673" s="83" t="s">
        <v>727</v>
      </c>
      <c r="K673" s="2295" t="s">
        <v>857</v>
      </c>
      <c r="L673" s="85"/>
      <c r="M673" s="86" t="s">
        <v>729</v>
      </c>
      <c r="N673" s="87">
        <v>43273</v>
      </c>
      <c r="O673" s="88">
        <v>43273</v>
      </c>
      <c r="P673" s="2766" t="s">
        <v>3217</v>
      </c>
      <c r="Q673" s="2955"/>
      <c r="R673" s="89">
        <v>211.86439999999999</v>
      </c>
      <c r="S673" s="1946" t="s">
        <v>731</v>
      </c>
      <c r="T673" s="77" t="s">
        <v>3219</v>
      </c>
      <c r="U673" s="1893"/>
      <c r="V673" s="2079">
        <f t="shared" si="232"/>
        <v>0</v>
      </c>
      <c r="W673" s="78">
        <f t="shared" si="233"/>
        <v>249.99999199999996</v>
      </c>
      <c r="X673" s="1878" t="str">
        <f t="shared" si="230"/>
        <v>5.- C Goodyear 8250618-OT_S/D  Casc 2a trnspl 0001-011637 Goodyear CT165 3509 Peru</v>
      </c>
      <c r="Z673" s="19" t="str">
        <f t="shared" si="257"/>
        <v>ReencaucheReenc. MASTERCAUCHO</v>
      </c>
    </row>
    <row r="674" spans="2:26" ht="15.2" customHeight="1">
      <c r="B674" s="37"/>
      <c r="E674" s="2928">
        <v>1</v>
      </c>
      <c r="F674" s="2297" t="s">
        <v>732</v>
      </c>
      <c r="G674" s="68" t="s">
        <v>733</v>
      </c>
      <c r="H674" s="69" t="s">
        <v>1153</v>
      </c>
      <c r="I674" s="68" t="s">
        <v>726</v>
      </c>
      <c r="J674" s="70" t="s">
        <v>727</v>
      </c>
      <c r="K674" s="71" t="s">
        <v>3211</v>
      </c>
      <c r="L674" s="72">
        <v>43265</v>
      </c>
      <c r="M674" s="73" t="s">
        <v>729</v>
      </c>
      <c r="N674" s="74">
        <v>43273</v>
      </c>
      <c r="O674" s="75">
        <v>43273</v>
      </c>
      <c r="P674" s="2765" t="s">
        <v>3217</v>
      </c>
      <c r="Q674" s="2954"/>
      <c r="R674" s="76">
        <v>279.661</v>
      </c>
      <c r="S674" s="1945" t="s">
        <v>731</v>
      </c>
      <c r="T674" s="77" t="s">
        <v>2712</v>
      </c>
      <c r="U674" s="1893"/>
      <c r="V674" s="2079">
        <f t="shared" si="232"/>
        <v>0</v>
      </c>
      <c r="W674" s="78">
        <f t="shared" si="233"/>
        <v>329.99997999999999</v>
      </c>
      <c r="X674" s="1878" t="str">
        <f t="shared" ref="X674:X737" si="259">CONCATENATE(E674,".- ",F674," ",G674," ",H674,"-OT_",K674," "," ",I674," ",P674," ",T674)</f>
        <v>1.- C Lima Caucho 1031107-OT_008835  Reencauche 0001-011637 MDY-220</v>
      </c>
      <c r="Z674" s="19" t="str">
        <f t="shared" si="257"/>
        <v>Vulcanizado (curación)Reenc. MASTERCAUCHO</v>
      </c>
    </row>
    <row r="675" spans="2:26" ht="15.2" customHeight="1">
      <c r="B675" s="37"/>
      <c r="E675" s="2928">
        <v>2</v>
      </c>
      <c r="F675" s="2297" t="s">
        <v>732</v>
      </c>
      <c r="G675" s="68" t="s">
        <v>733</v>
      </c>
      <c r="H675" s="69" t="s">
        <v>1370</v>
      </c>
      <c r="I675" s="68" t="s">
        <v>726</v>
      </c>
      <c r="J675" s="70" t="s">
        <v>727</v>
      </c>
      <c r="K675" s="71" t="s">
        <v>3211</v>
      </c>
      <c r="L675" s="72">
        <v>43265</v>
      </c>
      <c r="M675" s="73" t="s">
        <v>729</v>
      </c>
      <c r="N675" s="74">
        <v>43273</v>
      </c>
      <c r="O675" s="75">
        <v>43273</v>
      </c>
      <c r="P675" s="2765" t="s">
        <v>3217</v>
      </c>
      <c r="Q675" s="2954"/>
      <c r="R675" s="76">
        <v>279.661</v>
      </c>
      <c r="S675" s="1945" t="s">
        <v>731</v>
      </c>
      <c r="T675" s="77" t="s">
        <v>2712</v>
      </c>
      <c r="U675" s="1893"/>
      <c r="V675" s="2079">
        <f t="shared" ref="V675:V738" si="260">+Q675*(1.18)</f>
        <v>0</v>
      </c>
      <c r="W675" s="78">
        <f t="shared" ref="W675:W738" si="261">+R675*(1.18)</f>
        <v>329.99997999999999</v>
      </c>
      <c r="X675" s="1878" t="str">
        <f t="shared" si="259"/>
        <v>2.- C Lima Caucho 0180108-OT_008835  Reencauche 0001-011637 MDY-220</v>
      </c>
      <c r="Z675" s="19" t="str">
        <f t="shared" si="257"/>
        <v>Vulcanizado (curación)Reenc. MASTERCAUCHO</v>
      </c>
    </row>
    <row r="676" spans="2:26" ht="15.2" customHeight="1">
      <c r="B676" s="37"/>
      <c r="E676" s="2928">
        <v>3</v>
      </c>
      <c r="F676" s="2297" t="s">
        <v>732</v>
      </c>
      <c r="G676" s="68" t="s">
        <v>737</v>
      </c>
      <c r="H676" s="69" t="s">
        <v>1024</v>
      </c>
      <c r="I676" s="68" t="s">
        <v>726</v>
      </c>
      <c r="J676" s="70" t="s">
        <v>727</v>
      </c>
      <c r="K676" s="71" t="s">
        <v>3211</v>
      </c>
      <c r="L676" s="72">
        <v>43265</v>
      </c>
      <c r="M676" s="73" t="s">
        <v>729</v>
      </c>
      <c r="N676" s="74">
        <v>43270</v>
      </c>
      <c r="O676" s="75">
        <f t="shared" si="258"/>
        <v>43270</v>
      </c>
      <c r="P676" s="2765"/>
      <c r="Q676" s="2954"/>
      <c r="R676" s="76">
        <v>279.661</v>
      </c>
      <c r="S676" s="1945" t="s">
        <v>731</v>
      </c>
      <c r="T676" s="77" t="s">
        <v>2712</v>
      </c>
      <c r="U676" s="1893"/>
      <c r="V676" s="2079">
        <f t="shared" si="260"/>
        <v>0</v>
      </c>
      <c r="W676" s="78">
        <f t="shared" si="261"/>
        <v>329.99997999999999</v>
      </c>
      <c r="X676" s="1878" t="str">
        <f t="shared" si="259"/>
        <v>3.- C Vikrant 0791007-OT_008835  Reencauche  MDY-220</v>
      </c>
      <c r="Z676" s="19" t="str">
        <f t="shared" si="257"/>
        <v>Sacar_BandaReenc. MASTERCAUCHO</v>
      </c>
    </row>
    <row r="677" spans="2:26" ht="15.2" customHeight="1">
      <c r="B677" s="37"/>
      <c r="E677" s="2928">
        <v>4</v>
      </c>
      <c r="F677" s="2297" t="s">
        <v>732</v>
      </c>
      <c r="G677" s="68" t="s">
        <v>733</v>
      </c>
      <c r="H677" s="69" t="s">
        <v>2475</v>
      </c>
      <c r="I677" s="68" t="s">
        <v>811</v>
      </c>
      <c r="J677" s="70" t="s">
        <v>727</v>
      </c>
      <c r="K677" s="71" t="s">
        <v>3211</v>
      </c>
      <c r="L677" s="72">
        <v>43265</v>
      </c>
      <c r="M677" s="73" t="s">
        <v>729</v>
      </c>
      <c r="N677" s="74">
        <v>43270</v>
      </c>
      <c r="O677" s="75">
        <f t="shared" si="258"/>
        <v>43270</v>
      </c>
      <c r="P677" s="2765"/>
      <c r="Q677" s="2958"/>
      <c r="R677" s="76">
        <v>84.745999999999995</v>
      </c>
      <c r="S677" s="1945" t="s">
        <v>731</v>
      </c>
      <c r="T677" s="77" t="s">
        <v>3159</v>
      </c>
      <c r="U677" s="1893"/>
      <c r="V677" s="2079">
        <f t="shared" si="260"/>
        <v>0</v>
      </c>
      <c r="W677" s="78">
        <f t="shared" si="261"/>
        <v>100.00027999999999</v>
      </c>
      <c r="X677" s="1878" t="str">
        <f t="shared" si="259"/>
        <v>4.- C Lima Caucho 0070113-OT_008835  Vulcanizado (curación)  Corte Lateral</v>
      </c>
      <c r="Z677" s="19" t="str">
        <f t="shared" si="257"/>
        <v>Sacar_BandaReenc. MASTERCAUCHO</v>
      </c>
    </row>
    <row r="678" spans="2:26" ht="15.2" customHeight="1">
      <c r="B678" s="37"/>
      <c r="E678" s="2928">
        <v>5</v>
      </c>
      <c r="F678" s="2297" t="s">
        <v>732</v>
      </c>
      <c r="G678" s="68" t="s">
        <v>733</v>
      </c>
      <c r="H678" s="69" t="s">
        <v>2476</v>
      </c>
      <c r="I678" s="68" t="s">
        <v>811</v>
      </c>
      <c r="J678" s="70" t="s">
        <v>727</v>
      </c>
      <c r="K678" s="71" t="s">
        <v>3211</v>
      </c>
      <c r="L678" s="72">
        <v>43265</v>
      </c>
      <c r="M678" s="73" t="s">
        <v>729</v>
      </c>
      <c r="N678" s="74">
        <v>43270</v>
      </c>
      <c r="O678" s="75">
        <f t="shared" si="258"/>
        <v>43270</v>
      </c>
      <c r="P678" s="2765"/>
      <c r="Q678" s="2954"/>
      <c r="R678" s="76">
        <v>84.745999999999995</v>
      </c>
      <c r="S678" s="1945" t="s">
        <v>731</v>
      </c>
      <c r="T678" s="77" t="s">
        <v>3159</v>
      </c>
      <c r="U678" s="1893"/>
      <c r="V678" s="2079">
        <f t="shared" si="260"/>
        <v>0</v>
      </c>
      <c r="W678" s="78">
        <f t="shared" si="261"/>
        <v>100.00027999999999</v>
      </c>
      <c r="X678" s="1878" t="str">
        <f t="shared" si="259"/>
        <v>5.- C Lima Caucho 0451112-OT_008835  Vulcanizado (curación)  Corte Lateral</v>
      </c>
      <c r="Z678" s="19" t="str">
        <f t="shared" si="257"/>
        <v>ReencaucheReenc. MASTERCAUCHO</v>
      </c>
    </row>
    <row r="679" spans="2:26" ht="15.2" customHeight="1">
      <c r="B679" s="37"/>
      <c r="E679" s="2928">
        <v>6</v>
      </c>
      <c r="F679" s="2297" t="s">
        <v>732</v>
      </c>
      <c r="G679" s="68" t="s">
        <v>737</v>
      </c>
      <c r="H679" s="69" t="s">
        <v>2405</v>
      </c>
      <c r="I679" s="68" t="s">
        <v>744</v>
      </c>
      <c r="J679" s="70" t="s">
        <v>727</v>
      </c>
      <c r="K679" s="71" t="s">
        <v>3211</v>
      </c>
      <c r="L679" s="72">
        <v>43265</v>
      </c>
      <c r="M679" s="73" t="s">
        <v>729</v>
      </c>
      <c r="N679" s="74">
        <v>43270</v>
      </c>
      <c r="O679" s="75">
        <f t="shared" si="258"/>
        <v>43270</v>
      </c>
      <c r="P679" s="2765" t="s">
        <v>3209</v>
      </c>
      <c r="Q679" s="2954"/>
      <c r="R679" s="76">
        <v>0</v>
      </c>
      <c r="S679" s="1945" t="s">
        <v>731</v>
      </c>
      <c r="T679" s="77" t="s">
        <v>3213</v>
      </c>
      <c r="U679" s="1893"/>
      <c r="V679" s="2079">
        <f t="shared" si="260"/>
        <v>0</v>
      </c>
      <c r="W679" s="78">
        <f t="shared" si="261"/>
        <v>0</v>
      </c>
      <c r="X679" s="1878" t="str">
        <f t="shared" si="259"/>
        <v>6.- C Vikrant 0420510-OT_008835  Sacar_Banda G0001-004062 banda paso a 8260618 MRF</v>
      </c>
      <c r="Z679" s="19" t="str">
        <f t="shared" si="257"/>
        <v>ReencaucheReencauchadora RENOVA</v>
      </c>
    </row>
    <row r="680" spans="2:26" ht="15.2" customHeight="1">
      <c r="B680" s="37"/>
      <c r="E680" s="2928">
        <v>7</v>
      </c>
      <c r="F680" s="2297" t="s">
        <v>732</v>
      </c>
      <c r="G680" s="68" t="s">
        <v>737</v>
      </c>
      <c r="H680" s="69" t="s">
        <v>1330</v>
      </c>
      <c r="I680" s="68" t="s">
        <v>744</v>
      </c>
      <c r="J680" s="70" t="s">
        <v>727</v>
      </c>
      <c r="K680" s="71" t="s">
        <v>3211</v>
      </c>
      <c r="L680" s="72">
        <v>43265</v>
      </c>
      <c r="M680" s="73" t="s">
        <v>729</v>
      </c>
      <c r="N680" s="74">
        <v>43270</v>
      </c>
      <c r="O680" s="75">
        <f t="shared" si="258"/>
        <v>43270</v>
      </c>
      <c r="P680" s="2765" t="s">
        <v>3209</v>
      </c>
      <c r="Q680" s="2954"/>
      <c r="R680" s="76">
        <v>0</v>
      </c>
      <c r="S680" s="1945" t="s">
        <v>731</v>
      </c>
      <c r="T680" s="77"/>
      <c r="U680" s="1893"/>
      <c r="V680" s="2079">
        <f t="shared" si="260"/>
        <v>0</v>
      </c>
      <c r="W680" s="78">
        <f t="shared" si="261"/>
        <v>0</v>
      </c>
      <c r="X680" s="1878" t="str">
        <f t="shared" si="259"/>
        <v xml:space="preserve">7.- C Vikrant 0831007-OT_008835  Sacar_Banda G0001-004062 </v>
      </c>
      <c r="Z680" s="19" t="str">
        <f t="shared" ref="Z680:Z705" si="262">CONCATENATE(I683,J683)</f>
        <v>ReencaucheReencauchadora RENOVA</v>
      </c>
    </row>
    <row r="681" spans="2:26" ht="15.2" customHeight="1">
      <c r="B681" s="37"/>
      <c r="E681" s="79">
        <v>8</v>
      </c>
      <c r="F681" s="2294" t="s">
        <v>732</v>
      </c>
      <c r="G681" s="81" t="s">
        <v>733</v>
      </c>
      <c r="H681" s="82" t="s">
        <v>952</v>
      </c>
      <c r="I681" s="81" t="s">
        <v>726</v>
      </c>
      <c r="J681" s="83" t="s">
        <v>727</v>
      </c>
      <c r="K681" s="2295" t="s">
        <v>3211</v>
      </c>
      <c r="L681" s="85">
        <v>43265</v>
      </c>
      <c r="M681" s="2296" t="s">
        <v>729</v>
      </c>
      <c r="N681" s="87">
        <v>43270</v>
      </c>
      <c r="O681" s="88">
        <f t="shared" si="258"/>
        <v>43270</v>
      </c>
      <c r="P681" s="2766" t="s">
        <v>3212</v>
      </c>
      <c r="Q681" s="2955"/>
      <c r="R681" s="89">
        <v>0</v>
      </c>
      <c r="S681" s="1946" t="s">
        <v>731</v>
      </c>
      <c r="T681" s="77" t="s">
        <v>3188</v>
      </c>
      <c r="U681" s="1893"/>
      <c r="V681" s="2079">
        <f t="shared" si="260"/>
        <v>0</v>
      </c>
      <c r="W681" s="78">
        <f t="shared" si="261"/>
        <v>0</v>
      </c>
      <c r="X681" s="1878" t="str">
        <f t="shared" si="259"/>
        <v>8.- C Lima Caucho 1511207-OT_008835  Reencauche G0001-004061 RECHAZO X falla estruc</v>
      </c>
      <c r="Z681" s="19" t="str">
        <f t="shared" si="262"/>
        <v>ReencaucheReencauchadora RENOVA</v>
      </c>
    </row>
    <row r="682" spans="2:26" ht="15.2" customHeight="1">
      <c r="B682" s="37"/>
      <c r="E682" s="2928">
        <v>1</v>
      </c>
      <c r="F682" s="2297" t="s">
        <v>723</v>
      </c>
      <c r="G682" s="68" t="s">
        <v>724</v>
      </c>
      <c r="H682" s="69" t="s">
        <v>3119</v>
      </c>
      <c r="I682" s="68" t="s">
        <v>726</v>
      </c>
      <c r="J682" s="70" t="s">
        <v>760</v>
      </c>
      <c r="K682" s="2305" t="s">
        <v>3184</v>
      </c>
      <c r="L682" s="72">
        <v>43263</v>
      </c>
      <c r="M682" s="73" t="s">
        <v>729</v>
      </c>
      <c r="N682" s="74">
        <v>43270</v>
      </c>
      <c r="O682" s="75">
        <v>43270</v>
      </c>
      <c r="P682" s="2765" t="s">
        <v>3200</v>
      </c>
      <c r="Q682" s="2954">
        <v>100.9</v>
      </c>
      <c r="R682" s="76"/>
      <c r="S682" s="1945" t="s">
        <v>731</v>
      </c>
      <c r="T682" s="77" t="s">
        <v>2570</v>
      </c>
      <c r="U682" s="1893"/>
      <c r="V682" s="2079">
        <f t="shared" si="260"/>
        <v>119.062</v>
      </c>
      <c r="W682" s="78">
        <f t="shared" si="261"/>
        <v>0</v>
      </c>
      <c r="X682" s="1878" t="str">
        <f t="shared" si="259"/>
        <v>1.- R Aeolus 0180215-OT_248532  Reencauche F101-00015300 IDY3-220</v>
      </c>
      <c r="Z682" s="19" t="str">
        <f t="shared" si="262"/>
        <v>ReencaucheReencauchadora RENOVA</v>
      </c>
    </row>
    <row r="683" spans="2:26" ht="15.2" customHeight="1">
      <c r="B683" s="37"/>
      <c r="E683" s="2899">
        <v>2</v>
      </c>
      <c r="F683" s="2297" t="s">
        <v>723</v>
      </c>
      <c r="G683" s="68" t="s">
        <v>151</v>
      </c>
      <c r="H683" s="69" t="s">
        <v>3181</v>
      </c>
      <c r="I683" s="68" t="s">
        <v>726</v>
      </c>
      <c r="J683" s="70" t="s">
        <v>760</v>
      </c>
      <c r="K683" s="71" t="s">
        <v>3184</v>
      </c>
      <c r="L683" s="72">
        <v>43263</v>
      </c>
      <c r="M683" s="73" t="s">
        <v>729</v>
      </c>
      <c r="N683" s="74">
        <v>43270</v>
      </c>
      <c r="O683" s="75">
        <v>43270</v>
      </c>
      <c r="P683" s="2765" t="s">
        <v>3200</v>
      </c>
      <c r="Q683" s="2954">
        <v>100.9</v>
      </c>
      <c r="R683" s="76"/>
      <c r="S683" s="1945" t="s">
        <v>731</v>
      </c>
      <c r="T683" s="77" t="s">
        <v>2570</v>
      </c>
      <c r="U683" s="1893"/>
      <c r="V683" s="2079">
        <f t="shared" si="260"/>
        <v>119.062</v>
      </c>
      <c r="W683" s="78">
        <f t="shared" si="261"/>
        <v>0</v>
      </c>
      <c r="X683" s="1878" t="str">
        <f t="shared" si="259"/>
        <v>2.- R WindPower 0600915-OT_248532  Reencauche F101-00015300 IDY3-220</v>
      </c>
      <c r="Z683" s="19" t="str">
        <f t="shared" si="262"/>
        <v>ReencaucheReencauchadora RENOVA</v>
      </c>
    </row>
    <row r="684" spans="2:26" ht="15.2" customHeight="1">
      <c r="B684" s="37"/>
      <c r="E684" s="2899">
        <v>3</v>
      </c>
      <c r="F684" s="2297" t="s">
        <v>723</v>
      </c>
      <c r="G684" s="68" t="s">
        <v>151</v>
      </c>
      <c r="H684" s="69" t="s">
        <v>3182</v>
      </c>
      <c r="I684" s="68" t="s">
        <v>726</v>
      </c>
      <c r="J684" s="70" t="s">
        <v>760</v>
      </c>
      <c r="K684" s="71" t="s">
        <v>3184</v>
      </c>
      <c r="L684" s="72">
        <v>43263</v>
      </c>
      <c r="M684" s="73" t="s">
        <v>729</v>
      </c>
      <c r="N684" s="74">
        <v>43270</v>
      </c>
      <c r="O684" s="75">
        <v>43270</v>
      </c>
      <c r="P684" s="2765" t="s">
        <v>3200</v>
      </c>
      <c r="Q684" s="2954">
        <v>100.9</v>
      </c>
      <c r="R684" s="76"/>
      <c r="S684" s="1945" t="s">
        <v>731</v>
      </c>
      <c r="T684" s="77" t="s">
        <v>2570</v>
      </c>
      <c r="U684" s="1893"/>
      <c r="V684" s="2079">
        <f t="shared" si="260"/>
        <v>119.062</v>
      </c>
      <c r="W684" s="78">
        <f t="shared" si="261"/>
        <v>0</v>
      </c>
      <c r="X684" s="1878" t="str">
        <f t="shared" si="259"/>
        <v>3.- R WindPower 0590915-OT_248532  Reencauche F101-00015300 IDY3-220</v>
      </c>
      <c r="Z684" s="19" t="str">
        <f t="shared" si="262"/>
        <v>Vulcanizado (curación)Reenc. MASTERCAUCHO</v>
      </c>
    </row>
    <row r="685" spans="2:26" ht="15.2" customHeight="1">
      <c r="B685" s="37"/>
      <c r="E685" s="2899">
        <v>4</v>
      </c>
      <c r="F685" s="2297" t="s">
        <v>723</v>
      </c>
      <c r="G685" s="68" t="s">
        <v>724</v>
      </c>
      <c r="H685" s="69" t="s">
        <v>3183</v>
      </c>
      <c r="I685" s="68" t="s">
        <v>726</v>
      </c>
      <c r="J685" s="70" t="s">
        <v>760</v>
      </c>
      <c r="K685" s="71" t="s">
        <v>3184</v>
      </c>
      <c r="L685" s="72">
        <v>43263</v>
      </c>
      <c r="M685" s="73" t="s">
        <v>729</v>
      </c>
      <c r="N685" s="74">
        <v>43270</v>
      </c>
      <c r="O685" s="75">
        <v>43270</v>
      </c>
      <c r="P685" s="2765" t="s">
        <v>3200</v>
      </c>
      <c r="Q685" s="2954">
        <v>100.9</v>
      </c>
      <c r="R685" s="76"/>
      <c r="S685" s="1945" t="s">
        <v>731</v>
      </c>
      <c r="T685" s="77" t="s">
        <v>2570</v>
      </c>
      <c r="U685" s="1893"/>
      <c r="V685" s="2079">
        <f t="shared" si="260"/>
        <v>119.062</v>
      </c>
      <c r="W685" s="78">
        <f t="shared" si="261"/>
        <v>0</v>
      </c>
      <c r="X685" s="1878" t="str">
        <f t="shared" si="259"/>
        <v>4.- R Aeolus 0150215-OT_248532  Reencauche F101-00015300 IDY3-220</v>
      </c>
      <c r="Z685" s="19" t="str">
        <f t="shared" si="262"/>
        <v>ReencaucheReenc. MASTERCAUCHO</v>
      </c>
    </row>
    <row r="686" spans="2:26" ht="15.2" customHeight="1">
      <c r="B686" s="37"/>
      <c r="E686" s="79">
        <v>5</v>
      </c>
      <c r="F686" s="2294" t="s">
        <v>723</v>
      </c>
      <c r="G686" s="81" t="s">
        <v>724</v>
      </c>
      <c r="H686" s="82" t="s">
        <v>1440</v>
      </c>
      <c r="I686" s="81" t="s">
        <v>726</v>
      </c>
      <c r="J686" s="83" t="s">
        <v>760</v>
      </c>
      <c r="K686" s="84" t="s">
        <v>3184</v>
      </c>
      <c r="L686" s="85">
        <v>43263</v>
      </c>
      <c r="M686" s="2296" t="s">
        <v>729</v>
      </c>
      <c r="N686" s="87">
        <v>43270</v>
      </c>
      <c r="O686" s="88">
        <f t="shared" ref="O686:O705" si="263">+N686</f>
        <v>43270</v>
      </c>
      <c r="P686" s="2766" t="s">
        <v>3199</v>
      </c>
      <c r="Q686" s="2955">
        <v>0</v>
      </c>
      <c r="R686" s="89"/>
      <c r="S686" s="1946" t="s">
        <v>731</v>
      </c>
      <c r="T686" s="77" t="s">
        <v>3188</v>
      </c>
      <c r="U686" s="1893"/>
      <c r="V686" s="2079">
        <f t="shared" si="260"/>
        <v>0</v>
      </c>
      <c r="W686" s="78">
        <f t="shared" si="261"/>
        <v>0</v>
      </c>
      <c r="X686" s="1878" t="str">
        <f t="shared" si="259"/>
        <v>5.- R Aeolus 0070114-OT_248532  Reencauche G030-0073639 RECHAZO X falla estruc</v>
      </c>
      <c r="Z686" s="19" t="str">
        <f t="shared" si="262"/>
        <v>ReencaucheReenc. MASTERCAUCHO</v>
      </c>
    </row>
    <row r="687" spans="2:26" ht="15.2" customHeight="1">
      <c r="B687" s="37"/>
      <c r="E687" s="2899">
        <v>1</v>
      </c>
      <c r="F687" s="2297" t="s">
        <v>723</v>
      </c>
      <c r="G687" s="68" t="s">
        <v>724</v>
      </c>
      <c r="H687" s="69" t="s">
        <v>2746</v>
      </c>
      <c r="I687" s="68" t="s">
        <v>811</v>
      </c>
      <c r="J687" s="70" t="s">
        <v>727</v>
      </c>
      <c r="K687" s="2305" t="s">
        <v>3169</v>
      </c>
      <c r="L687" s="72">
        <v>43262</v>
      </c>
      <c r="M687" s="2306" t="s">
        <v>729</v>
      </c>
      <c r="N687" s="74">
        <v>43269</v>
      </c>
      <c r="O687" s="75">
        <f t="shared" si="263"/>
        <v>43269</v>
      </c>
      <c r="P687" s="2765" t="s">
        <v>3189</v>
      </c>
      <c r="Q687" s="2954"/>
      <c r="R687" s="76">
        <v>84.74</v>
      </c>
      <c r="S687" s="1945" t="s">
        <v>731</v>
      </c>
      <c r="T687" s="77" t="s">
        <v>3190</v>
      </c>
      <c r="U687" s="1893"/>
      <c r="V687" s="2079">
        <f t="shared" si="260"/>
        <v>0</v>
      </c>
      <c r="W687" s="78">
        <f t="shared" si="261"/>
        <v>99.993199999999987</v>
      </c>
      <c r="X687" s="1878" t="str">
        <f t="shared" si="259"/>
        <v>1.- R Aeolus 8180517-OT_008740  Vulcanizado (curación) 0001-011597 Banda  Parcial transpl</v>
      </c>
      <c r="Z687" s="19" t="str">
        <f t="shared" si="262"/>
        <v>ReencaucheReenc. MASTERCAUCHO</v>
      </c>
    </row>
    <row r="688" spans="2:26" ht="15.2" customHeight="1">
      <c r="B688" s="37"/>
      <c r="E688" s="79">
        <v>2</v>
      </c>
      <c r="F688" s="80" t="s">
        <v>2825</v>
      </c>
      <c r="G688" s="81" t="s">
        <v>724</v>
      </c>
      <c r="H688" s="82" t="s">
        <v>3163</v>
      </c>
      <c r="I688" s="81" t="s">
        <v>726</v>
      </c>
      <c r="J688" s="83" t="s">
        <v>727</v>
      </c>
      <c r="K688" s="84" t="s">
        <v>3169</v>
      </c>
      <c r="L688" s="85">
        <v>43262</v>
      </c>
      <c r="M688" s="2296" t="s">
        <v>729</v>
      </c>
      <c r="N688" s="87">
        <v>43269</v>
      </c>
      <c r="O688" s="88">
        <f t="shared" si="263"/>
        <v>43269</v>
      </c>
      <c r="P688" s="2766" t="s">
        <v>3189</v>
      </c>
      <c r="Q688" s="2955"/>
      <c r="R688" s="89">
        <v>542.37</v>
      </c>
      <c r="S688" s="1946" t="s">
        <v>731</v>
      </c>
      <c r="T688" s="77" t="s">
        <v>3191</v>
      </c>
      <c r="U688" s="1893"/>
      <c r="V688" s="2079">
        <f t="shared" si="260"/>
        <v>0</v>
      </c>
      <c r="W688" s="78">
        <f t="shared" si="261"/>
        <v>639.99659999999994</v>
      </c>
      <c r="X688" s="1878" t="str">
        <f t="shared" si="259"/>
        <v>2.- B Aeolus 0550716-OT_008740  Reencauche 0001-011597 TZY3-330</v>
      </c>
      <c r="Z688" s="19" t="str">
        <f t="shared" si="262"/>
        <v>ReencaucheReenc. MASTERCAUCHO</v>
      </c>
    </row>
    <row r="689" spans="2:26" ht="15.2" customHeight="1">
      <c r="B689" s="37"/>
      <c r="E689" s="2927">
        <v>1</v>
      </c>
      <c r="F689" s="2297" t="s">
        <v>732</v>
      </c>
      <c r="G689" s="68" t="s">
        <v>733</v>
      </c>
      <c r="H689" s="69" t="s">
        <v>1737</v>
      </c>
      <c r="I689" s="68" t="s">
        <v>726</v>
      </c>
      <c r="J689" s="70" t="s">
        <v>727</v>
      </c>
      <c r="K689" s="71" t="s">
        <v>3180</v>
      </c>
      <c r="L689" s="72">
        <v>43260</v>
      </c>
      <c r="M689" s="2306" t="s">
        <v>729</v>
      </c>
      <c r="N689" s="74">
        <v>43265</v>
      </c>
      <c r="O689" s="75">
        <f t="shared" si="263"/>
        <v>43265</v>
      </c>
      <c r="P689" s="2765" t="s">
        <v>3186</v>
      </c>
      <c r="Q689" s="2954"/>
      <c r="R689" s="76">
        <v>279.66000000000003</v>
      </c>
      <c r="S689" s="1945" t="s">
        <v>731</v>
      </c>
      <c r="T689" s="77" t="s">
        <v>2712</v>
      </c>
      <c r="U689" s="1893"/>
      <c r="V689" s="2079">
        <f t="shared" si="260"/>
        <v>0</v>
      </c>
      <c r="W689" s="78">
        <f t="shared" si="261"/>
        <v>329.99880000000002</v>
      </c>
      <c r="X689" s="1878" t="str">
        <f t="shared" si="259"/>
        <v>1.- C Lima Caucho 0280507-OT_008823  Reencauche 0001-011576 MDY-220</v>
      </c>
      <c r="Z689" s="19" t="str">
        <f t="shared" si="262"/>
        <v>ReencaucheReenc. MASTERCAUCHO</v>
      </c>
    </row>
    <row r="690" spans="2:26" ht="15.2" customHeight="1">
      <c r="B690" s="37"/>
      <c r="E690" s="2927">
        <v>2</v>
      </c>
      <c r="F690" s="2297" t="s">
        <v>732</v>
      </c>
      <c r="G690" s="68" t="s">
        <v>733</v>
      </c>
      <c r="H690" s="69" t="s">
        <v>3177</v>
      </c>
      <c r="I690" s="68" t="s">
        <v>726</v>
      </c>
      <c r="J690" s="70" t="s">
        <v>727</v>
      </c>
      <c r="K690" s="71" t="s">
        <v>3180</v>
      </c>
      <c r="L690" s="72">
        <v>43260</v>
      </c>
      <c r="M690" s="73" t="s">
        <v>729</v>
      </c>
      <c r="N690" s="74">
        <v>43265</v>
      </c>
      <c r="O690" s="75">
        <v>43265</v>
      </c>
      <c r="P690" s="2765" t="s">
        <v>3186</v>
      </c>
      <c r="Q690" s="2954"/>
      <c r="R690" s="76">
        <v>279.66000000000003</v>
      </c>
      <c r="S690" s="1945" t="s">
        <v>731</v>
      </c>
      <c r="T690" s="77" t="s">
        <v>2712</v>
      </c>
      <c r="U690" s="1893"/>
      <c r="V690" s="2079">
        <f t="shared" si="260"/>
        <v>0</v>
      </c>
      <c r="W690" s="78">
        <f t="shared" si="261"/>
        <v>329.99880000000002</v>
      </c>
      <c r="X690" s="1878" t="str">
        <f t="shared" si="259"/>
        <v>2.- C Lima Caucho 02330207-OT_008823  Reencauche 0001-011576 MDY-220</v>
      </c>
      <c r="Z690" s="19" t="str">
        <f t="shared" si="262"/>
        <v>ReencaucheReencauchadora RENOVA</v>
      </c>
    </row>
    <row r="691" spans="2:26" ht="15.2" customHeight="1">
      <c r="B691" s="37"/>
      <c r="E691" s="2927">
        <v>3</v>
      </c>
      <c r="F691" s="2297" t="s">
        <v>723</v>
      </c>
      <c r="G691" s="68" t="s">
        <v>247</v>
      </c>
      <c r="H691" s="69" t="s">
        <v>3178</v>
      </c>
      <c r="I691" s="68" t="s">
        <v>726</v>
      </c>
      <c r="J691" s="70" t="s">
        <v>727</v>
      </c>
      <c r="K691" s="71" t="s">
        <v>3180</v>
      </c>
      <c r="L691" s="72">
        <v>43260</v>
      </c>
      <c r="M691" s="73" t="s">
        <v>729</v>
      </c>
      <c r="N691" s="74">
        <v>43265</v>
      </c>
      <c r="O691" s="75">
        <v>43265</v>
      </c>
      <c r="P691" s="2765" t="s">
        <v>3186</v>
      </c>
      <c r="Q691" s="2954"/>
      <c r="R691" s="76">
        <v>279.66000000000003</v>
      </c>
      <c r="S691" s="1945" t="s">
        <v>731</v>
      </c>
      <c r="T691" s="77" t="s">
        <v>2712</v>
      </c>
      <c r="U691" s="1893"/>
      <c r="V691" s="2079">
        <f t="shared" si="260"/>
        <v>0</v>
      </c>
      <c r="W691" s="78">
        <f t="shared" si="261"/>
        <v>329.99880000000002</v>
      </c>
      <c r="X691" s="1878" t="str">
        <f t="shared" si="259"/>
        <v>3.- R Double Happines 8040218-OT_008823  Reencauche 0001-011576 MDY-220</v>
      </c>
      <c r="Z691" s="19" t="str">
        <f t="shared" si="262"/>
        <v>ReencaucheReencauchadora RENOVA</v>
      </c>
    </row>
    <row r="692" spans="2:26" ht="15.2" customHeight="1">
      <c r="B692" s="37"/>
      <c r="E692" s="79">
        <v>4</v>
      </c>
      <c r="F692" s="2294" t="s">
        <v>723</v>
      </c>
      <c r="G692" s="81" t="s">
        <v>247</v>
      </c>
      <c r="H692" s="82" t="s">
        <v>3179</v>
      </c>
      <c r="I692" s="81" t="s">
        <v>726</v>
      </c>
      <c r="J692" s="83" t="s">
        <v>727</v>
      </c>
      <c r="K692" s="2295" t="s">
        <v>3180</v>
      </c>
      <c r="L692" s="85">
        <v>43260</v>
      </c>
      <c r="M692" s="86" t="s">
        <v>729</v>
      </c>
      <c r="N692" s="87">
        <v>43265</v>
      </c>
      <c r="O692" s="88">
        <v>43265</v>
      </c>
      <c r="P692" s="2766" t="s">
        <v>3186</v>
      </c>
      <c r="Q692" s="2955"/>
      <c r="R692" s="89">
        <v>279.66000000000003</v>
      </c>
      <c r="S692" s="1946" t="s">
        <v>731</v>
      </c>
      <c r="T692" s="77" t="s">
        <v>2712</v>
      </c>
      <c r="U692" s="1893"/>
      <c r="V692" s="2079">
        <f t="shared" si="260"/>
        <v>0</v>
      </c>
      <c r="W692" s="78">
        <f t="shared" si="261"/>
        <v>329.99880000000002</v>
      </c>
      <c r="X692" s="1878" t="str">
        <f t="shared" si="259"/>
        <v>4.- R Double Happines 8030218-OT_008823  Reencauche 0001-011576 MDY-220</v>
      </c>
      <c r="Z692" s="19" t="str">
        <f t="shared" si="262"/>
        <v>ReencaucheReencauchadora RENOVA</v>
      </c>
    </row>
    <row r="693" spans="2:26" ht="15.2" customHeight="1">
      <c r="B693" s="37"/>
      <c r="E693" s="2927">
        <v>1</v>
      </c>
      <c r="F693" s="2297" t="s">
        <v>723</v>
      </c>
      <c r="G693" s="68" t="s">
        <v>737</v>
      </c>
      <c r="H693" s="69" t="s">
        <v>3175</v>
      </c>
      <c r="I693" s="68" t="s">
        <v>726</v>
      </c>
      <c r="J693" s="70" t="s">
        <v>760</v>
      </c>
      <c r="K693" s="2305" t="s">
        <v>3176</v>
      </c>
      <c r="L693" s="72">
        <v>43258</v>
      </c>
      <c r="M693" s="73" t="s">
        <v>729</v>
      </c>
      <c r="N693" s="74">
        <v>43264</v>
      </c>
      <c r="O693" s="75">
        <v>43264</v>
      </c>
      <c r="P693" s="2765" t="s">
        <v>3185</v>
      </c>
      <c r="Q693" s="2954">
        <v>100.9</v>
      </c>
      <c r="R693" s="76"/>
      <c r="S693" s="1945" t="s">
        <v>731</v>
      </c>
      <c r="T693" s="77" t="s">
        <v>2570</v>
      </c>
      <c r="U693" s="1893"/>
      <c r="V693" s="2079">
        <f t="shared" si="260"/>
        <v>119.062</v>
      </c>
      <c r="W693" s="78">
        <f t="shared" si="261"/>
        <v>0</v>
      </c>
      <c r="X693" s="1878" t="str">
        <f t="shared" si="259"/>
        <v>1.- R Vikrant 8240618-OT_248520  Reencauche F101-00015202 IDY3-220</v>
      </c>
      <c r="Z693" s="19" t="str">
        <f t="shared" si="262"/>
        <v>ReencaucheReencauchadora RENOVA</v>
      </c>
    </row>
    <row r="694" spans="2:26" ht="15.2" customHeight="1">
      <c r="B694" s="37"/>
      <c r="E694" s="2927">
        <v>2</v>
      </c>
      <c r="F694" s="2297" t="s">
        <v>723</v>
      </c>
      <c r="G694" s="68" t="s">
        <v>737</v>
      </c>
      <c r="H694" s="69" t="s">
        <v>3174</v>
      </c>
      <c r="I694" s="68" t="s">
        <v>726</v>
      </c>
      <c r="J694" s="70" t="s">
        <v>760</v>
      </c>
      <c r="K694" s="71" t="s">
        <v>3176</v>
      </c>
      <c r="L694" s="72">
        <v>43258</v>
      </c>
      <c r="M694" s="73" t="s">
        <v>729</v>
      </c>
      <c r="N694" s="74">
        <v>43264</v>
      </c>
      <c r="O694" s="75">
        <v>43264</v>
      </c>
      <c r="P694" s="2765" t="s">
        <v>3185</v>
      </c>
      <c r="Q694" s="2954">
        <v>100.9</v>
      </c>
      <c r="R694" s="76"/>
      <c r="S694" s="1945" t="s">
        <v>731</v>
      </c>
      <c r="T694" s="77" t="s">
        <v>2570</v>
      </c>
      <c r="U694" s="1893"/>
      <c r="V694" s="2079">
        <f t="shared" si="260"/>
        <v>119.062</v>
      </c>
      <c r="W694" s="78">
        <f t="shared" si="261"/>
        <v>0</v>
      </c>
      <c r="X694" s="1878" t="str">
        <f t="shared" si="259"/>
        <v>2.- R Vikrant 0810917-OT_248520  Reencauche F101-00015202 IDY3-220</v>
      </c>
      <c r="Z694" s="19" t="str">
        <f t="shared" si="262"/>
        <v>ReencaucheReencauchadora RENOVA</v>
      </c>
    </row>
    <row r="695" spans="2:26" ht="15.2" customHeight="1">
      <c r="B695" s="37"/>
      <c r="E695" s="2927">
        <v>3</v>
      </c>
      <c r="F695" s="2297" t="s">
        <v>723</v>
      </c>
      <c r="G695" s="68" t="s">
        <v>737</v>
      </c>
      <c r="H695" s="69" t="s">
        <v>3173</v>
      </c>
      <c r="I695" s="68" t="s">
        <v>726</v>
      </c>
      <c r="J695" s="70" t="s">
        <v>760</v>
      </c>
      <c r="K695" s="71" t="s">
        <v>3176</v>
      </c>
      <c r="L695" s="72">
        <v>43258</v>
      </c>
      <c r="M695" s="73" t="s">
        <v>729</v>
      </c>
      <c r="N695" s="74">
        <v>43264</v>
      </c>
      <c r="O695" s="75">
        <v>43264</v>
      </c>
      <c r="P695" s="2765" t="s">
        <v>3185</v>
      </c>
      <c r="Q695" s="2954">
        <v>100.9</v>
      </c>
      <c r="R695" s="76"/>
      <c r="S695" s="1945" t="s">
        <v>731</v>
      </c>
      <c r="T695" s="77" t="s">
        <v>2570</v>
      </c>
      <c r="U695" s="1893"/>
      <c r="V695" s="2079">
        <f t="shared" si="260"/>
        <v>119.062</v>
      </c>
      <c r="W695" s="78">
        <f t="shared" si="261"/>
        <v>0</v>
      </c>
      <c r="X695" s="1878" t="str">
        <f t="shared" si="259"/>
        <v>3.- R Vikrant 0280217-OT_248520  Reencauche F101-00015202 IDY3-220</v>
      </c>
      <c r="Z695" s="19" t="str">
        <f t="shared" si="262"/>
        <v>ReencaucheReencauchadora RENOVA</v>
      </c>
    </row>
    <row r="696" spans="2:26" ht="15.2" customHeight="1">
      <c r="B696" s="37"/>
      <c r="E696" s="2927">
        <v>4</v>
      </c>
      <c r="F696" s="2297" t="s">
        <v>723</v>
      </c>
      <c r="G696" s="68" t="s">
        <v>737</v>
      </c>
      <c r="H696" s="69" t="s">
        <v>3172</v>
      </c>
      <c r="I696" s="68" t="s">
        <v>726</v>
      </c>
      <c r="J696" s="70" t="s">
        <v>760</v>
      </c>
      <c r="K696" s="71" t="s">
        <v>3176</v>
      </c>
      <c r="L696" s="72">
        <v>43258</v>
      </c>
      <c r="M696" s="2306" t="s">
        <v>729</v>
      </c>
      <c r="N696" s="74">
        <v>43264</v>
      </c>
      <c r="O696" s="75">
        <f t="shared" si="263"/>
        <v>43264</v>
      </c>
      <c r="P696" s="2765" t="s">
        <v>3185</v>
      </c>
      <c r="Q696" s="2954">
        <v>100.9</v>
      </c>
      <c r="R696" s="76"/>
      <c r="S696" s="1945" t="s">
        <v>731</v>
      </c>
      <c r="T696" s="77" t="s">
        <v>2570</v>
      </c>
      <c r="U696" s="1893"/>
      <c r="V696" s="2079">
        <f t="shared" si="260"/>
        <v>119.062</v>
      </c>
      <c r="W696" s="78">
        <f t="shared" si="261"/>
        <v>0</v>
      </c>
      <c r="X696" s="1878" t="str">
        <f t="shared" si="259"/>
        <v>4.- R Vikrant 0800917-OT_248520  Reencauche F101-00015202 IDY3-220</v>
      </c>
      <c r="Z696" s="19" t="str">
        <f t="shared" si="262"/>
        <v>ReencaucheReencauchadora RENOVA</v>
      </c>
    </row>
    <row r="697" spans="2:26" ht="15.2" customHeight="1">
      <c r="B697" s="37"/>
      <c r="E697" s="2927">
        <v>5</v>
      </c>
      <c r="F697" s="2297" t="s">
        <v>723</v>
      </c>
      <c r="G697" s="68" t="s">
        <v>724</v>
      </c>
      <c r="H697" s="69" t="s">
        <v>2205</v>
      </c>
      <c r="I697" s="68" t="s">
        <v>726</v>
      </c>
      <c r="J697" s="70" t="s">
        <v>760</v>
      </c>
      <c r="K697" s="71" t="s">
        <v>3176</v>
      </c>
      <c r="L697" s="72">
        <v>43258</v>
      </c>
      <c r="M697" s="2306" t="s">
        <v>729</v>
      </c>
      <c r="N697" s="74">
        <v>43264</v>
      </c>
      <c r="O697" s="75">
        <f t="shared" si="263"/>
        <v>43264</v>
      </c>
      <c r="P697" s="2765" t="s">
        <v>3185</v>
      </c>
      <c r="Q697" s="2954">
        <v>100.9</v>
      </c>
      <c r="R697" s="76"/>
      <c r="S697" s="1945" t="s">
        <v>731</v>
      </c>
      <c r="T697" s="77" t="s">
        <v>2570</v>
      </c>
      <c r="U697" s="1893"/>
      <c r="V697" s="2079">
        <f t="shared" si="260"/>
        <v>119.062</v>
      </c>
      <c r="W697" s="78">
        <f t="shared" si="261"/>
        <v>0</v>
      </c>
      <c r="X697" s="1878" t="str">
        <f t="shared" si="259"/>
        <v>5.- R Aeolus 032912-OT_248520  Reencauche F101-00015202 IDY3-220</v>
      </c>
      <c r="Z697" s="19" t="str">
        <f t="shared" si="262"/>
        <v>ReencaucheReenc. MASTERCAUCHO</v>
      </c>
    </row>
    <row r="698" spans="2:26" ht="15.2" customHeight="1">
      <c r="B698" s="37"/>
      <c r="E698" s="2927">
        <v>6</v>
      </c>
      <c r="F698" s="2297" t="s">
        <v>732</v>
      </c>
      <c r="G698" s="68" t="s">
        <v>724</v>
      </c>
      <c r="H698" s="69" t="s">
        <v>1182</v>
      </c>
      <c r="I698" s="68" t="s">
        <v>726</v>
      </c>
      <c r="J698" s="70" t="s">
        <v>760</v>
      </c>
      <c r="K698" s="71" t="s">
        <v>3176</v>
      </c>
      <c r="L698" s="72">
        <v>43258</v>
      </c>
      <c r="M698" s="2306" t="s">
        <v>729</v>
      </c>
      <c r="N698" s="74">
        <v>43270</v>
      </c>
      <c r="O698" s="75">
        <f t="shared" si="263"/>
        <v>43270</v>
      </c>
      <c r="P698" s="2765" t="s">
        <v>3200</v>
      </c>
      <c r="Q698" s="2954">
        <v>85.79</v>
      </c>
      <c r="R698" s="76"/>
      <c r="S698" s="1945" t="s">
        <v>731</v>
      </c>
      <c r="T698" s="77" t="s">
        <v>2566</v>
      </c>
      <c r="U698" s="1893"/>
      <c r="V698" s="2079">
        <f t="shared" si="260"/>
        <v>101.23220000000001</v>
      </c>
      <c r="W698" s="78">
        <f t="shared" si="261"/>
        <v>0</v>
      </c>
      <c r="X698" s="1878" t="str">
        <f t="shared" si="259"/>
        <v>6.- C Aeolus 0410510-OT_248520  Reencauche F101-00015300 IZB-210</v>
      </c>
      <c r="Z698" s="19" t="str">
        <f t="shared" si="262"/>
        <v>Sacar_BandaReenc. MASTERCAUCHO</v>
      </c>
    </row>
    <row r="699" spans="2:26" ht="15.2" customHeight="1">
      <c r="B699" s="37"/>
      <c r="E699" s="79">
        <v>7</v>
      </c>
      <c r="F699" s="2294" t="s">
        <v>732</v>
      </c>
      <c r="G699" s="81" t="s">
        <v>737</v>
      </c>
      <c r="H699" s="82" t="s">
        <v>1550</v>
      </c>
      <c r="I699" s="81" t="s">
        <v>726</v>
      </c>
      <c r="J699" s="83" t="s">
        <v>760</v>
      </c>
      <c r="K699" s="84" t="s">
        <v>3176</v>
      </c>
      <c r="L699" s="85">
        <v>43258</v>
      </c>
      <c r="M699" s="2296" t="s">
        <v>729</v>
      </c>
      <c r="N699" s="87">
        <v>43270</v>
      </c>
      <c r="O699" s="88">
        <f t="shared" si="263"/>
        <v>43270</v>
      </c>
      <c r="P699" s="2766" t="s">
        <v>3200</v>
      </c>
      <c r="Q699" s="2955">
        <v>85.79</v>
      </c>
      <c r="R699" s="89"/>
      <c r="S699" s="1946" t="s">
        <v>731</v>
      </c>
      <c r="T699" s="77" t="s">
        <v>2566</v>
      </c>
      <c r="U699" s="1893"/>
      <c r="V699" s="2079">
        <f t="shared" si="260"/>
        <v>101.23220000000001</v>
      </c>
      <c r="W699" s="78">
        <f t="shared" si="261"/>
        <v>0</v>
      </c>
      <c r="X699" s="1878" t="str">
        <f t="shared" si="259"/>
        <v>7.- C Vikrant 0790908-OT_248520  Reencauche F101-00015300 IZB-210</v>
      </c>
      <c r="Z699" s="19" t="str">
        <f t="shared" si="262"/>
        <v>RECLAMOReenc. MASTERCAUCHO</v>
      </c>
    </row>
    <row r="700" spans="2:26" ht="15.2" customHeight="1">
      <c r="B700" s="37"/>
      <c r="E700" s="2927">
        <v>1</v>
      </c>
      <c r="F700" s="2297" t="s">
        <v>723</v>
      </c>
      <c r="G700" s="68" t="s">
        <v>724</v>
      </c>
      <c r="H700" s="69" t="s">
        <v>3149</v>
      </c>
      <c r="I700" s="68" t="s">
        <v>726</v>
      </c>
      <c r="J700" s="70" t="s">
        <v>727</v>
      </c>
      <c r="K700" s="2305" t="s">
        <v>3171</v>
      </c>
      <c r="L700" s="72">
        <v>43257</v>
      </c>
      <c r="M700" s="73" t="s">
        <v>729</v>
      </c>
      <c r="N700" s="74">
        <v>43265</v>
      </c>
      <c r="O700" s="75">
        <v>43265</v>
      </c>
      <c r="P700" s="2765" t="s">
        <v>3187</v>
      </c>
      <c r="Q700" s="2954"/>
      <c r="R700" s="76">
        <v>0</v>
      </c>
      <c r="S700" s="1945" t="s">
        <v>731</v>
      </c>
      <c r="T700" s="77" t="s">
        <v>3188</v>
      </c>
      <c r="U700" s="1893"/>
      <c r="V700" s="2079">
        <f t="shared" si="260"/>
        <v>0</v>
      </c>
      <c r="W700" s="78">
        <f t="shared" si="261"/>
        <v>0</v>
      </c>
      <c r="X700" s="1878" t="str">
        <f t="shared" si="259"/>
        <v>1.- R Aeolus 00034912-OT_008818  Reencauche G0001-004030 RECHAZO X falla estruc</v>
      </c>
      <c r="Z700" s="19" t="str">
        <f t="shared" si="262"/>
        <v>ReencaucheReencauchadora RENOVA</v>
      </c>
    </row>
    <row r="701" spans="2:26" ht="15.2" customHeight="1">
      <c r="B701" s="37"/>
      <c r="E701" s="2927">
        <v>2</v>
      </c>
      <c r="F701" s="2297" t="s">
        <v>723</v>
      </c>
      <c r="G701" s="68" t="s">
        <v>724</v>
      </c>
      <c r="H701" s="69" t="s">
        <v>3170</v>
      </c>
      <c r="I701" s="68" t="s">
        <v>744</v>
      </c>
      <c r="J701" s="2266" t="s">
        <v>727</v>
      </c>
      <c r="K701" s="2267" t="s">
        <v>3171</v>
      </c>
      <c r="L701" s="2268">
        <v>43257</v>
      </c>
      <c r="M701" s="2269"/>
      <c r="N701" s="3135">
        <v>43315</v>
      </c>
      <c r="O701" s="2271">
        <f t="shared" si="263"/>
        <v>43315</v>
      </c>
      <c r="P701" s="2937" t="s">
        <v>3283</v>
      </c>
      <c r="Q701" s="2956"/>
      <c r="R701" s="2272"/>
      <c r="S701" s="2273" t="s">
        <v>731</v>
      </c>
      <c r="T701" s="2900" t="s">
        <v>3281</v>
      </c>
      <c r="U701" s="2900"/>
      <c r="V701" s="2079">
        <f t="shared" si="260"/>
        <v>0</v>
      </c>
      <c r="W701" s="78">
        <f t="shared" si="261"/>
        <v>0</v>
      </c>
      <c r="X701" s="1878" t="str">
        <f t="shared" si="259"/>
        <v>2.- R Aeolus 0520517-OT_008818  Sacar_Banda G0001-004234 Remplz x ZETA-0520517</v>
      </c>
      <c r="Z701" s="19" t="str">
        <f t="shared" si="262"/>
        <v>ReencaucheReencauchadora RENOVA</v>
      </c>
    </row>
    <row r="702" spans="2:26" ht="15.2" customHeight="1">
      <c r="B702" s="37"/>
      <c r="E702" s="79">
        <v>3</v>
      </c>
      <c r="F702" s="2575" t="s">
        <v>723</v>
      </c>
      <c r="G702" s="2576" t="s">
        <v>724</v>
      </c>
      <c r="H702" s="2943" t="s">
        <v>827</v>
      </c>
      <c r="I702" s="2909" t="s">
        <v>816</v>
      </c>
      <c r="J702" s="2578" t="s">
        <v>727</v>
      </c>
      <c r="K702" s="2579" t="s">
        <v>3171</v>
      </c>
      <c r="L702" s="2580">
        <v>43257</v>
      </c>
      <c r="M702" s="2581" t="s">
        <v>729</v>
      </c>
      <c r="N702" s="2582">
        <v>43283</v>
      </c>
      <c r="O702" s="2583">
        <f t="shared" si="263"/>
        <v>43283</v>
      </c>
      <c r="P702" s="2941" t="s">
        <v>3225</v>
      </c>
      <c r="Q702" s="2957"/>
      <c r="R702" s="2584">
        <v>0</v>
      </c>
      <c r="S702" s="2585" t="s">
        <v>731</v>
      </c>
      <c r="T702" s="2274" t="s">
        <v>3226</v>
      </c>
      <c r="U702" s="1893"/>
      <c r="V702" s="2079">
        <f t="shared" si="260"/>
        <v>0</v>
      </c>
      <c r="W702" s="78">
        <f t="shared" si="261"/>
        <v>0</v>
      </c>
      <c r="X702" s="1878" t="str">
        <f t="shared" si="259"/>
        <v>3.- R Aeolus 170812-OT_008818  RECLAMO G0001-004102 Reparc en Banda  (trajo llanta sola)</v>
      </c>
      <c r="Z702" s="19" t="str">
        <f t="shared" si="262"/>
        <v>Vulcanizado (curación)Reenc. MASTERCAUCHO</v>
      </c>
    </row>
    <row r="703" spans="2:26" ht="15.2" customHeight="1">
      <c r="B703" s="37"/>
      <c r="E703" s="2899">
        <v>1</v>
      </c>
      <c r="F703" s="2297" t="s">
        <v>2825</v>
      </c>
      <c r="G703" s="68" t="s">
        <v>724</v>
      </c>
      <c r="H703" s="69" t="s">
        <v>3164</v>
      </c>
      <c r="I703" s="68" t="s">
        <v>726</v>
      </c>
      <c r="J703" s="70" t="s">
        <v>760</v>
      </c>
      <c r="K703" s="2305" t="s">
        <v>3165</v>
      </c>
      <c r="L703" s="72">
        <v>43256</v>
      </c>
      <c r="M703" s="2306" t="s">
        <v>729</v>
      </c>
      <c r="N703" s="74">
        <v>43264</v>
      </c>
      <c r="O703" s="75">
        <f t="shared" si="263"/>
        <v>43264</v>
      </c>
      <c r="P703" s="2765" t="s">
        <v>3185</v>
      </c>
      <c r="Q703" s="2954">
        <v>164.06</v>
      </c>
      <c r="R703" s="76"/>
      <c r="S703" s="1945" t="s">
        <v>731</v>
      </c>
      <c r="T703" s="77" t="s">
        <v>2728</v>
      </c>
      <c r="U703" s="1893"/>
      <c r="V703" s="2079">
        <f t="shared" si="260"/>
        <v>193.5908</v>
      </c>
      <c r="W703" s="78">
        <f t="shared" si="261"/>
        <v>0</v>
      </c>
      <c r="X703" s="1878" t="str">
        <f t="shared" si="259"/>
        <v>1.- B Aeolus 0590716-OT_248506  Reencauche F101-00015202 LZY3-325 425/65/22.5</v>
      </c>
      <c r="Z703" s="19" t="str">
        <f t="shared" si="262"/>
        <v>ReencaucheReenc. MASTERCAUCHO</v>
      </c>
    </row>
    <row r="704" spans="2:26" ht="15.2" customHeight="1">
      <c r="B704" s="37"/>
      <c r="E704" s="79">
        <v>2</v>
      </c>
      <c r="F704" s="2294" t="s">
        <v>2825</v>
      </c>
      <c r="G704" s="81" t="s">
        <v>724</v>
      </c>
      <c r="H704" s="82" t="s">
        <v>3163</v>
      </c>
      <c r="I704" s="81" t="s">
        <v>726</v>
      </c>
      <c r="J704" s="83" t="s">
        <v>760</v>
      </c>
      <c r="K704" s="2295" t="s">
        <v>3165</v>
      </c>
      <c r="L704" s="85">
        <v>43256</v>
      </c>
      <c r="M704" s="2296" t="s">
        <v>729</v>
      </c>
      <c r="N704" s="87">
        <v>43262</v>
      </c>
      <c r="O704" s="88">
        <f t="shared" si="263"/>
        <v>43262</v>
      </c>
      <c r="P704" s="2765" t="s">
        <v>3168</v>
      </c>
      <c r="Q704" s="2955">
        <v>0</v>
      </c>
      <c r="R704" s="89"/>
      <c r="S704" s="1946" t="s">
        <v>731</v>
      </c>
      <c r="T704" s="77" t="s">
        <v>3167</v>
      </c>
      <c r="U704" s="1893"/>
      <c r="V704" s="2079">
        <f t="shared" si="260"/>
        <v>0</v>
      </c>
      <c r="W704" s="78">
        <f t="shared" si="261"/>
        <v>0</v>
      </c>
      <c r="X704" s="1878" t="str">
        <f t="shared" si="259"/>
        <v>2.- B Aeolus 0550716-OT_248506  Reencauche G030-0073454 RECHAZO Banda baja/falla estruc</v>
      </c>
      <c r="Z704" s="19" t="str">
        <f>CONCATENATE(I707,J707)</f>
        <v>ReencaucheReenc. MASTERCAUCHO</v>
      </c>
    </row>
    <row r="705" spans="2:26" ht="15.2" customHeight="1">
      <c r="B705" s="37"/>
      <c r="E705" s="2899">
        <v>1</v>
      </c>
      <c r="F705" s="2297" t="s">
        <v>723</v>
      </c>
      <c r="G705" s="68" t="s">
        <v>757</v>
      </c>
      <c r="H705" s="69" t="s">
        <v>3156</v>
      </c>
      <c r="I705" s="68" t="s">
        <v>811</v>
      </c>
      <c r="J705" s="70" t="s">
        <v>727</v>
      </c>
      <c r="K705" s="2305" t="s">
        <v>3157</v>
      </c>
      <c r="L705" s="72">
        <v>43252</v>
      </c>
      <c r="M705" s="2306" t="s">
        <v>729</v>
      </c>
      <c r="N705" s="74">
        <v>43257</v>
      </c>
      <c r="O705" s="75">
        <f t="shared" si="263"/>
        <v>43257</v>
      </c>
      <c r="P705" s="2765" t="s">
        <v>3166</v>
      </c>
      <c r="Q705" s="2954"/>
      <c r="R705" s="76">
        <v>84.745699999999999</v>
      </c>
      <c r="S705" s="1945" t="s">
        <v>731</v>
      </c>
      <c r="T705" s="77" t="s">
        <v>3159</v>
      </c>
      <c r="U705" s="1893"/>
      <c r="V705" s="2079">
        <f t="shared" si="260"/>
        <v>0</v>
      </c>
      <c r="W705" s="78">
        <f t="shared" si="261"/>
        <v>99.999925999999988</v>
      </c>
      <c r="X705" s="1878" t="str">
        <f t="shared" si="259"/>
        <v>1.- R Goodyear 8230517-OT_008727  Vulcanizado (curación) 0001-011521 Corte Lateral</v>
      </c>
      <c r="Z705" s="19" t="str">
        <f t="shared" si="262"/>
        <v>ReencaucheReenc. MASTERCAUCHO</v>
      </c>
    </row>
    <row r="706" spans="2:26" ht="15.2" customHeight="1">
      <c r="B706" s="37"/>
      <c r="E706" s="2899">
        <v>2</v>
      </c>
      <c r="F706" s="2297" t="s">
        <v>723</v>
      </c>
      <c r="G706" s="68" t="s">
        <v>737</v>
      </c>
      <c r="H706" s="69" t="s">
        <v>2491</v>
      </c>
      <c r="I706" s="68" t="s">
        <v>726</v>
      </c>
      <c r="J706" s="70" t="s">
        <v>727</v>
      </c>
      <c r="K706" s="71" t="s">
        <v>3157</v>
      </c>
      <c r="L706" s="72">
        <v>43252</v>
      </c>
      <c r="M706" s="2306" t="s">
        <v>729</v>
      </c>
      <c r="N706" s="74">
        <v>43257</v>
      </c>
      <c r="O706" s="75">
        <f t="shared" ref="O706:O708" si="264">+N706</f>
        <v>43257</v>
      </c>
      <c r="P706" s="2765" t="s">
        <v>3166</v>
      </c>
      <c r="Q706" s="2954"/>
      <c r="R706" s="76">
        <v>279.661</v>
      </c>
      <c r="S706" s="1945" t="s">
        <v>731</v>
      </c>
      <c r="T706" s="77" t="s">
        <v>2712</v>
      </c>
      <c r="U706" s="1893"/>
      <c r="V706" s="2079">
        <f t="shared" si="260"/>
        <v>0</v>
      </c>
      <c r="W706" s="78">
        <f t="shared" si="261"/>
        <v>329.99997999999999</v>
      </c>
      <c r="X706" s="1878" t="str">
        <f t="shared" si="259"/>
        <v>2.- R Vikrant 0010117-OT_008727  Reencauche 0001-011521 MDY-220</v>
      </c>
      <c r="Z706" s="19" t="str">
        <f t="shared" si="237"/>
        <v>ReencaucheReenc. MASTERCAUCHO</v>
      </c>
    </row>
    <row r="707" spans="2:26" ht="15.2" customHeight="1">
      <c r="B707" s="37"/>
      <c r="E707" s="2907">
        <v>3</v>
      </c>
      <c r="F707" s="2297" t="s">
        <v>732</v>
      </c>
      <c r="G707" s="68" t="s">
        <v>1233</v>
      </c>
      <c r="H707" s="69" t="s">
        <v>1947</v>
      </c>
      <c r="I707" s="68" t="s">
        <v>726</v>
      </c>
      <c r="J707" s="70" t="s">
        <v>727</v>
      </c>
      <c r="K707" s="71" t="s">
        <v>3157</v>
      </c>
      <c r="L707" s="72">
        <v>43252</v>
      </c>
      <c r="M707" s="2306" t="s">
        <v>729</v>
      </c>
      <c r="N707" s="74">
        <v>43257</v>
      </c>
      <c r="O707" s="75">
        <f>+N707</f>
        <v>43257</v>
      </c>
      <c r="P707" s="2765" t="s">
        <v>3166</v>
      </c>
      <c r="Q707" s="2954"/>
      <c r="R707" s="76">
        <v>279.661</v>
      </c>
      <c r="S707" s="1945" t="s">
        <v>731</v>
      </c>
      <c r="T707" s="77" t="s">
        <v>2712</v>
      </c>
      <c r="U707" s="1893"/>
      <c r="V707" s="2079">
        <f t="shared" si="260"/>
        <v>0</v>
      </c>
      <c r="W707" s="78">
        <f t="shared" si="261"/>
        <v>329.99997999999999</v>
      </c>
      <c r="X707" s="1878" t="str">
        <f t="shared" si="259"/>
        <v>3.- C Saratoga 0360506-OT_008727  Reencauche 0001-011521 MDY-220</v>
      </c>
      <c r="Z707" s="19" t="str">
        <f t="shared" si="237"/>
        <v>ReencaucheReenc. MASTERCAUCHO</v>
      </c>
    </row>
    <row r="708" spans="2:26" ht="15.2" customHeight="1">
      <c r="B708" s="37"/>
      <c r="E708" s="79">
        <v>4</v>
      </c>
      <c r="F708" s="2294" t="s">
        <v>732</v>
      </c>
      <c r="G708" s="81" t="s">
        <v>733</v>
      </c>
      <c r="H708" s="82" t="s">
        <v>1689</v>
      </c>
      <c r="I708" s="81" t="s">
        <v>726</v>
      </c>
      <c r="J708" s="83" t="s">
        <v>727</v>
      </c>
      <c r="K708" s="84" t="s">
        <v>3157</v>
      </c>
      <c r="L708" s="85">
        <v>43252</v>
      </c>
      <c r="M708" s="2296" t="s">
        <v>729</v>
      </c>
      <c r="N708" s="87">
        <v>43257</v>
      </c>
      <c r="O708" s="88">
        <f t="shared" si="264"/>
        <v>43257</v>
      </c>
      <c r="P708" s="2766" t="s">
        <v>3166</v>
      </c>
      <c r="Q708" s="2955"/>
      <c r="R708" s="89">
        <v>279.661</v>
      </c>
      <c r="S708" s="1946" t="s">
        <v>731</v>
      </c>
      <c r="T708" s="77" t="s">
        <v>2712</v>
      </c>
      <c r="U708" s="1893"/>
      <c r="V708" s="2079">
        <f t="shared" si="260"/>
        <v>0</v>
      </c>
      <c r="W708" s="78">
        <f t="shared" si="261"/>
        <v>329.99997999999999</v>
      </c>
      <c r="X708" s="1878" t="str">
        <f t="shared" si="259"/>
        <v>4.- C Lima Caucho 0690808-OT_008727  Reencauche 0001-011521 MDY-220</v>
      </c>
      <c r="Z708" s="19" t="str">
        <f t="shared" si="237"/>
        <v>ReencaucheReenc. MASTERCAUCHO</v>
      </c>
    </row>
    <row r="709" spans="2:26" ht="15.2" customHeight="1">
      <c r="B709" s="37"/>
      <c r="E709" s="2899">
        <v>1</v>
      </c>
      <c r="F709" s="2297" t="s">
        <v>723</v>
      </c>
      <c r="G709" s="68" t="s">
        <v>825</v>
      </c>
      <c r="H709" s="69" t="s">
        <v>863</v>
      </c>
      <c r="I709" s="68" t="s">
        <v>726</v>
      </c>
      <c r="J709" s="70" t="s">
        <v>727</v>
      </c>
      <c r="K709" s="2305" t="s">
        <v>3155</v>
      </c>
      <c r="L709" s="72">
        <v>43248</v>
      </c>
      <c r="M709" s="2306" t="s">
        <v>729</v>
      </c>
      <c r="N709" s="74">
        <v>43252</v>
      </c>
      <c r="O709" s="75">
        <f t="shared" si="240"/>
        <v>43252</v>
      </c>
      <c r="P709" s="2765" t="s">
        <v>3158</v>
      </c>
      <c r="Q709" s="2954"/>
      <c r="R709" s="76">
        <v>279.661</v>
      </c>
      <c r="S709" s="1945" t="s">
        <v>731</v>
      </c>
      <c r="T709" s="77" t="s">
        <v>2712</v>
      </c>
      <c r="U709" s="1893"/>
      <c r="V709" s="2079">
        <f t="shared" si="260"/>
        <v>0</v>
      </c>
      <c r="W709" s="78">
        <f t="shared" si="261"/>
        <v>329.99997999999999</v>
      </c>
      <c r="X709" s="1878" t="str">
        <f t="shared" si="259"/>
        <v>1.- R Falken 0580611-OT_008801  Reencauche 0001-011470 MDY-220</v>
      </c>
      <c r="Z709" s="19" t="str">
        <f t="shared" si="237"/>
        <v>Vulcanizado (curación)Reenc. MASTERCAUCHO</v>
      </c>
    </row>
    <row r="710" spans="2:26" ht="15.2" customHeight="1">
      <c r="B710" s="37"/>
      <c r="E710" s="2899">
        <v>2</v>
      </c>
      <c r="F710" s="2297" t="s">
        <v>723</v>
      </c>
      <c r="G710" s="68" t="s">
        <v>151</v>
      </c>
      <c r="H710" s="69" t="s">
        <v>3153</v>
      </c>
      <c r="I710" s="68" t="s">
        <v>726</v>
      </c>
      <c r="J710" s="70" t="s">
        <v>727</v>
      </c>
      <c r="K710" s="71" t="s">
        <v>3155</v>
      </c>
      <c r="L710" s="72">
        <v>43248</v>
      </c>
      <c r="M710" s="2306" t="s">
        <v>729</v>
      </c>
      <c r="N710" s="74">
        <v>43252</v>
      </c>
      <c r="O710" s="75">
        <v>43252</v>
      </c>
      <c r="P710" s="2765" t="s">
        <v>3158</v>
      </c>
      <c r="Q710" s="2954"/>
      <c r="R710" s="76">
        <v>279.661</v>
      </c>
      <c r="S710" s="1945" t="s">
        <v>731</v>
      </c>
      <c r="T710" s="77" t="s">
        <v>2712</v>
      </c>
      <c r="U710" s="1893"/>
      <c r="V710" s="2079">
        <f t="shared" si="260"/>
        <v>0</v>
      </c>
      <c r="W710" s="78">
        <f t="shared" si="261"/>
        <v>329.99997999999999</v>
      </c>
      <c r="X710" s="1878" t="str">
        <f t="shared" si="259"/>
        <v>2.- R WindPower 0080116-OT_008801  Reencauche 0001-011470 MDY-220</v>
      </c>
      <c r="Z710" s="19" t="str">
        <f t="shared" si="237"/>
        <v>Vulcanizado (curación)Reenc. MASTERCAUCHO</v>
      </c>
    </row>
    <row r="711" spans="2:26" ht="15.2" customHeight="1">
      <c r="B711" s="37"/>
      <c r="E711" s="2899">
        <v>3</v>
      </c>
      <c r="F711" s="2297" t="s">
        <v>723</v>
      </c>
      <c r="G711" s="68" t="s">
        <v>151</v>
      </c>
      <c r="H711" s="69" t="s">
        <v>3154</v>
      </c>
      <c r="I711" s="68" t="s">
        <v>726</v>
      </c>
      <c r="J711" s="70" t="s">
        <v>727</v>
      </c>
      <c r="K711" s="71" t="s">
        <v>3155</v>
      </c>
      <c r="L711" s="72">
        <v>43248</v>
      </c>
      <c r="M711" s="2306" t="s">
        <v>729</v>
      </c>
      <c r="N711" s="74">
        <v>43252</v>
      </c>
      <c r="O711" s="75">
        <v>43252</v>
      </c>
      <c r="P711" s="2765" t="s">
        <v>3158</v>
      </c>
      <c r="Q711" s="2954"/>
      <c r="R711" s="76">
        <v>279.661</v>
      </c>
      <c r="S711" s="1945" t="s">
        <v>731</v>
      </c>
      <c r="T711" s="77" t="s">
        <v>2712</v>
      </c>
      <c r="U711" s="1893"/>
      <c r="V711" s="2079">
        <f t="shared" si="260"/>
        <v>0</v>
      </c>
      <c r="W711" s="78">
        <f t="shared" si="261"/>
        <v>329.99997999999999</v>
      </c>
      <c r="X711" s="1878" t="str">
        <f t="shared" si="259"/>
        <v>3.- R WindPower 0070116-OT_008801  Reencauche 0001-011470 MDY-220</v>
      </c>
      <c r="Z711" s="19" t="str">
        <f t="shared" ref="Z711:Z730" si="265">CONCATENATE(I714,J714)</f>
        <v>ReencaucheReencauchadora RENOVA</v>
      </c>
    </row>
    <row r="712" spans="2:26" ht="15.2" customHeight="1">
      <c r="B712" s="37"/>
      <c r="E712" s="2899">
        <v>4</v>
      </c>
      <c r="F712" s="2297" t="s">
        <v>723</v>
      </c>
      <c r="G712" s="68" t="s">
        <v>757</v>
      </c>
      <c r="H712" s="69" t="s">
        <v>531</v>
      </c>
      <c r="I712" s="68" t="s">
        <v>811</v>
      </c>
      <c r="J712" s="70" t="s">
        <v>727</v>
      </c>
      <c r="K712" s="71" t="s">
        <v>3155</v>
      </c>
      <c r="L712" s="72">
        <v>43248</v>
      </c>
      <c r="M712" s="2306" t="s">
        <v>729</v>
      </c>
      <c r="N712" s="74">
        <v>43252</v>
      </c>
      <c r="O712" s="75">
        <v>43252</v>
      </c>
      <c r="P712" s="2765" t="s">
        <v>3158</v>
      </c>
      <c r="Q712" s="2954"/>
      <c r="R712" s="76">
        <v>84.745699999999999</v>
      </c>
      <c r="S712" s="1945" t="s">
        <v>731</v>
      </c>
      <c r="T712" s="77" t="s">
        <v>3159</v>
      </c>
      <c r="U712" s="1893"/>
      <c r="V712" s="2079">
        <f t="shared" si="260"/>
        <v>0</v>
      </c>
      <c r="W712" s="78">
        <f t="shared" si="261"/>
        <v>99.999925999999988</v>
      </c>
      <c r="X712" s="1878" t="str">
        <f t="shared" si="259"/>
        <v>4.- R Goodyear 8130516-OT_008801  Vulcanizado (curación) 0001-011470 Corte Lateral</v>
      </c>
      <c r="Z712" s="19" t="str">
        <f t="shared" si="265"/>
        <v>ReencaucheReencauchadora RENOVA</v>
      </c>
    </row>
    <row r="713" spans="2:26" ht="15.2" customHeight="1">
      <c r="B713" s="37"/>
      <c r="E713" s="79">
        <v>5</v>
      </c>
      <c r="F713" s="2294" t="s">
        <v>723</v>
      </c>
      <c r="G713" s="81" t="s">
        <v>724</v>
      </c>
      <c r="H713" s="2943" t="s">
        <v>827</v>
      </c>
      <c r="I713" s="2909" t="s">
        <v>811</v>
      </c>
      <c r="J713" s="83" t="s">
        <v>727</v>
      </c>
      <c r="K713" s="84" t="s">
        <v>3155</v>
      </c>
      <c r="L713" s="85">
        <v>43248</v>
      </c>
      <c r="M713" s="2296" t="s">
        <v>729</v>
      </c>
      <c r="N713" s="87">
        <v>43252</v>
      </c>
      <c r="O713" s="88">
        <v>43252</v>
      </c>
      <c r="P713" s="2766" t="s">
        <v>3158</v>
      </c>
      <c r="Q713" s="2955"/>
      <c r="R713" s="89">
        <v>84.745699999999999</v>
      </c>
      <c r="S713" s="1946" t="s">
        <v>731</v>
      </c>
      <c r="T713" s="77" t="s">
        <v>3159</v>
      </c>
      <c r="U713" s="1893"/>
      <c r="V713" s="2079">
        <f t="shared" si="260"/>
        <v>0</v>
      </c>
      <c r="W713" s="78">
        <f t="shared" si="261"/>
        <v>99.999925999999988</v>
      </c>
      <c r="X713" s="1878" t="str">
        <f t="shared" si="259"/>
        <v>5.- R Aeolus 170812-OT_008801  Vulcanizado (curación) 0001-011470 Corte Lateral</v>
      </c>
      <c r="Z713" s="19" t="str">
        <f t="shared" si="265"/>
        <v>ReencaucheReencauchadora RENOVA</v>
      </c>
    </row>
    <row r="714" spans="2:26" ht="15.2" customHeight="1">
      <c r="B714" s="37"/>
      <c r="E714" s="2898">
        <v>1</v>
      </c>
      <c r="F714" s="2297" t="s">
        <v>723</v>
      </c>
      <c r="G714" s="68" t="s">
        <v>737</v>
      </c>
      <c r="H714" s="69" t="s">
        <v>3146</v>
      </c>
      <c r="I714" s="68" t="s">
        <v>726</v>
      </c>
      <c r="J714" s="70" t="s">
        <v>760</v>
      </c>
      <c r="K714" s="71" t="s">
        <v>3152</v>
      </c>
      <c r="L714" s="72">
        <v>43246</v>
      </c>
      <c r="M714" s="73" t="s">
        <v>729</v>
      </c>
      <c r="N714" s="74">
        <v>43253</v>
      </c>
      <c r="O714" s="75">
        <v>43253</v>
      </c>
      <c r="P714" s="2765" t="s">
        <v>3160</v>
      </c>
      <c r="Q714" s="2954">
        <v>100.9</v>
      </c>
      <c r="R714" s="76"/>
      <c r="S714" s="1945" t="s">
        <v>731</v>
      </c>
      <c r="T714" s="77" t="s">
        <v>2570</v>
      </c>
      <c r="U714" s="1893"/>
      <c r="V714" s="2079">
        <f t="shared" si="260"/>
        <v>119.062</v>
      </c>
      <c r="W714" s="78">
        <f t="shared" si="261"/>
        <v>0</v>
      </c>
      <c r="X714" s="1878" t="str">
        <f t="shared" si="259"/>
        <v>1.- R Vikrant 0540617-OT_274926  Reencauche F101-00015050 IDY3-220</v>
      </c>
      <c r="Z714" s="19" t="str">
        <f>CONCATENATE(I717,J717)</f>
        <v>ReencaucheReencauchadora RENOVA</v>
      </c>
    </row>
    <row r="715" spans="2:26" ht="15.2" customHeight="1">
      <c r="B715" s="37"/>
      <c r="E715" s="2898">
        <v>2</v>
      </c>
      <c r="F715" s="2297" t="s">
        <v>723</v>
      </c>
      <c r="G715" s="68" t="s">
        <v>724</v>
      </c>
      <c r="H715" s="69" t="s">
        <v>3147</v>
      </c>
      <c r="I715" s="68" t="s">
        <v>726</v>
      </c>
      <c r="J715" s="70" t="s">
        <v>760</v>
      </c>
      <c r="K715" s="71" t="s">
        <v>3152</v>
      </c>
      <c r="L715" s="72">
        <v>43246</v>
      </c>
      <c r="M715" s="73" t="s">
        <v>729</v>
      </c>
      <c r="N715" s="74">
        <v>43253</v>
      </c>
      <c r="O715" s="75">
        <f t="shared" ref="O715:O731" si="266">+N715</f>
        <v>43253</v>
      </c>
      <c r="P715" s="2765" t="s">
        <v>3160</v>
      </c>
      <c r="Q715" s="2954">
        <v>100.9</v>
      </c>
      <c r="R715" s="76"/>
      <c r="S715" s="1945" t="s">
        <v>731</v>
      </c>
      <c r="T715" s="77" t="s">
        <v>2570</v>
      </c>
      <c r="U715" s="1893"/>
      <c r="V715" s="2079">
        <f t="shared" si="260"/>
        <v>119.062</v>
      </c>
      <c r="W715" s="78">
        <f t="shared" si="261"/>
        <v>0</v>
      </c>
      <c r="X715" s="1878" t="str">
        <f t="shared" si="259"/>
        <v>2.- R Aeolus 0060115-OT_274926  Reencauche F101-00015050 IDY3-220</v>
      </c>
      <c r="Z715" s="19" t="str">
        <f t="shared" si="265"/>
        <v>ReencaucheReencauchadora RENOVA</v>
      </c>
    </row>
    <row r="716" spans="2:26" ht="15.2" customHeight="1">
      <c r="B716" s="37"/>
      <c r="E716" s="2898">
        <v>3</v>
      </c>
      <c r="F716" s="2297" t="s">
        <v>723</v>
      </c>
      <c r="G716" s="68" t="s">
        <v>737</v>
      </c>
      <c r="H716" s="69" t="s">
        <v>3148</v>
      </c>
      <c r="I716" s="68" t="s">
        <v>726</v>
      </c>
      <c r="J716" s="70" t="s">
        <v>760</v>
      </c>
      <c r="K716" s="71" t="s">
        <v>3152</v>
      </c>
      <c r="L716" s="72">
        <v>43246</v>
      </c>
      <c r="M716" s="73" t="s">
        <v>729</v>
      </c>
      <c r="N716" s="74">
        <v>43253</v>
      </c>
      <c r="O716" s="75">
        <f t="shared" ref="O716:O719" si="267">+N716</f>
        <v>43253</v>
      </c>
      <c r="P716" s="2765" t="s">
        <v>3160</v>
      </c>
      <c r="Q716" s="2954">
        <v>100.9</v>
      </c>
      <c r="R716" s="76"/>
      <c r="S716" s="1945" t="s">
        <v>731</v>
      </c>
      <c r="T716" s="77" t="s">
        <v>2570</v>
      </c>
      <c r="U716" s="1893"/>
      <c r="V716" s="2079">
        <f t="shared" si="260"/>
        <v>119.062</v>
      </c>
      <c r="W716" s="78">
        <f t="shared" si="261"/>
        <v>0</v>
      </c>
      <c r="X716" s="1878" t="str">
        <f t="shared" si="259"/>
        <v>3.- R Vikrant 0570617-OT_274926  Reencauche F101-00015050 IDY3-220</v>
      </c>
      <c r="Z716" s="19" t="str">
        <f t="shared" si="265"/>
        <v>ReencaucheReencauchadora RENOVA</v>
      </c>
    </row>
    <row r="717" spans="2:26" ht="15.2" customHeight="1">
      <c r="B717" s="37"/>
      <c r="E717" s="2892">
        <v>4</v>
      </c>
      <c r="F717" s="2297" t="s">
        <v>723</v>
      </c>
      <c r="G717" s="68" t="s">
        <v>2523</v>
      </c>
      <c r="H717" s="69" t="s">
        <v>3145</v>
      </c>
      <c r="I717" s="68" t="s">
        <v>726</v>
      </c>
      <c r="J717" s="70" t="s">
        <v>760</v>
      </c>
      <c r="K717" s="2305" t="s">
        <v>3152</v>
      </c>
      <c r="L717" s="72">
        <v>43246</v>
      </c>
      <c r="M717" s="73" t="s">
        <v>729</v>
      </c>
      <c r="N717" s="74">
        <v>43253</v>
      </c>
      <c r="O717" s="75">
        <f t="shared" ref="O717" si="268">+N717</f>
        <v>43253</v>
      </c>
      <c r="P717" s="2765" t="s">
        <v>3161</v>
      </c>
      <c r="Q717" s="2954">
        <v>0</v>
      </c>
      <c r="R717" s="76"/>
      <c r="S717" s="1945" t="s">
        <v>731</v>
      </c>
      <c r="T717" s="77" t="s">
        <v>3162</v>
      </c>
      <c r="U717" s="1893"/>
      <c r="V717" s="2079">
        <f t="shared" si="260"/>
        <v>0</v>
      </c>
      <c r="W717" s="78">
        <f t="shared" si="261"/>
        <v>0</v>
      </c>
      <c r="X717" s="1878" t="str">
        <f t="shared" si="259"/>
        <v>4.- R KETER 008160517-OT_274926  Reencauche G030-0073286 RECHAZO rodada baja/falla estruc</v>
      </c>
      <c r="Z717" s="19" t="str">
        <f t="shared" si="265"/>
        <v>ReencaucheReencauchadora RENOVA</v>
      </c>
    </row>
    <row r="718" spans="2:26" ht="15.2" customHeight="1">
      <c r="B718" s="37"/>
      <c r="E718" s="2898">
        <v>5</v>
      </c>
      <c r="F718" s="2297" t="s">
        <v>723</v>
      </c>
      <c r="G718" s="68" t="s">
        <v>724</v>
      </c>
      <c r="H718" s="69" t="s">
        <v>3149</v>
      </c>
      <c r="I718" s="68" t="s">
        <v>726</v>
      </c>
      <c r="J718" s="70" t="s">
        <v>760</v>
      </c>
      <c r="K718" s="71" t="s">
        <v>3152</v>
      </c>
      <c r="L718" s="72">
        <v>43246</v>
      </c>
      <c r="M718" s="73" t="s">
        <v>729</v>
      </c>
      <c r="N718" s="74">
        <v>43253</v>
      </c>
      <c r="O718" s="75">
        <f t="shared" si="267"/>
        <v>43253</v>
      </c>
      <c r="P718" s="2765" t="s">
        <v>3161</v>
      </c>
      <c r="Q718" s="2954">
        <v>0</v>
      </c>
      <c r="R718" s="76"/>
      <c r="S718" s="1945" t="s">
        <v>731</v>
      </c>
      <c r="T718" s="77" t="s">
        <v>3162</v>
      </c>
      <c r="U718" s="1893"/>
      <c r="V718" s="2079">
        <f t="shared" si="260"/>
        <v>0</v>
      </c>
      <c r="W718" s="78">
        <f t="shared" si="261"/>
        <v>0</v>
      </c>
      <c r="X718" s="1878" t="str">
        <f t="shared" si="259"/>
        <v>5.- R Aeolus 00034912-OT_274926  Reencauche G030-0073286 RECHAZO rodada baja/falla estruc</v>
      </c>
      <c r="Z718" s="19" t="str">
        <f t="shared" si="265"/>
        <v>ReencaucheReencauchadora RENOVA</v>
      </c>
    </row>
    <row r="719" spans="2:26" ht="15.2" customHeight="1">
      <c r="B719" s="37"/>
      <c r="E719" s="2898">
        <v>6</v>
      </c>
      <c r="F719" s="2901" t="s">
        <v>723</v>
      </c>
      <c r="G719" s="2902" t="s">
        <v>724</v>
      </c>
      <c r="H719" s="2903" t="s">
        <v>3150</v>
      </c>
      <c r="I719" s="2902" t="s">
        <v>726</v>
      </c>
      <c r="J719" s="2904" t="s">
        <v>760</v>
      </c>
      <c r="K719" s="2905" t="s">
        <v>3152</v>
      </c>
      <c r="L719" s="2906">
        <v>43246</v>
      </c>
      <c r="M719" s="2306" t="s">
        <v>729</v>
      </c>
      <c r="N719" s="74">
        <v>43264</v>
      </c>
      <c r="O719" s="75">
        <f t="shared" si="267"/>
        <v>43264</v>
      </c>
      <c r="P719" s="2765" t="s">
        <v>3185</v>
      </c>
      <c r="Q719" s="2954">
        <v>100.9</v>
      </c>
      <c r="R719" s="76"/>
      <c r="S719" s="1945" t="s">
        <v>731</v>
      </c>
      <c r="T719" s="77" t="s">
        <v>2570</v>
      </c>
      <c r="U719" s="1893"/>
      <c r="V719" s="2079">
        <f t="shared" si="260"/>
        <v>119.062</v>
      </c>
      <c r="W719" s="78">
        <f t="shared" si="261"/>
        <v>0</v>
      </c>
      <c r="X719" s="1878" t="str">
        <f t="shared" si="259"/>
        <v>6.- R Aeolus 0981216-OT_274926  Reencauche F101-00015202 IDY3-220</v>
      </c>
      <c r="Z719" s="19" t="str">
        <f t="shared" si="265"/>
        <v>ReencaucheReencauchadora RENOVA</v>
      </c>
    </row>
    <row r="720" spans="2:26" ht="15.2" customHeight="1">
      <c r="B720" s="37"/>
      <c r="E720" s="79">
        <v>7</v>
      </c>
      <c r="F720" s="2908" t="s">
        <v>723</v>
      </c>
      <c r="G720" s="2909" t="s">
        <v>724</v>
      </c>
      <c r="H720" s="2910" t="s">
        <v>3151</v>
      </c>
      <c r="I720" s="2909" t="s">
        <v>726</v>
      </c>
      <c r="J720" s="2911" t="s">
        <v>760</v>
      </c>
      <c r="K720" s="2912" t="s">
        <v>3152</v>
      </c>
      <c r="L720" s="2913">
        <v>43246</v>
      </c>
      <c r="M720" s="2446" t="s">
        <v>729</v>
      </c>
      <c r="N720" s="87">
        <v>43264</v>
      </c>
      <c r="O720" s="88">
        <f t="shared" ref="O720" si="269">+N720</f>
        <v>43264</v>
      </c>
      <c r="P720" s="2766" t="s">
        <v>3185</v>
      </c>
      <c r="Q720" s="2955">
        <v>100.9</v>
      </c>
      <c r="R720" s="89"/>
      <c r="S720" s="1946" t="s">
        <v>731</v>
      </c>
      <c r="T720" s="77" t="s">
        <v>2570</v>
      </c>
      <c r="U720" s="1893"/>
      <c r="V720" s="2079">
        <f t="shared" si="260"/>
        <v>119.062</v>
      </c>
      <c r="W720" s="78">
        <f t="shared" si="261"/>
        <v>0</v>
      </c>
      <c r="X720" s="1878" t="str">
        <f t="shared" si="259"/>
        <v>7.- R Aeolus 0300215-OT_274926  Reencauche F101-00015202 IDY3-220</v>
      </c>
      <c r="Z720" s="19" t="str">
        <f t="shared" si="265"/>
        <v>ReencaucheReencauchadora RENOVA</v>
      </c>
    </row>
    <row r="721" spans="2:26" ht="15.2" customHeight="1">
      <c r="B721" s="37"/>
      <c r="E721" s="2898">
        <v>1</v>
      </c>
      <c r="F721" s="2297" t="s">
        <v>732</v>
      </c>
      <c r="G721" s="68" t="s">
        <v>737</v>
      </c>
      <c r="H721" s="69" t="s">
        <v>1585</v>
      </c>
      <c r="I721" s="68" t="s">
        <v>726</v>
      </c>
      <c r="J721" s="70" t="s">
        <v>760</v>
      </c>
      <c r="K721" s="2305" t="s">
        <v>3133</v>
      </c>
      <c r="L721" s="72">
        <v>43241</v>
      </c>
      <c r="M721" s="2306" t="s">
        <v>729</v>
      </c>
      <c r="N721" s="74">
        <v>43246</v>
      </c>
      <c r="O721" s="75">
        <f t="shared" si="266"/>
        <v>43246</v>
      </c>
      <c r="P721" s="2765" t="s">
        <v>3134</v>
      </c>
      <c r="Q721" s="2954">
        <v>85.79</v>
      </c>
      <c r="R721" s="76"/>
      <c r="S721" s="1945" t="s">
        <v>731</v>
      </c>
      <c r="T721" s="77" t="s">
        <v>2566</v>
      </c>
      <c r="U721" s="1893"/>
      <c r="V721" s="2079">
        <f t="shared" si="260"/>
        <v>101.23220000000001</v>
      </c>
      <c r="W721" s="78">
        <f t="shared" si="261"/>
        <v>0</v>
      </c>
      <c r="X721" s="1878" t="str">
        <f t="shared" si="259"/>
        <v>1.- C Vikrant 0861009-OT_247909  Reencauche F101-00014920 IZB-210</v>
      </c>
      <c r="Z721" s="19" t="str">
        <f t="shared" si="265"/>
        <v>ReencaucheReencauchadora RENOVA</v>
      </c>
    </row>
    <row r="722" spans="2:26" ht="15.2" customHeight="1">
      <c r="B722" s="37"/>
      <c r="E722" s="2898">
        <v>2</v>
      </c>
      <c r="F722" s="2297" t="s">
        <v>732</v>
      </c>
      <c r="G722" s="68" t="s">
        <v>737</v>
      </c>
      <c r="H722" s="69" t="s">
        <v>794</v>
      </c>
      <c r="I722" s="68" t="s">
        <v>726</v>
      </c>
      <c r="J722" s="70" t="s">
        <v>760</v>
      </c>
      <c r="K722" s="71" t="s">
        <v>3133</v>
      </c>
      <c r="L722" s="72">
        <v>43241</v>
      </c>
      <c r="M722" s="2306" t="s">
        <v>729</v>
      </c>
      <c r="N722" s="74">
        <v>43246</v>
      </c>
      <c r="O722" s="75">
        <f t="shared" ref="O722:O727" si="270">+N722</f>
        <v>43246</v>
      </c>
      <c r="P722" s="2765" t="s">
        <v>3134</v>
      </c>
      <c r="Q722" s="2954">
        <v>85.79</v>
      </c>
      <c r="R722" s="76"/>
      <c r="S722" s="1945" t="s">
        <v>731</v>
      </c>
      <c r="T722" s="77" t="s">
        <v>2566</v>
      </c>
      <c r="U722" s="1893"/>
      <c r="V722" s="2079">
        <f t="shared" si="260"/>
        <v>101.23220000000001</v>
      </c>
      <c r="W722" s="78">
        <f t="shared" si="261"/>
        <v>0</v>
      </c>
      <c r="X722" s="1878" t="str">
        <f t="shared" si="259"/>
        <v>2.- C Vikrant 0570709-OT_247909  Reencauche F101-00014920 IZB-210</v>
      </c>
      <c r="Z722" s="19" t="str">
        <f t="shared" si="265"/>
        <v>ReencaucheReencauchadora RENOVA</v>
      </c>
    </row>
    <row r="723" spans="2:26" ht="15.2" customHeight="1">
      <c r="B723" s="37"/>
      <c r="E723" s="2898">
        <v>3</v>
      </c>
      <c r="F723" s="2297" t="s">
        <v>732</v>
      </c>
      <c r="G723" s="68" t="s">
        <v>737</v>
      </c>
      <c r="H723" s="69" t="s">
        <v>1224</v>
      </c>
      <c r="I723" s="68" t="s">
        <v>726</v>
      </c>
      <c r="J723" s="70" t="s">
        <v>760</v>
      </c>
      <c r="K723" s="71" t="s">
        <v>3133</v>
      </c>
      <c r="L723" s="72">
        <v>43241</v>
      </c>
      <c r="M723" s="2306" t="s">
        <v>729</v>
      </c>
      <c r="N723" s="74">
        <v>43246</v>
      </c>
      <c r="O723" s="75">
        <f t="shared" si="270"/>
        <v>43246</v>
      </c>
      <c r="P723" s="2765" t="s">
        <v>3134</v>
      </c>
      <c r="Q723" s="2954">
        <v>85.79</v>
      </c>
      <c r="R723" s="76"/>
      <c r="S723" s="1945" t="s">
        <v>731</v>
      </c>
      <c r="T723" s="77" t="s">
        <v>2566</v>
      </c>
      <c r="U723" s="1893"/>
      <c r="V723" s="2079">
        <f t="shared" si="260"/>
        <v>101.23220000000001</v>
      </c>
      <c r="W723" s="78">
        <f t="shared" si="261"/>
        <v>0</v>
      </c>
      <c r="X723" s="1878" t="str">
        <f t="shared" si="259"/>
        <v>3.- C Vikrant 007022010-OT_247909  Reencauche F101-00014920 IZB-210</v>
      </c>
      <c r="Z723" s="19" t="str">
        <f t="shared" si="265"/>
        <v>ReencaucheReencauchadora RENOVA</v>
      </c>
    </row>
    <row r="724" spans="2:26" ht="15.2" customHeight="1">
      <c r="B724" s="37"/>
      <c r="E724" s="2898">
        <v>4</v>
      </c>
      <c r="F724" s="2297" t="s">
        <v>732</v>
      </c>
      <c r="G724" s="68" t="s">
        <v>737</v>
      </c>
      <c r="H724" s="69" t="s">
        <v>1425</v>
      </c>
      <c r="I724" s="68" t="s">
        <v>726</v>
      </c>
      <c r="J724" s="70" t="s">
        <v>760</v>
      </c>
      <c r="K724" s="71" t="s">
        <v>3133</v>
      </c>
      <c r="L724" s="72">
        <v>43241</v>
      </c>
      <c r="M724" s="2306" t="s">
        <v>729</v>
      </c>
      <c r="N724" s="74">
        <v>43246</v>
      </c>
      <c r="O724" s="75">
        <f t="shared" si="270"/>
        <v>43246</v>
      </c>
      <c r="P724" s="2765" t="s">
        <v>3134</v>
      </c>
      <c r="Q724" s="2954">
        <v>85.79</v>
      </c>
      <c r="R724" s="76"/>
      <c r="S724" s="1945" t="s">
        <v>731</v>
      </c>
      <c r="T724" s="77" t="s">
        <v>2566</v>
      </c>
      <c r="U724" s="1893"/>
      <c r="V724" s="2079">
        <f t="shared" si="260"/>
        <v>101.23220000000001</v>
      </c>
      <c r="W724" s="78">
        <f t="shared" si="261"/>
        <v>0</v>
      </c>
      <c r="X724" s="1878" t="str">
        <f t="shared" si="259"/>
        <v>4.- C Vikrant 0020111-OT_247909  Reencauche F101-00014920 IZB-210</v>
      </c>
      <c r="Z724" s="19" t="str">
        <f t="shared" si="265"/>
        <v>ReencaucheReencauchadora RENOVA</v>
      </c>
    </row>
    <row r="725" spans="2:26" ht="15.2" customHeight="1">
      <c r="B725" s="37"/>
      <c r="E725" s="2898">
        <v>5</v>
      </c>
      <c r="F725" s="2297" t="s">
        <v>732</v>
      </c>
      <c r="G725" s="68" t="s">
        <v>737</v>
      </c>
      <c r="H725" s="69" t="s">
        <v>1263</v>
      </c>
      <c r="I725" s="68" t="s">
        <v>726</v>
      </c>
      <c r="J725" s="70" t="s">
        <v>760</v>
      </c>
      <c r="K725" s="71" t="s">
        <v>3133</v>
      </c>
      <c r="L725" s="72">
        <v>43241</v>
      </c>
      <c r="M725" s="2306" t="s">
        <v>729</v>
      </c>
      <c r="N725" s="74">
        <v>43246</v>
      </c>
      <c r="O725" s="75">
        <f t="shared" si="270"/>
        <v>43246</v>
      </c>
      <c r="P725" s="2765" t="s">
        <v>3134</v>
      </c>
      <c r="Q725" s="2954">
        <v>85.79</v>
      </c>
      <c r="R725" s="76"/>
      <c r="S725" s="1945" t="s">
        <v>731</v>
      </c>
      <c r="T725" s="77" t="s">
        <v>2566</v>
      </c>
      <c r="U725" s="1893"/>
      <c r="V725" s="2079">
        <f t="shared" si="260"/>
        <v>101.23220000000001</v>
      </c>
      <c r="W725" s="78">
        <f t="shared" si="261"/>
        <v>0</v>
      </c>
      <c r="X725" s="1878" t="str">
        <f t="shared" si="259"/>
        <v>5.- C Vikrant 0120111-OT_247909  Reencauche F101-00014920 IZB-210</v>
      </c>
      <c r="Z725" s="19" t="str">
        <f t="shared" si="265"/>
        <v>ReencaucheReencauchadora RENOVA</v>
      </c>
    </row>
    <row r="726" spans="2:26" ht="15.2" customHeight="1">
      <c r="B726" s="37"/>
      <c r="E726" s="2898">
        <v>6</v>
      </c>
      <c r="F726" s="2297" t="s">
        <v>732</v>
      </c>
      <c r="G726" s="68" t="s">
        <v>737</v>
      </c>
      <c r="H726" s="69" t="s">
        <v>839</v>
      </c>
      <c r="I726" s="68" t="s">
        <v>726</v>
      </c>
      <c r="J726" s="70" t="s">
        <v>760</v>
      </c>
      <c r="K726" s="71" t="s">
        <v>3133</v>
      </c>
      <c r="L726" s="72">
        <v>43241</v>
      </c>
      <c r="M726" s="2306" t="s">
        <v>729</v>
      </c>
      <c r="N726" s="74">
        <v>43246</v>
      </c>
      <c r="O726" s="75">
        <f t="shared" si="270"/>
        <v>43246</v>
      </c>
      <c r="P726" s="2765" t="s">
        <v>3134</v>
      </c>
      <c r="Q726" s="2954">
        <v>85.79</v>
      </c>
      <c r="R726" s="76"/>
      <c r="S726" s="1945" t="s">
        <v>731</v>
      </c>
      <c r="T726" s="77" t="s">
        <v>2566</v>
      </c>
      <c r="U726" s="1893"/>
      <c r="V726" s="2079">
        <f t="shared" si="260"/>
        <v>101.23220000000001</v>
      </c>
      <c r="W726" s="78">
        <f t="shared" si="261"/>
        <v>0</v>
      </c>
      <c r="X726" s="1878" t="str">
        <f t="shared" si="259"/>
        <v>6.- C Vikrant 0380510-OT_247909  Reencauche F101-00014920 IZB-210</v>
      </c>
      <c r="Z726" s="19" t="str">
        <f>CONCATENATE(I729,J729)</f>
        <v>ReencaucheReencauchadora RENOVA</v>
      </c>
    </row>
    <row r="727" spans="2:26" ht="15.2" customHeight="1">
      <c r="B727" s="37"/>
      <c r="E727" s="2898">
        <v>7</v>
      </c>
      <c r="F727" s="2297" t="s">
        <v>732</v>
      </c>
      <c r="G727" s="68" t="s">
        <v>737</v>
      </c>
      <c r="H727" s="69" t="s">
        <v>1048</v>
      </c>
      <c r="I727" s="68" t="s">
        <v>726</v>
      </c>
      <c r="J727" s="70" t="s">
        <v>760</v>
      </c>
      <c r="K727" s="71" t="s">
        <v>3133</v>
      </c>
      <c r="L727" s="72">
        <v>43241</v>
      </c>
      <c r="M727" s="2306" t="s">
        <v>729</v>
      </c>
      <c r="N727" s="74">
        <v>43246</v>
      </c>
      <c r="O727" s="75">
        <f t="shared" si="270"/>
        <v>43246</v>
      </c>
      <c r="P727" s="2765" t="s">
        <v>3134</v>
      </c>
      <c r="Q727" s="2954">
        <v>85.79</v>
      </c>
      <c r="R727" s="76"/>
      <c r="S727" s="1945" t="s">
        <v>731</v>
      </c>
      <c r="T727" s="77" t="s">
        <v>2566</v>
      </c>
      <c r="U727" s="1893"/>
      <c r="V727" s="2079">
        <f t="shared" si="260"/>
        <v>101.23220000000001</v>
      </c>
      <c r="W727" s="78">
        <f t="shared" si="261"/>
        <v>0</v>
      </c>
      <c r="X727" s="1878" t="str">
        <f t="shared" si="259"/>
        <v>7.- C Vikrant 0100111-OT_247909  Reencauche F101-00014920 IZB-210</v>
      </c>
      <c r="Z727" s="19" t="str">
        <f t="shared" si="265"/>
        <v>ReencaucheReencauchadora RENOVA</v>
      </c>
    </row>
    <row r="728" spans="2:26" ht="15.2" customHeight="1">
      <c r="B728" s="37"/>
      <c r="E728" s="2898">
        <v>8</v>
      </c>
      <c r="F728" s="2914" t="s">
        <v>723</v>
      </c>
      <c r="G728" s="2915" t="s">
        <v>2460</v>
      </c>
      <c r="H728" s="2916" t="s">
        <v>3135</v>
      </c>
      <c r="I728" s="2915" t="s">
        <v>726</v>
      </c>
      <c r="J728" s="2917" t="s">
        <v>760</v>
      </c>
      <c r="K728" s="2918" t="s">
        <v>3133</v>
      </c>
      <c r="L728" s="2919">
        <v>43241</v>
      </c>
      <c r="M728" s="2920" t="s">
        <v>729</v>
      </c>
      <c r="N728" s="2926">
        <v>43253</v>
      </c>
      <c r="O728" s="2921">
        <f t="shared" si="266"/>
        <v>43253</v>
      </c>
      <c r="P728" s="2922" t="s">
        <v>3160</v>
      </c>
      <c r="Q728" s="2959">
        <v>105.33</v>
      </c>
      <c r="R728" s="2923"/>
      <c r="S728" s="2924" t="s">
        <v>731</v>
      </c>
      <c r="T728" s="2925" t="s">
        <v>2569</v>
      </c>
      <c r="U728" s="1893"/>
      <c r="V728" s="2079">
        <f t="shared" si="260"/>
        <v>124.28939999999999</v>
      </c>
      <c r="W728" s="78">
        <f t="shared" si="261"/>
        <v>0</v>
      </c>
      <c r="X728" s="1878" t="str">
        <f t="shared" si="259"/>
        <v>8.- R MICHELLIN 8341117-OT_247909  Reencauche F101-00015050 IDY3-235</v>
      </c>
      <c r="Z728" s="19" t="str">
        <f t="shared" si="265"/>
        <v>Vulcanizado (curación)Reenc. MASTERCAUCHO</v>
      </c>
    </row>
    <row r="729" spans="2:26" ht="15.2" customHeight="1">
      <c r="B729" s="37"/>
      <c r="E729" s="2898">
        <v>9</v>
      </c>
      <c r="F729" s="2297" t="s">
        <v>732</v>
      </c>
      <c r="G729" s="68" t="s">
        <v>733</v>
      </c>
      <c r="H729" s="69" t="s">
        <v>1689</v>
      </c>
      <c r="I729" s="68" t="s">
        <v>726</v>
      </c>
      <c r="J729" s="70" t="s">
        <v>760</v>
      </c>
      <c r="K729" s="71" t="s">
        <v>3133</v>
      </c>
      <c r="L729" s="72">
        <v>43241</v>
      </c>
      <c r="M729" s="2306" t="s">
        <v>729</v>
      </c>
      <c r="N729" s="74">
        <v>43248</v>
      </c>
      <c r="O729" s="75">
        <f>+N729</f>
        <v>43248</v>
      </c>
      <c r="P729" s="2765" t="s">
        <v>3142</v>
      </c>
      <c r="Q729" s="2954">
        <v>0</v>
      </c>
      <c r="R729" s="76"/>
      <c r="S729" s="1945" t="s">
        <v>731</v>
      </c>
      <c r="T729" s="77" t="s">
        <v>3143</v>
      </c>
      <c r="U729" s="1893"/>
      <c r="V729" s="2079">
        <f t="shared" si="260"/>
        <v>0</v>
      </c>
      <c r="W729" s="78">
        <f t="shared" si="261"/>
        <v>0</v>
      </c>
      <c r="X729" s="1878" t="str">
        <f t="shared" si="259"/>
        <v>9.- C Lima Caucho 0690808-OT_247909  Reencauche G030-0073105 RECHAZO Fatig/envejecimt estruct</v>
      </c>
      <c r="Z729" s="19" t="str">
        <f t="shared" si="265"/>
        <v>ReencaucheReenc. MASTERCAUCHO</v>
      </c>
    </row>
    <row r="730" spans="2:26" ht="15.2" customHeight="1">
      <c r="B730" s="37"/>
      <c r="E730" s="79">
        <v>10</v>
      </c>
      <c r="F730" s="2294" t="s">
        <v>723</v>
      </c>
      <c r="G730" s="81" t="s">
        <v>737</v>
      </c>
      <c r="H730" s="82" t="s">
        <v>2491</v>
      </c>
      <c r="I730" s="81" t="s">
        <v>726</v>
      </c>
      <c r="J730" s="83" t="s">
        <v>760</v>
      </c>
      <c r="K730" s="84" t="s">
        <v>3133</v>
      </c>
      <c r="L730" s="85">
        <v>43241</v>
      </c>
      <c r="M730" s="2296" t="s">
        <v>729</v>
      </c>
      <c r="N730" s="87">
        <v>43248</v>
      </c>
      <c r="O730" s="88">
        <f t="shared" si="266"/>
        <v>43248</v>
      </c>
      <c r="P730" s="2766" t="s">
        <v>3142</v>
      </c>
      <c r="Q730" s="2955">
        <v>0</v>
      </c>
      <c r="R730" s="89"/>
      <c r="S730" s="1946" t="s">
        <v>731</v>
      </c>
      <c r="T730" s="77" t="s">
        <v>3144</v>
      </c>
      <c r="U730" s="1893"/>
      <c r="V730" s="2079">
        <f t="shared" si="260"/>
        <v>0</v>
      </c>
      <c r="W730" s="78">
        <f t="shared" si="261"/>
        <v>0</v>
      </c>
      <c r="X730" s="1878" t="str">
        <f t="shared" si="259"/>
        <v>10.- R Vikrant 0010117-OT_247909  Reencauche G030-0073105 RECHAZO Separacion / telas estruct</v>
      </c>
      <c r="Z730" s="19" t="str">
        <f t="shared" si="265"/>
        <v>ReencaucheReenc. MASTERCAUCHO</v>
      </c>
    </row>
    <row r="731" spans="2:26" ht="15.2" customHeight="1">
      <c r="B731" s="37"/>
      <c r="E731" s="2898">
        <v>1</v>
      </c>
      <c r="F731" s="2297" t="s">
        <v>723</v>
      </c>
      <c r="G731" s="68" t="s">
        <v>737</v>
      </c>
      <c r="H731" s="69" t="s">
        <v>3129</v>
      </c>
      <c r="I731" s="68" t="s">
        <v>811</v>
      </c>
      <c r="J731" s="70" t="s">
        <v>727</v>
      </c>
      <c r="K731" s="2305" t="s">
        <v>3130</v>
      </c>
      <c r="L731" s="72">
        <v>43241</v>
      </c>
      <c r="M731" s="2306" t="s">
        <v>729</v>
      </c>
      <c r="N731" s="74">
        <v>43245</v>
      </c>
      <c r="O731" s="75">
        <f t="shared" si="266"/>
        <v>43245</v>
      </c>
      <c r="P731" s="2765" t="s">
        <v>3131</v>
      </c>
      <c r="Q731" s="2954"/>
      <c r="R731" s="76">
        <v>84.745699999999999</v>
      </c>
      <c r="S731" s="1945" t="s">
        <v>731</v>
      </c>
      <c r="T731" s="77" t="s">
        <v>3132</v>
      </c>
      <c r="U731" s="1893"/>
      <c r="V731" s="2079">
        <f t="shared" si="260"/>
        <v>0</v>
      </c>
      <c r="W731" s="78">
        <f t="shared" si="261"/>
        <v>99.999925999999988</v>
      </c>
      <c r="X731" s="1878" t="str">
        <f t="shared" si="259"/>
        <v>1.- R Vikrant 0620617-OT_008712  Vulcanizado (curación) 0001-011420 x corte en flanco</v>
      </c>
      <c r="Z731" s="19" t="str">
        <f>CONCATENATE(I734,J734)</f>
        <v>ReencaucheReenc. MASTERCAUCHO</v>
      </c>
    </row>
    <row r="732" spans="2:26" ht="15.2" customHeight="1">
      <c r="B732" s="37"/>
      <c r="E732" s="2898">
        <v>2</v>
      </c>
      <c r="F732" s="2297" t="s">
        <v>732</v>
      </c>
      <c r="G732" s="68" t="s">
        <v>737</v>
      </c>
      <c r="H732" s="69" t="s">
        <v>1712</v>
      </c>
      <c r="I732" s="68" t="s">
        <v>726</v>
      </c>
      <c r="J732" s="70" t="s">
        <v>727</v>
      </c>
      <c r="K732" s="71" t="s">
        <v>3130</v>
      </c>
      <c r="L732" s="72">
        <v>43241</v>
      </c>
      <c r="M732" s="73" t="s">
        <v>729</v>
      </c>
      <c r="N732" s="74">
        <v>43245</v>
      </c>
      <c r="O732" s="75">
        <f t="shared" ref="O732:O735" si="271">+N732</f>
        <v>43245</v>
      </c>
      <c r="P732" s="2765" t="s">
        <v>3131</v>
      </c>
      <c r="Q732" s="2954"/>
      <c r="R732" s="76">
        <v>279.661</v>
      </c>
      <c r="S732" s="1945" t="s">
        <v>731</v>
      </c>
      <c r="T732" s="77" t="s">
        <v>2712</v>
      </c>
      <c r="U732" s="1893"/>
      <c r="V732" s="2079">
        <f t="shared" si="260"/>
        <v>0</v>
      </c>
      <c r="W732" s="78">
        <f t="shared" si="261"/>
        <v>329.99997999999999</v>
      </c>
      <c r="X732" s="1878" t="str">
        <f t="shared" si="259"/>
        <v>2.- C Vikrant 0030111-OT_008712  Reencauche 0001-011420 MDY-220</v>
      </c>
      <c r="Z732" s="19" t="str">
        <f>CONCATENATE(I735,J735)</f>
        <v>ReencaucheReenc. MASTERCAUCHO</v>
      </c>
    </row>
    <row r="733" spans="2:26" ht="15.2" customHeight="1">
      <c r="B733" s="37"/>
      <c r="E733" s="2898">
        <v>3</v>
      </c>
      <c r="F733" s="2297" t="s">
        <v>732</v>
      </c>
      <c r="G733" s="68" t="s">
        <v>776</v>
      </c>
      <c r="H733" s="69" t="s">
        <v>961</v>
      </c>
      <c r="I733" s="68" t="s">
        <v>726</v>
      </c>
      <c r="J733" s="70" t="s">
        <v>727</v>
      </c>
      <c r="K733" s="71" t="s">
        <v>3130</v>
      </c>
      <c r="L733" s="72">
        <v>43241</v>
      </c>
      <c r="M733" s="73" t="s">
        <v>729</v>
      </c>
      <c r="N733" s="74">
        <v>43245</v>
      </c>
      <c r="O733" s="75">
        <f t="shared" si="271"/>
        <v>43245</v>
      </c>
      <c r="P733" s="2765" t="s">
        <v>3131</v>
      </c>
      <c r="Q733" s="2954"/>
      <c r="R733" s="76">
        <v>279.661</v>
      </c>
      <c r="S733" s="1945" t="s">
        <v>731</v>
      </c>
      <c r="T733" s="77" t="s">
        <v>2712</v>
      </c>
      <c r="U733" s="1893"/>
      <c r="V733" s="2079">
        <f t="shared" si="260"/>
        <v>0</v>
      </c>
      <c r="W733" s="78">
        <f t="shared" si="261"/>
        <v>329.99997999999999</v>
      </c>
      <c r="X733" s="1878" t="str">
        <f t="shared" si="259"/>
        <v>3.- C Altura 0650911-OT_008712  Reencauche 0001-011420 MDY-220</v>
      </c>
      <c r="Z733" s="19" t="str">
        <f>CONCATENATE(I736,J736)</f>
        <v>ReencaucheReenc. MASTERCAUCHO</v>
      </c>
    </row>
    <row r="734" spans="2:26" ht="15.2" customHeight="1">
      <c r="B734" s="37"/>
      <c r="E734" s="2892">
        <v>4</v>
      </c>
      <c r="F734" s="2297" t="s">
        <v>732</v>
      </c>
      <c r="G734" s="68" t="s">
        <v>737</v>
      </c>
      <c r="H734" s="69" t="s">
        <v>1669</v>
      </c>
      <c r="I734" s="68" t="s">
        <v>726</v>
      </c>
      <c r="J734" s="70" t="s">
        <v>727</v>
      </c>
      <c r="K734" s="71" t="s">
        <v>3130</v>
      </c>
      <c r="L734" s="72">
        <v>43241</v>
      </c>
      <c r="M734" s="73" t="s">
        <v>729</v>
      </c>
      <c r="N734" s="74">
        <v>43245</v>
      </c>
      <c r="O734" s="75">
        <f t="shared" si="271"/>
        <v>43245</v>
      </c>
      <c r="P734" s="2765" t="s">
        <v>3131</v>
      </c>
      <c r="Q734" s="2954"/>
      <c r="R734" s="76">
        <v>279.661</v>
      </c>
      <c r="S734" s="1945" t="s">
        <v>731</v>
      </c>
      <c r="T734" s="77" t="s">
        <v>2712</v>
      </c>
      <c r="U734" s="1893"/>
      <c r="V734" s="2079">
        <f t="shared" si="260"/>
        <v>0</v>
      </c>
      <c r="W734" s="78">
        <f t="shared" si="261"/>
        <v>329.99997999999999</v>
      </c>
      <c r="X734" s="1878" t="str">
        <f t="shared" si="259"/>
        <v>4.- C Vikrant 0240211-OT_008712  Reencauche 0001-011420 MDY-220</v>
      </c>
      <c r="Z734" s="19" t="str">
        <f>CONCATENATE(I737,J737)</f>
        <v>ReencaucheReenc. MASTERCAUCHO</v>
      </c>
    </row>
    <row r="735" spans="2:26" ht="15.2" customHeight="1">
      <c r="B735" s="37"/>
      <c r="E735" s="79">
        <v>5</v>
      </c>
      <c r="F735" s="2294" t="s">
        <v>732</v>
      </c>
      <c r="G735" s="81" t="s">
        <v>737</v>
      </c>
      <c r="H735" s="82" t="s">
        <v>999</v>
      </c>
      <c r="I735" s="81" t="s">
        <v>726</v>
      </c>
      <c r="J735" s="83" t="s">
        <v>727</v>
      </c>
      <c r="K735" s="84" t="s">
        <v>3130</v>
      </c>
      <c r="L735" s="85">
        <v>43241</v>
      </c>
      <c r="M735" s="86" t="s">
        <v>729</v>
      </c>
      <c r="N735" s="87">
        <v>43245</v>
      </c>
      <c r="O735" s="88">
        <f t="shared" si="271"/>
        <v>43245</v>
      </c>
      <c r="P735" s="2766" t="s">
        <v>3131</v>
      </c>
      <c r="Q735" s="2955"/>
      <c r="R735" s="89">
        <v>279.661</v>
      </c>
      <c r="S735" s="1946" t="s">
        <v>731</v>
      </c>
      <c r="T735" s="77" t="s">
        <v>2712</v>
      </c>
      <c r="U735" s="1893"/>
      <c r="V735" s="2079">
        <f t="shared" si="260"/>
        <v>0</v>
      </c>
      <c r="W735" s="78">
        <f t="shared" si="261"/>
        <v>329.99997999999999</v>
      </c>
      <c r="X735" s="1878" t="str">
        <f t="shared" si="259"/>
        <v>5.- C Vikrant 0851007-OT_008712  Reencauche 0001-011420 MDY-220</v>
      </c>
      <c r="Z735" s="19" t="str">
        <f t="shared" ref="Z735:Z752" si="272">CONCATENATE(I738,J738)</f>
        <v>ReencaucheReenc. MASTERCAUCHO</v>
      </c>
    </row>
    <row r="736" spans="2:26" ht="15.2" customHeight="1">
      <c r="B736" s="37"/>
      <c r="E736" s="2892">
        <v>1</v>
      </c>
      <c r="F736" s="2297" t="s">
        <v>732</v>
      </c>
      <c r="G736" s="68" t="s">
        <v>737</v>
      </c>
      <c r="H736" s="69" t="s">
        <v>1530</v>
      </c>
      <c r="I736" s="68" t="s">
        <v>726</v>
      </c>
      <c r="J736" s="70" t="s">
        <v>727</v>
      </c>
      <c r="K736" s="2305" t="s">
        <v>3127</v>
      </c>
      <c r="L736" s="72">
        <v>43235</v>
      </c>
      <c r="M736" s="2306" t="s">
        <v>729</v>
      </c>
      <c r="N736" s="74">
        <v>43239</v>
      </c>
      <c r="O736" s="75">
        <f t="shared" si="148"/>
        <v>43239</v>
      </c>
      <c r="P736" s="2765" t="s">
        <v>3128</v>
      </c>
      <c r="Q736" s="2954"/>
      <c r="R736" s="76">
        <v>279.66000000000003</v>
      </c>
      <c r="S736" s="1945" t="s">
        <v>731</v>
      </c>
      <c r="T736" s="77" t="s">
        <v>2712</v>
      </c>
      <c r="U736" s="1893"/>
      <c r="V736" s="2079">
        <f t="shared" si="260"/>
        <v>0</v>
      </c>
      <c r="W736" s="78">
        <f t="shared" si="261"/>
        <v>329.99880000000002</v>
      </c>
      <c r="X736" s="1878" t="str">
        <f t="shared" si="259"/>
        <v>1.- C Vikrant 09022010-OT_008705  Reencauche 0001-011372 MDY-220</v>
      </c>
      <c r="Z736" s="19" t="str">
        <f t="shared" si="272"/>
        <v>Remplazo Aeolus-0120612Reenc. MASTERCAUCHO</v>
      </c>
    </row>
    <row r="737" spans="2:26" ht="15.2" customHeight="1">
      <c r="B737" s="37"/>
      <c r="E737" s="2892">
        <v>2</v>
      </c>
      <c r="F737" s="2297" t="s">
        <v>732</v>
      </c>
      <c r="G737" s="68" t="s">
        <v>776</v>
      </c>
      <c r="H737" s="69" t="s">
        <v>3126</v>
      </c>
      <c r="I737" s="68" t="s">
        <v>726</v>
      </c>
      <c r="J737" s="70" t="s">
        <v>727</v>
      </c>
      <c r="K737" s="2305" t="s">
        <v>3127</v>
      </c>
      <c r="L737" s="72">
        <v>43235</v>
      </c>
      <c r="M737" s="2306" t="s">
        <v>729</v>
      </c>
      <c r="N737" s="74">
        <v>43239</v>
      </c>
      <c r="O737" s="75">
        <f t="shared" ref="O737:O738" si="273">+N737</f>
        <v>43239</v>
      </c>
      <c r="P737" s="2765" t="s">
        <v>3128</v>
      </c>
      <c r="Q737" s="2954">
        <v>150</v>
      </c>
      <c r="R737" s="76">
        <v>262.70999999999998</v>
      </c>
      <c r="S737" s="1945" t="s">
        <v>731</v>
      </c>
      <c r="T737" s="77" t="s">
        <v>2784</v>
      </c>
      <c r="U737" s="1893"/>
      <c r="V737" s="2079">
        <f t="shared" si="260"/>
        <v>177</v>
      </c>
      <c r="W737" s="78">
        <f t="shared" si="261"/>
        <v>309.99779999999998</v>
      </c>
      <c r="X737" s="1878" t="str">
        <f t="shared" si="259"/>
        <v>2.- C Altura 006309111-OT_008705  Reencauche 0001-011372 ZY-220</v>
      </c>
      <c r="Z737" s="19" t="str">
        <f t="shared" ref="Z737" si="274">CONCATENATE(I740,J740)</f>
        <v>Sacar_BandaReenc. MASTERCAUCHO</v>
      </c>
    </row>
    <row r="738" spans="2:26" ht="15.2" customHeight="1">
      <c r="B738" s="37"/>
      <c r="E738" s="2895">
        <v>3</v>
      </c>
      <c r="F738" s="2297" t="s">
        <v>723</v>
      </c>
      <c r="G738" s="68" t="s">
        <v>724</v>
      </c>
      <c r="H738" s="69" t="s">
        <v>2994</v>
      </c>
      <c r="I738" s="68" t="s">
        <v>726</v>
      </c>
      <c r="J738" s="70" t="s">
        <v>727</v>
      </c>
      <c r="K738" s="2305" t="s">
        <v>3127</v>
      </c>
      <c r="L738" s="72">
        <v>43235</v>
      </c>
      <c r="M738" s="2306" t="s">
        <v>729</v>
      </c>
      <c r="N738" s="74">
        <v>43239</v>
      </c>
      <c r="O738" s="75">
        <f t="shared" si="273"/>
        <v>43239</v>
      </c>
      <c r="P738" s="2765" t="s">
        <v>3128</v>
      </c>
      <c r="Q738" s="2954">
        <v>1.18</v>
      </c>
      <c r="R738" s="76">
        <v>279.66000000000003</v>
      </c>
      <c r="S738" s="1945" t="s">
        <v>731</v>
      </c>
      <c r="T738" s="77" t="s">
        <v>2712</v>
      </c>
      <c r="U738" s="1893"/>
      <c r="V738" s="2079">
        <f t="shared" si="260"/>
        <v>1.3923999999999999</v>
      </c>
      <c r="W738" s="78">
        <f t="shared" si="261"/>
        <v>329.99880000000002</v>
      </c>
      <c r="X738" s="1878" t="str">
        <f t="shared" ref="X738:X801" si="275">CONCATENATE(E738,".- ",F738," ",G738," ",H738,"-OT_",K738," "," ",I738," ",P738," ",T738)</f>
        <v>3.- R Aeolus 0160215-OT_008705  Reencauche 0001-011372 MDY-220</v>
      </c>
      <c r="Z738" s="19" t="str">
        <f t="shared" si="272"/>
        <v>Vulcanizado (curación)Reenc. MASTERCAUCHO</v>
      </c>
    </row>
    <row r="739" spans="2:26" ht="15.2" customHeight="1">
      <c r="B739" s="37"/>
      <c r="E739" s="2930">
        <v>4</v>
      </c>
      <c r="F739" s="2901" t="s">
        <v>723</v>
      </c>
      <c r="G739" s="2902" t="s">
        <v>3029</v>
      </c>
      <c r="H739" s="2933" t="s">
        <v>3139</v>
      </c>
      <c r="I739" s="2939" t="s">
        <v>3140</v>
      </c>
      <c r="J739" s="2904" t="s">
        <v>727</v>
      </c>
      <c r="K739" s="2905" t="s">
        <v>3127</v>
      </c>
      <c r="L739" s="2906">
        <v>43235</v>
      </c>
      <c r="M739" s="2934"/>
      <c r="N739" s="2935">
        <v>43248</v>
      </c>
      <c r="O739" s="2936">
        <f t="shared" ref="O739:O755" si="276">+N739</f>
        <v>43248</v>
      </c>
      <c r="P739" s="2937" t="s">
        <v>3141</v>
      </c>
      <c r="Q739" s="2960">
        <f>+Q737/Q738</f>
        <v>127.11864406779662</v>
      </c>
      <c r="R739" s="2938">
        <v>84.745699999999999</v>
      </c>
      <c r="S739" s="2273" t="s">
        <v>731</v>
      </c>
      <c r="T739" s="2900" t="s">
        <v>3138</v>
      </c>
      <c r="U739" s="1893"/>
      <c r="V739" s="2079">
        <f t="shared" ref="V739:V802" si="277">+Q739*(1.18)</f>
        <v>150</v>
      </c>
      <c r="W739" s="78">
        <f t="shared" ref="W739:W802" si="278">+R739*(1.18)</f>
        <v>99.999925999999988</v>
      </c>
      <c r="X739" s="1878" t="str">
        <f t="shared" si="275"/>
        <v>4.- R Triangle 8230518-OT_008705  Remplazo Aeolus-0120612 0001-011440 8230518 Triangle TR668 3215 China</v>
      </c>
      <c r="Z739" s="19" t="str">
        <f t="shared" si="272"/>
        <v>Vulcanizado (curación)Reenc. MASTERCAUCHO</v>
      </c>
    </row>
    <row r="740" spans="2:26" ht="15.2" customHeight="1">
      <c r="B740" s="37"/>
      <c r="E740" s="79">
        <v>5</v>
      </c>
      <c r="F740" s="2575" t="s">
        <v>723</v>
      </c>
      <c r="G740" s="2576" t="s">
        <v>724</v>
      </c>
      <c r="H740" s="2577" t="s">
        <v>1540</v>
      </c>
      <c r="I740" s="2576" t="s">
        <v>744</v>
      </c>
      <c r="J740" s="2578" t="s">
        <v>727</v>
      </c>
      <c r="K740" s="2940" t="s">
        <v>3127</v>
      </c>
      <c r="L740" s="2580">
        <v>43235</v>
      </c>
      <c r="M740" s="2581" t="s">
        <v>729</v>
      </c>
      <c r="N740" s="2582">
        <v>43270</v>
      </c>
      <c r="O740" s="2583">
        <f t="shared" ref="O740" si="279">+N740</f>
        <v>43270</v>
      </c>
      <c r="P740" s="2941" t="s">
        <v>3209</v>
      </c>
      <c r="Q740" s="2957"/>
      <c r="R740" s="2584">
        <v>0</v>
      </c>
      <c r="S740" s="2585" t="s">
        <v>731</v>
      </c>
      <c r="T740" s="77" t="s">
        <v>3210</v>
      </c>
      <c r="U740" s="1893"/>
      <c r="V740" s="2079">
        <f t="shared" si="277"/>
        <v>0</v>
      </c>
      <c r="W740" s="78">
        <f t="shared" si="278"/>
        <v>0</v>
      </c>
      <c r="X740" s="1878" t="str">
        <f t="shared" si="275"/>
        <v>5.- R Aeolus 0120612-OT_008705  Sacar_Banda G0001-004062 banda paso a 8230518 (triangle)</v>
      </c>
      <c r="Z740" s="19" t="str">
        <f t="shared" si="272"/>
        <v>ReencaucheReenc. MASTERCAUCHO</v>
      </c>
    </row>
    <row r="741" spans="2:26" ht="15.2" customHeight="1">
      <c r="B741" s="37"/>
      <c r="E741" s="2895">
        <v>1</v>
      </c>
      <c r="F741" s="2297" t="s">
        <v>723</v>
      </c>
      <c r="G741" s="68" t="s">
        <v>724</v>
      </c>
      <c r="H741" s="69" t="s">
        <v>1540</v>
      </c>
      <c r="I741" s="68" t="s">
        <v>811</v>
      </c>
      <c r="J741" s="70" t="s">
        <v>727</v>
      </c>
      <c r="K741" s="2305" t="s">
        <v>3122</v>
      </c>
      <c r="L741" s="72">
        <v>43222</v>
      </c>
      <c r="M741" s="2306" t="s">
        <v>729</v>
      </c>
      <c r="N741" s="74">
        <v>43224</v>
      </c>
      <c r="O741" s="75">
        <f t="shared" si="276"/>
        <v>43224</v>
      </c>
      <c r="P741" s="2765" t="s">
        <v>3123</v>
      </c>
      <c r="Q741" s="2954"/>
      <c r="R741" s="76">
        <v>84.745699999999999</v>
      </c>
      <c r="S741" s="1945" t="s">
        <v>731</v>
      </c>
      <c r="T741" s="77"/>
      <c r="U741" s="1893"/>
      <c r="V741" s="2079">
        <f t="shared" si="277"/>
        <v>0</v>
      </c>
      <c r="W741" s="78">
        <f t="shared" si="278"/>
        <v>99.999925999999988</v>
      </c>
      <c r="X741" s="1878" t="str">
        <f t="shared" si="275"/>
        <v xml:space="preserve">1.- R Aeolus 0120612-OT_008523  Vulcanizado (curación) 0001-011215 </v>
      </c>
      <c r="Z741" s="19" t="str">
        <f t="shared" si="272"/>
        <v>Vulcanizado (curación)Reenc. MASTERCAUCHO</v>
      </c>
    </row>
    <row r="742" spans="2:26" ht="15.2" customHeight="1">
      <c r="B742" s="37"/>
      <c r="E742" s="2895">
        <v>2</v>
      </c>
      <c r="F742" s="2297" t="s">
        <v>723</v>
      </c>
      <c r="G742" s="68" t="s">
        <v>737</v>
      </c>
      <c r="H742" s="69" t="s">
        <v>2924</v>
      </c>
      <c r="I742" s="68" t="s">
        <v>811</v>
      </c>
      <c r="J742" s="70" t="s">
        <v>727</v>
      </c>
      <c r="K742" s="71" t="s">
        <v>3122</v>
      </c>
      <c r="L742" s="72">
        <v>43222</v>
      </c>
      <c r="M742" s="2306" t="s">
        <v>729</v>
      </c>
      <c r="N742" s="74">
        <v>43224</v>
      </c>
      <c r="O742" s="75">
        <f t="shared" si="276"/>
        <v>43224</v>
      </c>
      <c r="P742" s="2765" t="s">
        <v>3123</v>
      </c>
      <c r="Q742" s="2954"/>
      <c r="R742" s="76">
        <v>84.745699999999999</v>
      </c>
      <c r="S742" s="1945" t="s">
        <v>731</v>
      </c>
      <c r="T742" s="77"/>
      <c r="U742" s="1893"/>
      <c r="V742" s="2079">
        <f t="shared" si="277"/>
        <v>0</v>
      </c>
      <c r="W742" s="78">
        <f t="shared" si="278"/>
        <v>99.999925999999988</v>
      </c>
      <c r="X742" s="1878" t="str">
        <f t="shared" si="275"/>
        <v xml:space="preserve">2.- R Vikrant 0230217-OT_008523  Vulcanizado (curación) 0001-011215 </v>
      </c>
      <c r="Z742" s="19" t="str">
        <f t="shared" si="272"/>
        <v>ReencaucheReencauchadora RENOVA</v>
      </c>
    </row>
    <row r="743" spans="2:26" ht="15.2" customHeight="1">
      <c r="B743" s="37"/>
      <c r="E743" s="2895">
        <v>3</v>
      </c>
      <c r="F743" s="2297" t="s">
        <v>723</v>
      </c>
      <c r="G743" s="68" t="s">
        <v>2523</v>
      </c>
      <c r="H743" s="69" t="s">
        <v>3121</v>
      </c>
      <c r="I743" s="68" t="s">
        <v>726</v>
      </c>
      <c r="J743" s="70" t="s">
        <v>727</v>
      </c>
      <c r="K743" s="71" t="s">
        <v>3122</v>
      </c>
      <c r="L743" s="72">
        <v>43222</v>
      </c>
      <c r="M743" s="2306" t="s">
        <v>729</v>
      </c>
      <c r="N743" s="74">
        <v>43224</v>
      </c>
      <c r="O743" s="75">
        <f t="shared" si="276"/>
        <v>43224</v>
      </c>
      <c r="P743" s="2765" t="s">
        <v>3124</v>
      </c>
      <c r="Q743" s="2954"/>
      <c r="R743" s="76">
        <v>0</v>
      </c>
      <c r="S743" s="1945" t="s">
        <v>731</v>
      </c>
      <c r="T743" s="77" t="s">
        <v>3110</v>
      </c>
      <c r="U743" s="1893"/>
      <c r="V743" s="2079">
        <f t="shared" si="277"/>
        <v>0</v>
      </c>
      <c r="W743" s="78">
        <f t="shared" si="278"/>
        <v>0</v>
      </c>
      <c r="X743" s="1878" t="str">
        <f t="shared" si="275"/>
        <v>3.- R KETER 8160517-OT_008523  Reencauche G0001-003881 Rechazada, falla estruct</v>
      </c>
      <c r="Z743" s="19" t="str">
        <f t="shared" si="272"/>
        <v>ReencaucheReencauchadora RENOVA</v>
      </c>
    </row>
    <row r="744" spans="2:26" ht="15.2" customHeight="1">
      <c r="B744" s="37"/>
      <c r="E744" s="79">
        <v>4</v>
      </c>
      <c r="F744" s="2294" t="s">
        <v>723</v>
      </c>
      <c r="G744" s="81" t="s">
        <v>724</v>
      </c>
      <c r="H744" s="82" t="s">
        <v>3120</v>
      </c>
      <c r="I744" s="81" t="s">
        <v>811</v>
      </c>
      <c r="J744" s="83" t="s">
        <v>727</v>
      </c>
      <c r="K744" s="84" t="s">
        <v>3122</v>
      </c>
      <c r="L744" s="85">
        <v>43222</v>
      </c>
      <c r="M744" s="2296" t="s">
        <v>729</v>
      </c>
      <c r="N744" s="87">
        <v>43224</v>
      </c>
      <c r="O744" s="88">
        <f t="shared" si="276"/>
        <v>43224</v>
      </c>
      <c r="P744" s="2766" t="s">
        <v>3124</v>
      </c>
      <c r="Q744" s="2955"/>
      <c r="R744" s="89">
        <v>0</v>
      </c>
      <c r="S744" s="1946" t="s">
        <v>731</v>
      </c>
      <c r="T744" s="77" t="s">
        <v>3110</v>
      </c>
      <c r="U744" s="1893"/>
      <c r="V744" s="2079">
        <f t="shared" si="277"/>
        <v>0</v>
      </c>
      <c r="W744" s="78">
        <f t="shared" si="278"/>
        <v>0</v>
      </c>
      <c r="X744" s="1878" t="str">
        <f t="shared" si="275"/>
        <v>4.- R Aeolus 1001216-OT_008523  Vulcanizado (curación) G0001-003881 Rechazada, falla estruct</v>
      </c>
      <c r="Z744" s="19" t="str">
        <f t="shared" si="272"/>
        <v>ReencaucheReencauchadora RENOVA</v>
      </c>
    </row>
    <row r="745" spans="2:26" ht="15.2" customHeight="1">
      <c r="B745" s="37"/>
      <c r="E745" s="2895">
        <v>1</v>
      </c>
      <c r="F745" s="2297" t="s">
        <v>723</v>
      </c>
      <c r="G745" s="68" t="s">
        <v>724</v>
      </c>
      <c r="H745" s="69" t="s">
        <v>2660</v>
      </c>
      <c r="I745" s="68" t="s">
        <v>726</v>
      </c>
      <c r="J745" s="70" t="s">
        <v>760</v>
      </c>
      <c r="K745" s="71" t="s">
        <v>3115</v>
      </c>
      <c r="L745" s="72">
        <v>43222</v>
      </c>
      <c r="M745" s="73" t="s">
        <v>729</v>
      </c>
      <c r="N745" s="74">
        <v>43229</v>
      </c>
      <c r="O745" s="75">
        <f t="shared" ref="O745:O751" si="280">+N745</f>
        <v>43229</v>
      </c>
      <c r="P745" s="2897" t="s">
        <v>3109</v>
      </c>
      <c r="Q745" s="2954">
        <v>100.9</v>
      </c>
      <c r="R745" s="76"/>
      <c r="S745" s="1945" t="s">
        <v>731</v>
      </c>
      <c r="T745" s="77" t="s">
        <v>2570</v>
      </c>
      <c r="U745" s="1893"/>
      <c r="V745" s="2079">
        <f t="shared" si="277"/>
        <v>119.062</v>
      </c>
      <c r="W745" s="78">
        <f t="shared" si="278"/>
        <v>0</v>
      </c>
      <c r="X745" s="1878" t="str">
        <f t="shared" si="275"/>
        <v>1.- R Aeolus 0030117-OT_247355  Reencauche F101-00014794 IDY3-220</v>
      </c>
      <c r="Z745" s="19" t="str">
        <f t="shared" si="272"/>
        <v>ReencaucheReencauchadora RENOVA</v>
      </c>
    </row>
    <row r="746" spans="2:26" ht="15.2" customHeight="1">
      <c r="B746" s="37"/>
      <c r="E746" s="2895">
        <v>2</v>
      </c>
      <c r="F746" s="2297" t="s">
        <v>723</v>
      </c>
      <c r="G746" s="68" t="s">
        <v>724</v>
      </c>
      <c r="H746" s="69" t="s">
        <v>1441</v>
      </c>
      <c r="I746" s="68" t="s">
        <v>726</v>
      </c>
      <c r="J746" s="70" t="s">
        <v>760</v>
      </c>
      <c r="K746" s="71" t="s">
        <v>3115</v>
      </c>
      <c r="L746" s="72">
        <v>43222</v>
      </c>
      <c r="M746" s="73" t="s">
        <v>729</v>
      </c>
      <c r="N746" s="74">
        <v>43229</v>
      </c>
      <c r="O746" s="75">
        <f t="shared" si="280"/>
        <v>43229</v>
      </c>
      <c r="P746" s="2897" t="s">
        <v>3109</v>
      </c>
      <c r="Q746" s="2954">
        <v>100.9</v>
      </c>
      <c r="R746" s="76"/>
      <c r="S746" s="1945" t="s">
        <v>731</v>
      </c>
      <c r="T746" s="77" t="s">
        <v>2570</v>
      </c>
      <c r="U746" s="1893"/>
      <c r="V746" s="2079">
        <f t="shared" si="277"/>
        <v>119.062</v>
      </c>
      <c r="W746" s="78">
        <f t="shared" si="278"/>
        <v>0</v>
      </c>
      <c r="X746" s="1878" t="str">
        <f t="shared" si="275"/>
        <v>2.- R Aeolus 0080114-OT_247355  Reencauche F101-00014794 IDY3-220</v>
      </c>
      <c r="Z746" s="19" t="str">
        <f t="shared" si="272"/>
        <v>ReencaucheReencauchadora RENOVA</v>
      </c>
    </row>
    <row r="747" spans="2:26" ht="15.2" customHeight="1">
      <c r="B747" s="37"/>
      <c r="E747" s="2895">
        <v>3</v>
      </c>
      <c r="F747" s="2297" t="s">
        <v>723</v>
      </c>
      <c r="G747" s="68" t="s">
        <v>724</v>
      </c>
      <c r="H747" s="69" t="s">
        <v>1456</v>
      </c>
      <c r="I747" s="68" t="s">
        <v>726</v>
      </c>
      <c r="J747" s="70" t="s">
        <v>760</v>
      </c>
      <c r="K747" s="71" t="s">
        <v>3115</v>
      </c>
      <c r="L747" s="72">
        <v>43222</v>
      </c>
      <c r="M747" s="73" t="s">
        <v>729</v>
      </c>
      <c r="N747" s="74">
        <v>43229</v>
      </c>
      <c r="O747" s="75">
        <f t="shared" si="280"/>
        <v>43229</v>
      </c>
      <c r="P747" s="2897" t="s">
        <v>3109</v>
      </c>
      <c r="Q747" s="2954">
        <v>100.9</v>
      </c>
      <c r="R747" s="76"/>
      <c r="S747" s="1945" t="s">
        <v>731</v>
      </c>
      <c r="T747" s="77" t="s">
        <v>2570</v>
      </c>
      <c r="U747" s="1893"/>
      <c r="V747" s="2079">
        <f t="shared" si="277"/>
        <v>119.062</v>
      </c>
      <c r="W747" s="78">
        <f t="shared" si="278"/>
        <v>0</v>
      </c>
      <c r="X747" s="1878" t="str">
        <f t="shared" si="275"/>
        <v>3.- R Aeolus 0090612-OT_247355  Reencauche F101-00014794 IDY3-220</v>
      </c>
      <c r="Z747" s="19" t="str">
        <f t="shared" si="272"/>
        <v>ReencaucheReencauchadora RENOVA</v>
      </c>
    </row>
    <row r="748" spans="2:26" ht="15.2" customHeight="1">
      <c r="B748" s="37"/>
      <c r="E748" s="2895">
        <v>4</v>
      </c>
      <c r="F748" s="2297" t="s">
        <v>723</v>
      </c>
      <c r="G748" s="68" t="s">
        <v>724</v>
      </c>
      <c r="H748" s="69" t="s">
        <v>3111</v>
      </c>
      <c r="I748" s="68" t="s">
        <v>726</v>
      </c>
      <c r="J748" s="70" t="s">
        <v>760</v>
      </c>
      <c r="K748" s="71" t="s">
        <v>3115</v>
      </c>
      <c r="L748" s="72">
        <v>43222</v>
      </c>
      <c r="M748" s="73" t="s">
        <v>729</v>
      </c>
      <c r="N748" s="74">
        <v>43229</v>
      </c>
      <c r="O748" s="75">
        <f t="shared" si="280"/>
        <v>43229</v>
      </c>
      <c r="P748" s="2897" t="s">
        <v>3109</v>
      </c>
      <c r="Q748" s="2954">
        <v>100.9</v>
      </c>
      <c r="R748" s="76"/>
      <c r="S748" s="1945" t="s">
        <v>731</v>
      </c>
      <c r="T748" s="77" t="s">
        <v>2570</v>
      </c>
      <c r="U748" s="1893"/>
      <c r="V748" s="2079">
        <f t="shared" si="277"/>
        <v>119.062</v>
      </c>
      <c r="W748" s="78">
        <f t="shared" si="278"/>
        <v>0</v>
      </c>
      <c r="X748" s="1878" t="str">
        <f t="shared" si="275"/>
        <v>4.- R Aeolus 0481214-OT_247355  Reencauche F101-00014794 IDY3-220</v>
      </c>
      <c r="Z748" s="19" t="str">
        <f t="shared" si="272"/>
        <v>ReencaucheReencauchadora RENOVA</v>
      </c>
    </row>
    <row r="749" spans="2:26" ht="15.2" customHeight="1">
      <c r="B749" s="37"/>
      <c r="E749" s="2895">
        <v>5</v>
      </c>
      <c r="F749" s="2297" t="s">
        <v>723</v>
      </c>
      <c r="G749" s="68" t="s">
        <v>724</v>
      </c>
      <c r="H749" s="69" t="s">
        <v>3112</v>
      </c>
      <c r="I749" s="68" t="s">
        <v>726</v>
      </c>
      <c r="J749" s="70" t="s">
        <v>760</v>
      </c>
      <c r="K749" s="71" t="s">
        <v>3115</v>
      </c>
      <c r="L749" s="72">
        <v>43222</v>
      </c>
      <c r="M749" s="73" t="s">
        <v>729</v>
      </c>
      <c r="N749" s="74">
        <v>43229</v>
      </c>
      <c r="O749" s="75">
        <f t="shared" si="280"/>
        <v>43229</v>
      </c>
      <c r="P749" s="2897" t="s">
        <v>3109</v>
      </c>
      <c r="Q749" s="2954">
        <v>100.9</v>
      </c>
      <c r="R749" s="76"/>
      <c r="S749" s="1945" t="s">
        <v>731</v>
      </c>
      <c r="T749" s="77" t="s">
        <v>2570</v>
      </c>
      <c r="U749" s="1893"/>
      <c r="V749" s="2079">
        <f t="shared" si="277"/>
        <v>119.062</v>
      </c>
      <c r="W749" s="78">
        <f t="shared" si="278"/>
        <v>0</v>
      </c>
      <c r="X749" s="1878" t="str">
        <f t="shared" si="275"/>
        <v>5.- R Aeolus 0100115-OT_247355  Reencauche F101-00014794 IDY3-220</v>
      </c>
      <c r="Z749" s="19" t="str">
        <f t="shared" si="272"/>
        <v>ReencaucheReencauchadora RENOVA</v>
      </c>
    </row>
    <row r="750" spans="2:26" ht="15.2" customHeight="1">
      <c r="B750" s="37"/>
      <c r="E750" s="2895">
        <v>6</v>
      </c>
      <c r="F750" s="2297" t="s">
        <v>723</v>
      </c>
      <c r="G750" s="68" t="s">
        <v>724</v>
      </c>
      <c r="H750" s="69" t="s">
        <v>3113</v>
      </c>
      <c r="I750" s="68" t="s">
        <v>726</v>
      </c>
      <c r="J750" s="70" t="s">
        <v>760</v>
      </c>
      <c r="K750" s="71" t="s">
        <v>3115</v>
      </c>
      <c r="L750" s="72">
        <v>43222</v>
      </c>
      <c r="M750" s="73" t="s">
        <v>729</v>
      </c>
      <c r="N750" s="74">
        <v>43229</v>
      </c>
      <c r="O750" s="75">
        <f t="shared" si="280"/>
        <v>43229</v>
      </c>
      <c r="P750" s="2897" t="s">
        <v>3109</v>
      </c>
      <c r="Q750" s="2954">
        <v>100.9</v>
      </c>
      <c r="R750" s="76"/>
      <c r="S750" s="1945" t="s">
        <v>731</v>
      </c>
      <c r="T750" s="77" t="s">
        <v>2570</v>
      </c>
      <c r="U750" s="1893"/>
      <c r="V750" s="2079">
        <f t="shared" si="277"/>
        <v>119.062</v>
      </c>
      <c r="W750" s="78">
        <f t="shared" si="278"/>
        <v>0</v>
      </c>
      <c r="X750" s="1878" t="str">
        <f t="shared" si="275"/>
        <v>6.- R Aeolus 0030115-OT_247355  Reencauche F101-00014794 IDY3-220</v>
      </c>
      <c r="Z750" s="19" t="str">
        <f t="shared" si="272"/>
        <v>ReencaucheReencauchadora RENOVA</v>
      </c>
    </row>
    <row r="751" spans="2:26" ht="15.2" customHeight="1">
      <c r="B751" s="37"/>
      <c r="E751" s="2895">
        <v>7</v>
      </c>
      <c r="F751" s="2297" t="s">
        <v>723</v>
      </c>
      <c r="G751" s="68" t="s">
        <v>724</v>
      </c>
      <c r="H751" s="69" t="s">
        <v>2722</v>
      </c>
      <c r="I751" s="68" t="s">
        <v>726</v>
      </c>
      <c r="J751" s="70" t="s">
        <v>760</v>
      </c>
      <c r="K751" s="71" t="s">
        <v>3115</v>
      </c>
      <c r="L751" s="72">
        <v>43222</v>
      </c>
      <c r="M751" s="73" t="s">
        <v>729</v>
      </c>
      <c r="N751" s="74">
        <v>43229</v>
      </c>
      <c r="O751" s="75">
        <f t="shared" si="280"/>
        <v>43229</v>
      </c>
      <c r="P751" s="2897" t="s">
        <v>3109</v>
      </c>
      <c r="Q751" s="2954">
        <v>100.9</v>
      </c>
      <c r="R751" s="76"/>
      <c r="S751" s="1945" t="s">
        <v>731</v>
      </c>
      <c r="T751" s="77" t="s">
        <v>2570</v>
      </c>
      <c r="U751" s="1893"/>
      <c r="V751" s="2079">
        <f t="shared" si="277"/>
        <v>119.062</v>
      </c>
      <c r="W751" s="78">
        <f t="shared" si="278"/>
        <v>0</v>
      </c>
      <c r="X751" s="1878" t="str">
        <f t="shared" si="275"/>
        <v>7.- R Aeolus 0190215-OT_247355  Reencauche F101-00014794 IDY3-220</v>
      </c>
      <c r="Z751" s="19" t="str">
        <f t="shared" si="272"/>
        <v>ReencaucheReencauchadora RENOVA</v>
      </c>
    </row>
    <row r="752" spans="2:26" ht="15.2" customHeight="1">
      <c r="B752" s="37"/>
      <c r="E752" s="2895">
        <v>8</v>
      </c>
      <c r="F752" s="2297" t="s">
        <v>723</v>
      </c>
      <c r="G752" s="68" t="s">
        <v>151</v>
      </c>
      <c r="H752" s="69" t="s">
        <v>3114</v>
      </c>
      <c r="I752" s="68" t="s">
        <v>726</v>
      </c>
      <c r="J752" s="70" t="s">
        <v>760</v>
      </c>
      <c r="K752" s="2305" t="s">
        <v>3115</v>
      </c>
      <c r="L752" s="72">
        <v>43222</v>
      </c>
      <c r="M752" s="2306" t="s">
        <v>729</v>
      </c>
      <c r="N752" s="74">
        <v>43229</v>
      </c>
      <c r="O752" s="75">
        <f t="shared" si="276"/>
        <v>43229</v>
      </c>
      <c r="P752" s="2897" t="s">
        <v>3109</v>
      </c>
      <c r="Q752" s="2954">
        <v>100.9</v>
      </c>
      <c r="R752" s="76"/>
      <c r="S752" s="1945" t="s">
        <v>731</v>
      </c>
      <c r="T752" s="77" t="s">
        <v>2570</v>
      </c>
      <c r="U752" s="1893"/>
      <c r="V752" s="2079">
        <f t="shared" si="277"/>
        <v>119.062</v>
      </c>
      <c r="W752" s="78">
        <f t="shared" si="278"/>
        <v>0</v>
      </c>
      <c r="X752" s="1878" t="str">
        <f t="shared" si="275"/>
        <v>8.- R WindPower 0701015-OT_247355  Reencauche F101-00014794 IDY3-220</v>
      </c>
      <c r="Z752" s="19" t="str">
        <f t="shared" si="272"/>
        <v>ReencaucheReencauchadora RENOVA</v>
      </c>
    </row>
    <row r="753" spans="2:26" ht="15.2" customHeight="1">
      <c r="B753" s="37"/>
      <c r="E753" s="2895">
        <v>9</v>
      </c>
      <c r="F753" s="2297" t="s">
        <v>723</v>
      </c>
      <c r="G753" s="68" t="s">
        <v>724</v>
      </c>
      <c r="H753" s="69" t="s">
        <v>3119</v>
      </c>
      <c r="I753" s="68" t="s">
        <v>726</v>
      </c>
      <c r="J753" s="70" t="s">
        <v>760</v>
      </c>
      <c r="K753" s="2305" t="s">
        <v>3116</v>
      </c>
      <c r="L753" s="72">
        <v>43223</v>
      </c>
      <c r="M753" s="73" t="s">
        <v>729</v>
      </c>
      <c r="N753" s="74">
        <v>43229</v>
      </c>
      <c r="O753" s="75">
        <f t="shared" ref="O753" si="281">+N753</f>
        <v>43229</v>
      </c>
      <c r="P753" s="2897" t="s">
        <v>3109</v>
      </c>
      <c r="Q753" s="2954">
        <v>100.9</v>
      </c>
      <c r="R753" s="76"/>
      <c r="S753" s="1945" t="s">
        <v>731</v>
      </c>
      <c r="T753" s="77" t="s">
        <v>2570</v>
      </c>
      <c r="U753" s="1893"/>
      <c r="V753" s="2079">
        <f t="shared" si="277"/>
        <v>119.062</v>
      </c>
      <c r="W753" s="78">
        <f t="shared" si="278"/>
        <v>0</v>
      </c>
      <c r="X753" s="1878" t="str">
        <f t="shared" si="275"/>
        <v>9.- R Aeolus 0180215-OT_247359  Reencauche F101-00014794 IDY3-220</v>
      </c>
      <c r="Z753" s="19" t="str">
        <f t="shared" ref="Z753:Z762" si="282">CONCATENATE(I756,J756)</f>
        <v>ReencaucheReencauchadora RENOVA</v>
      </c>
    </row>
    <row r="754" spans="2:26" ht="15.2" customHeight="1">
      <c r="B754" s="37"/>
      <c r="E754" s="79">
        <v>10</v>
      </c>
      <c r="F754" s="2294" t="s">
        <v>723</v>
      </c>
      <c r="G754" s="81" t="s">
        <v>724</v>
      </c>
      <c r="H754" s="82" t="s">
        <v>2994</v>
      </c>
      <c r="I754" s="81" t="s">
        <v>726</v>
      </c>
      <c r="J754" s="83" t="s">
        <v>760</v>
      </c>
      <c r="K754" s="2295" t="s">
        <v>3116</v>
      </c>
      <c r="L754" s="85">
        <v>43223</v>
      </c>
      <c r="M754" s="86" t="s">
        <v>729</v>
      </c>
      <c r="N754" s="87">
        <v>43229</v>
      </c>
      <c r="O754" s="88">
        <f t="shared" si="276"/>
        <v>43229</v>
      </c>
      <c r="P754" s="2766" t="s">
        <v>3117</v>
      </c>
      <c r="Q754" s="2955"/>
      <c r="R754" s="89">
        <v>0</v>
      </c>
      <c r="S754" s="1946" t="s">
        <v>731</v>
      </c>
      <c r="T754" s="77" t="s">
        <v>3110</v>
      </c>
      <c r="U754" s="1893"/>
      <c r="V754" s="2079">
        <f t="shared" si="277"/>
        <v>0</v>
      </c>
      <c r="W754" s="78">
        <f t="shared" si="278"/>
        <v>0</v>
      </c>
      <c r="X754" s="1878" t="str">
        <f t="shared" si="275"/>
        <v>10.- R Aeolus 0160215-OT_247359  Reencauche G030-0072915 Rechazada, falla estruct</v>
      </c>
      <c r="Z754" s="19" t="str">
        <f t="shared" si="282"/>
        <v>ReencaucheReencauchadora RENOVA</v>
      </c>
    </row>
    <row r="755" spans="2:26" ht="15.2" customHeight="1">
      <c r="B755" s="37"/>
      <c r="E755" s="2895">
        <v>1</v>
      </c>
      <c r="F755" s="2297" t="s">
        <v>732</v>
      </c>
      <c r="G755" s="68" t="s">
        <v>733</v>
      </c>
      <c r="H755" s="300" t="s">
        <v>1581</v>
      </c>
      <c r="I755" s="68" t="s">
        <v>726</v>
      </c>
      <c r="J755" s="70" t="s">
        <v>760</v>
      </c>
      <c r="K755" s="2305" t="s">
        <v>3105</v>
      </c>
      <c r="L755" s="72">
        <v>43215</v>
      </c>
      <c r="M755" s="2306" t="s">
        <v>729</v>
      </c>
      <c r="N755" s="74">
        <v>43223</v>
      </c>
      <c r="O755" s="75">
        <f t="shared" si="276"/>
        <v>43223</v>
      </c>
      <c r="P755" s="2765" t="s">
        <v>3106</v>
      </c>
      <c r="Q755" s="2954">
        <v>90.26</v>
      </c>
      <c r="R755" s="76"/>
      <c r="S755" s="1945" t="s">
        <v>731</v>
      </c>
      <c r="T755" s="77" t="s">
        <v>3098</v>
      </c>
      <c r="U755" s="1893"/>
      <c r="V755" s="2079">
        <f t="shared" si="277"/>
        <v>106.5068</v>
      </c>
      <c r="W755" s="78">
        <f t="shared" si="278"/>
        <v>0</v>
      </c>
      <c r="X755" s="1878" t="str">
        <f t="shared" si="275"/>
        <v>1.- C Lima Caucho 0700810-OT_246596  Reencauche F101-00014717 IZB-220</v>
      </c>
      <c r="Z755" s="19" t="str">
        <f t="shared" si="282"/>
        <v>ReencaucheReencauchadora RENOVA</v>
      </c>
    </row>
    <row r="756" spans="2:26" ht="15.2" customHeight="1">
      <c r="B756" s="37"/>
      <c r="E756" s="2892">
        <v>2</v>
      </c>
      <c r="F756" s="2297" t="s">
        <v>732</v>
      </c>
      <c r="G756" s="68" t="s">
        <v>737</v>
      </c>
      <c r="H756" s="300" t="s">
        <v>998</v>
      </c>
      <c r="I756" s="68" t="s">
        <v>726</v>
      </c>
      <c r="J756" s="70" t="s">
        <v>760</v>
      </c>
      <c r="K756" s="71" t="s">
        <v>3105</v>
      </c>
      <c r="L756" s="72">
        <v>43215</v>
      </c>
      <c r="M756" s="2306" t="s">
        <v>729</v>
      </c>
      <c r="N756" s="74">
        <v>43223</v>
      </c>
      <c r="O756" s="75">
        <f t="shared" ref="O756:O758" si="283">+N756</f>
        <v>43223</v>
      </c>
      <c r="P756" s="2765" t="s">
        <v>3106</v>
      </c>
      <c r="Q756" s="2954">
        <v>85.79</v>
      </c>
      <c r="R756" s="76"/>
      <c r="S756" s="1945" t="s">
        <v>731</v>
      </c>
      <c r="T756" s="77" t="s">
        <v>2566</v>
      </c>
      <c r="U756" s="1893"/>
      <c r="V756" s="2079">
        <f t="shared" si="277"/>
        <v>101.23220000000001</v>
      </c>
      <c r="W756" s="78">
        <f t="shared" si="278"/>
        <v>0</v>
      </c>
      <c r="X756" s="1878" t="str">
        <f t="shared" si="275"/>
        <v>2.- C Vikrant 0090111-OT_246596  Reencauche F101-00014717 IZB-210</v>
      </c>
      <c r="Z756" s="19" t="str">
        <f t="shared" si="282"/>
        <v>ReencaucheReencauchadora RENOVA</v>
      </c>
    </row>
    <row r="757" spans="2:26" ht="15.2" customHeight="1">
      <c r="B757" s="37"/>
      <c r="E757" s="2892">
        <v>3</v>
      </c>
      <c r="F757" s="2297" t="s">
        <v>732</v>
      </c>
      <c r="G757" s="68" t="s">
        <v>733</v>
      </c>
      <c r="H757" s="300" t="s">
        <v>3103</v>
      </c>
      <c r="I757" s="68" t="s">
        <v>726</v>
      </c>
      <c r="J757" s="70" t="s">
        <v>760</v>
      </c>
      <c r="K757" s="71" t="s">
        <v>3105</v>
      </c>
      <c r="L757" s="72">
        <v>43215</v>
      </c>
      <c r="M757" s="2306" t="s">
        <v>729</v>
      </c>
      <c r="N757" s="74">
        <v>43223</v>
      </c>
      <c r="O757" s="75">
        <f t="shared" si="283"/>
        <v>43223</v>
      </c>
      <c r="P757" s="2765" t="s">
        <v>3106</v>
      </c>
      <c r="Q757" s="2954">
        <v>94.98</v>
      </c>
      <c r="R757" s="76"/>
      <c r="S757" s="1945" t="s">
        <v>731</v>
      </c>
      <c r="T757" s="77" t="s">
        <v>3107</v>
      </c>
      <c r="U757" s="1893"/>
      <c r="V757" s="2079">
        <f t="shared" si="277"/>
        <v>112.07639999999999</v>
      </c>
      <c r="W757" s="78">
        <f t="shared" si="278"/>
        <v>0</v>
      </c>
      <c r="X757" s="1878" t="str">
        <f t="shared" si="275"/>
        <v>3.- C Lima Caucho 0461112-OT_246596  Reencauche F101-00014717 IZB-235</v>
      </c>
      <c r="Z757" s="19" t="str">
        <f t="shared" si="282"/>
        <v>ReencaucheReencauchadora RENOVA</v>
      </c>
    </row>
    <row r="758" spans="2:26" ht="15.2" customHeight="1">
      <c r="B758" s="37"/>
      <c r="E758" s="2892">
        <v>4</v>
      </c>
      <c r="F758" s="2297" t="s">
        <v>732</v>
      </c>
      <c r="G758" s="68" t="s">
        <v>733</v>
      </c>
      <c r="H758" s="300" t="s">
        <v>3104</v>
      </c>
      <c r="I758" s="68" t="s">
        <v>726</v>
      </c>
      <c r="J758" s="70" t="s">
        <v>760</v>
      </c>
      <c r="K758" s="71" t="s">
        <v>3105</v>
      </c>
      <c r="L758" s="72">
        <v>43215</v>
      </c>
      <c r="M758" s="2306" t="s">
        <v>729</v>
      </c>
      <c r="N758" s="74">
        <v>43223</v>
      </c>
      <c r="O758" s="75">
        <f t="shared" si="283"/>
        <v>43223</v>
      </c>
      <c r="P758" s="2765" t="s">
        <v>3106</v>
      </c>
      <c r="Q758" s="2954">
        <v>94.98</v>
      </c>
      <c r="R758" s="76"/>
      <c r="S758" s="1945" t="s">
        <v>731</v>
      </c>
      <c r="T758" s="77" t="s">
        <v>3107</v>
      </c>
      <c r="U758" s="1893"/>
      <c r="V758" s="2079">
        <f t="shared" si="277"/>
        <v>112.07639999999999</v>
      </c>
      <c r="W758" s="78">
        <f t="shared" si="278"/>
        <v>0</v>
      </c>
      <c r="X758" s="1878" t="str">
        <f t="shared" si="275"/>
        <v>4.- C Lima Caucho 0080113-OT_246596  Reencauche F101-00014717 IZB-235</v>
      </c>
      <c r="Z758" s="19" t="str">
        <f t="shared" si="282"/>
        <v>ReencaucheReenc. MASTERCAUCHO</v>
      </c>
    </row>
    <row r="759" spans="2:26" ht="15.2" customHeight="1">
      <c r="B759" s="37"/>
      <c r="E759" s="2892">
        <v>5</v>
      </c>
      <c r="F759" s="2297" t="s">
        <v>732</v>
      </c>
      <c r="G759" s="68" t="s">
        <v>737</v>
      </c>
      <c r="H759" s="300" t="s">
        <v>1046</v>
      </c>
      <c r="I759" s="68" t="s">
        <v>726</v>
      </c>
      <c r="J759" s="70" t="s">
        <v>760</v>
      </c>
      <c r="K759" s="71" t="s">
        <v>3105</v>
      </c>
      <c r="L759" s="72">
        <v>43215</v>
      </c>
      <c r="M759" s="73" t="s">
        <v>729</v>
      </c>
      <c r="N759" s="74">
        <v>43229</v>
      </c>
      <c r="O759" s="75">
        <f t="shared" si="148"/>
        <v>43229</v>
      </c>
      <c r="P759" s="2897" t="s">
        <v>3109</v>
      </c>
      <c r="Q759" s="2954">
        <v>90.26</v>
      </c>
      <c r="R759" s="76"/>
      <c r="S759" s="1945" t="s">
        <v>731</v>
      </c>
      <c r="T759" s="77" t="s">
        <v>3098</v>
      </c>
      <c r="U759" s="1893"/>
      <c r="V759" s="2079">
        <f t="shared" si="277"/>
        <v>106.5068</v>
      </c>
      <c r="W759" s="78">
        <f t="shared" si="278"/>
        <v>0</v>
      </c>
      <c r="X759" s="1878" t="str">
        <f t="shared" si="275"/>
        <v>5.- C Vikrant 0220712-OT_246596  Reencauche F101-00014794 IZB-220</v>
      </c>
      <c r="Z759" s="19" t="str">
        <f t="shared" si="282"/>
        <v>ReencaucheReenc. MASTERCAUCHO</v>
      </c>
    </row>
    <row r="760" spans="2:26" ht="15.2" customHeight="1">
      <c r="B760" s="37"/>
      <c r="E760" s="79">
        <v>6</v>
      </c>
      <c r="F760" s="2294" t="s">
        <v>732</v>
      </c>
      <c r="G760" s="81" t="s">
        <v>776</v>
      </c>
      <c r="H760" s="604" t="s">
        <v>1201</v>
      </c>
      <c r="I760" s="81" t="s">
        <v>726</v>
      </c>
      <c r="J760" s="83" t="s">
        <v>760</v>
      </c>
      <c r="K760" s="84" t="s">
        <v>3105</v>
      </c>
      <c r="L760" s="85">
        <v>43215</v>
      </c>
      <c r="M760" s="86" t="s">
        <v>729</v>
      </c>
      <c r="N760" s="87">
        <v>43223</v>
      </c>
      <c r="O760" s="88">
        <f t="shared" si="148"/>
        <v>43223</v>
      </c>
      <c r="P760" s="2766" t="s">
        <v>3108</v>
      </c>
      <c r="Q760" s="2955"/>
      <c r="R760" s="89">
        <v>0</v>
      </c>
      <c r="S760" s="1946" t="s">
        <v>731</v>
      </c>
      <c r="T760" s="77" t="s">
        <v>3118</v>
      </c>
      <c r="U760" s="1893"/>
      <c r="V760" s="2079">
        <f t="shared" si="277"/>
        <v>0</v>
      </c>
      <c r="W760" s="78">
        <f t="shared" si="278"/>
        <v>0</v>
      </c>
      <c r="X760" s="1878" t="str">
        <f t="shared" si="275"/>
        <v>6.- C Altura 0630911-OT_246596  Reencauche G030-0072784 Rechazada, fatiga/envejecimt</v>
      </c>
      <c r="Z760" s="19" t="str">
        <f t="shared" si="282"/>
        <v>ReencaucheReenc. MASTERCAUCHO</v>
      </c>
    </row>
    <row r="761" spans="2:26" ht="15.2" customHeight="1">
      <c r="B761" s="37"/>
      <c r="E761" s="2892">
        <v>1</v>
      </c>
      <c r="F761" s="2297" t="s">
        <v>732</v>
      </c>
      <c r="G761" s="68" t="s">
        <v>737</v>
      </c>
      <c r="H761" s="69" t="s">
        <v>1474</v>
      </c>
      <c r="I761" s="68" t="s">
        <v>726</v>
      </c>
      <c r="J761" s="70" t="s">
        <v>727</v>
      </c>
      <c r="K761" s="2305" t="s">
        <v>3085</v>
      </c>
      <c r="L761" s="72">
        <v>43215</v>
      </c>
      <c r="M761" s="2306" t="s">
        <v>729</v>
      </c>
      <c r="N761" s="74">
        <v>43220</v>
      </c>
      <c r="O761" s="75">
        <f t="shared" si="148"/>
        <v>43220</v>
      </c>
      <c r="P761" s="2765" t="s">
        <v>3087</v>
      </c>
      <c r="Q761" s="2954"/>
      <c r="R761" s="76">
        <v>279.66000000000003</v>
      </c>
      <c r="S761" s="1945" t="s">
        <v>731</v>
      </c>
      <c r="T761" s="77"/>
      <c r="U761" s="1893"/>
      <c r="V761" s="2079">
        <f t="shared" si="277"/>
        <v>0</v>
      </c>
      <c r="W761" s="78">
        <f t="shared" si="278"/>
        <v>329.99880000000002</v>
      </c>
      <c r="X761" s="1878" t="str">
        <f t="shared" si="275"/>
        <v xml:space="preserve">1.- C Vikrant 0110111-OT_008512  Reencauche 0001-011170 </v>
      </c>
      <c r="Z761" s="19" t="str">
        <f t="shared" si="282"/>
        <v>ReencaucheReenc. MASTERCAUCHO</v>
      </c>
    </row>
    <row r="762" spans="2:26" ht="15.2" customHeight="1">
      <c r="B762" s="37"/>
      <c r="E762" s="2892">
        <v>2</v>
      </c>
      <c r="F762" s="2297" t="s">
        <v>732</v>
      </c>
      <c r="G762" s="68" t="s">
        <v>733</v>
      </c>
      <c r="H762" s="69" t="s">
        <v>1661</v>
      </c>
      <c r="I762" s="68" t="s">
        <v>726</v>
      </c>
      <c r="J762" s="70" t="s">
        <v>727</v>
      </c>
      <c r="K762" s="71" t="s">
        <v>3085</v>
      </c>
      <c r="L762" s="72">
        <v>43215</v>
      </c>
      <c r="M762" s="73" t="s">
        <v>729</v>
      </c>
      <c r="N762" s="74">
        <v>43220</v>
      </c>
      <c r="O762" s="75">
        <f t="shared" si="148"/>
        <v>43220</v>
      </c>
      <c r="P762" s="2765" t="s">
        <v>3087</v>
      </c>
      <c r="Q762" s="2961"/>
      <c r="R762" s="76">
        <v>279.66000000000003</v>
      </c>
      <c r="S762" s="1945" t="s">
        <v>731</v>
      </c>
      <c r="T762" s="77"/>
      <c r="U762" s="1893"/>
      <c r="V762" s="2079">
        <f t="shared" si="277"/>
        <v>0</v>
      </c>
      <c r="W762" s="78">
        <f t="shared" si="278"/>
        <v>329.99880000000002</v>
      </c>
      <c r="X762" s="1878" t="str">
        <f t="shared" si="275"/>
        <v xml:space="preserve">2.- C Lima Caucho 0730910-OT_008512  Reencauche 0001-011170 </v>
      </c>
      <c r="Z762" s="19" t="str">
        <f t="shared" si="282"/>
        <v>Casc 2a trnsplReenc. MASTERCAUCHO</v>
      </c>
    </row>
    <row r="763" spans="2:26" ht="15.2" customHeight="1">
      <c r="B763" s="37"/>
      <c r="E763" s="2892">
        <v>3</v>
      </c>
      <c r="F763" s="2297" t="s">
        <v>732</v>
      </c>
      <c r="G763" s="68" t="s">
        <v>737</v>
      </c>
      <c r="H763" s="69" t="s">
        <v>1279</v>
      </c>
      <c r="I763" s="68" t="s">
        <v>726</v>
      </c>
      <c r="J763" s="70" t="s">
        <v>727</v>
      </c>
      <c r="K763" s="71" t="s">
        <v>3085</v>
      </c>
      <c r="L763" s="72">
        <v>43215</v>
      </c>
      <c r="M763" s="73" t="s">
        <v>729</v>
      </c>
      <c r="N763" s="74">
        <v>43220</v>
      </c>
      <c r="O763" s="75">
        <f t="shared" si="148"/>
        <v>43220</v>
      </c>
      <c r="P763" s="2765" t="s">
        <v>3087</v>
      </c>
      <c r="Q763" s="2954"/>
      <c r="R763" s="76">
        <v>279.66000000000003</v>
      </c>
      <c r="S763" s="1945" t="s">
        <v>731</v>
      </c>
      <c r="T763" s="77"/>
      <c r="U763" s="1893"/>
      <c r="V763" s="2079">
        <f t="shared" si="277"/>
        <v>0</v>
      </c>
      <c r="W763" s="78">
        <f t="shared" si="278"/>
        <v>329.99880000000002</v>
      </c>
      <c r="X763" s="1878" t="str">
        <f t="shared" si="275"/>
        <v xml:space="preserve">3.- C Vikrant 0190111-OT_008512  Reencauche 0001-011170 </v>
      </c>
      <c r="Z763" s="19" t="str">
        <f t="shared" ref="Z763:Z780" si="284">CONCATENATE(I766,J766)</f>
        <v>Sacar_BandaReenc. MASTERCAUCHO</v>
      </c>
    </row>
    <row r="764" spans="2:26" ht="15.2" customHeight="1">
      <c r="B764" s="37"/>
      <c r="E764" s="2892">
        <v>4</v>
      </c>
      <c r="F764" s="2297" t="s">
        <v>732</v>
      </c>
      <c r="G764" s="68" t="s">
        <v>737</v>
      </c>
      <c r="H764" s="69" t="s">
        <v>1068</v>
      </c>
      <c r="I764" s="68" t="s">
        <v>726</v>
      </c>
      <c r="J764" s="70" t="s">
        <v>727</v>
      </c>
      <c r="K764" s="71" t="s">
        <v>3085</v>
      </c>
      <c r="L764" s="72">
        <v>43215</v>
      </c>
      <c r="M764" s="73" t="s">
        <v>729</v>
      </c>
      <c r="N764" s="74">
        <v>43220</v>
      </c>
      <c r="O764" s="75">
        <f t="shared" si="148"/>
        <v>43220</v>
      </c>
      <c r="P764" s="2765" t="s">
        <v>3087</v>
      </c>
      <c r="Q764" s="2954"/>
      <c r="R764" s="76">
        <v>279.66000000000003</v>
      </c>
      <c r="S764" s="1945" t="s">
        <v>731</v>
      </c>
      <c r="T764" s="77"/>
      <c r="U764" s="1893"/>
      <c r="V764" s="2079">
        <f t="shared" si="277"/>
        <v>0</v>
      </c>
      <c r="W764" s="78">
        <f t="shared" si="278"/>
        <v>329.99880000000002</v>
      </c>
      <c r="X764" s="1878" t="str">
        <f t="shared" si="275"/>
        <v xml:space="preserve">4.- C Vikrant 010022010-OT_008512  Reencauche 0001-011170 </v>
      </c>
      <c r="Z764" s="19" t="str">
        <f>CONCATENATE(I767,J767)</f>
        <v>ReencaucheReencauchadora RENOVA</v>
      </c>
    </row>
    <row r="765" spans="2:26" ht="15.2" customHeight="1">
      <c r="B765" s="37"/>
      <c r="E765" s="2697">
        <v>5</v>
      </c>
      <c r="F765" s="2297" t="s">
        <v>732</v>
      </c>
      <c r="G765" s="68" t="s">
        <v>2877</v>
      </c>
      <c r="H765" s="69">
        <v>8220418</v>
      </c>
      <c r="I765" s="68" t="s">
        <v>3224</v>
      </c>
      <c r="J765" s="70" t="s">
        <v>727</v>
      </c>
      <c r="K765" s="2305" t="s">
        <v>857</v>
      </c>
      <c r="L765" s="72"/>
      <c r="M765" s="73" t="s">
        <v>729</v>
      </c>
      <c r="N765" s="74">
        <v>43220</v>
      </c>
      <c r="O765" s="75">
        <f t="shared" si="0"/>
        <v>43220</v>
      </c>
      <c r="P765" s="2765" t="s">
        <v>3087</v>
      </c>
      <c r="Q765" s="2954"/>
      <c r="R765" s="76">
        <v>211.86439999999999</v>
      </c>
      <c r="S765" s="1945" t="s">
        <v>731</v>
      </c>
      <c r="T765" s="77"/>
      <c r="U765" s="1893"/>
      <c r="V765" s="2079">
        <f t="shared" si="277"/>
        <v>0</v>
      </c>
      <c r="W765" s="78">
        <f t="shared" si="278"/>
        <v>249.99999199999996</v>
      </c>
      <c r="X765" s="1878" t="str">
        <f t="shared" si="275"/>
        <v xml:space="preserve">5.- C Pirelli 8220418-OT_S/D  Casc 2a trnspl 0001-011170 </v>
      </c>
      <c r="Z765" s="19" t="str">
        <f>CONCATENATE(I768,J768)</f>
        <v>ReencaucheReencauchadora RENOVA</v>
      </c>
    </row>
    <row r="766" spans="2:26" ht="15.2" customHeight="1">
      <c r="B766" s="37"/>
      <c r="E766" s="79">
        <v>6</v>
      </c>
      <c r="F766" s="2294" t="s">
        <v>732</v>
      </c>
      <c r="G766" s="81" t="s">
        <v>737</v>
      </c>
      <c r="H766" s="82" t="s">
        <v>1434</v>
      </c>
      <c r="I766" s="81" t="s">
        <v>744</v>
      </c>
      <c r="J766" s="83" t="s">
        <v>727</v>
      </c>
      <c r="K766" s="84" t="s">
        <v>3085</v>
      </c>
      <c r="L766" s="85">
        <v>43215</v>
      </c>
      <c r="M766" s="86" t="s">
        <v>729</v>
      </c>
      <c r="N766" s="87">
        <v>43220</v>
      </c>
      <c r="O766" s="88">
        <f t="shared" ref="O766:O783" si="285">+N766</f>
        <v>43220</v>
      </c>
      <c r="P766" s="2766" t="s">
        <v>3086</v>
      </c>
      <c r="Q766" s="2955"/>
      <c r="R766" s="89">
        <v>0</v>
      </c>
      <c r="S766" s="1946" t="s">
        <v>731</v>
      </c>
      <c r="T766" s="77"/>
      <c r="U766" s="1893"/>
      <c r="V766" s="2079">
        <f t="shared" si="277"/>
        <v>0</v>
      </c>
      <c r="W766" s="78">
        <f t="shared" si="278"/>
        <v>0</v>
      </c>
      <c r="X766" s="1878" t="str">
        <f t="shared" si="275"/>
        <v xml:space="preserve">6.- C Vikrant 1581105-OT_008512  Sacar_Banda G0001-003861 </v>
      </c>
      <c r="Z766" s="19" t="str">
        <f>CONCATENATE(I769,J769)</f>
        <v>ReencaucheReencauchadora RENOVA</v>
      </c>
    </row>
    <row r="767" spans="2:26" ht="15.2" customHeight="1">
      <c r="B767" s="37"/>
      <c r="E767" s="2892">
        <v>1</v>
      </c>
      <c r="F767" s="2297" t="s">
        <v>723</v>
      </c>
      <c r="G767" s="68" t="s">
        <v>724</v>
      </c>
      <c r="H767" s="69" t="s">
        <v>3095</v>
      </c>
      <c r="I767" s="68" t="s">
        <v>726</v>
      </c>
      <c r="J767" s="70" t="s">
        <v>760</v>
      </c>
      <c r="K767" s="2305" t="s">
        <v>3092</v>
      </c>
      <c r="L767" s="72">
        <v>43207</v>
      </c>
      <c r="M767" s="2306" t="s">
        <v>729</v>
      </c>
      <c r="N767" s="74">
        <v>43215</v>
      </c>
      <c r="O767" s="75">
        <f>+N767</f>
        <v>43215</v>
      </c>
      <c r="P767" s="2765" t="s">
        <v>3096</v>
      </c>
      <c r="Q767" s="2954"/>
      <c r="R767" s="76">
        <v>100.9</v>
      </c>
      <c r="S767" s="1945" t="s">
        <v>731</v>
      </c>
      <c r="T767" s="77" t="s">
        <v>2570</v>
      </c>
      <c r="U767" s="1893"/>
      <c r="V767" s="2079">
        <f t="shared" si="277"/>
        <v>0</v>
      </c>
      <c r="W767" s="78">
        <f t="shared" si="278"/>
        <v>119.062</v>
      </c>
      <c r="X767" s="1878" t="str">
        <f t="shared" si="275"/>
        <v>1.- R Aeolus 0070115-OT_246567  Reencauche F101-00014564 IDY3-220</v>
      </c>
      <c r="Z767" s="19" t="str">
        <f>CONCATENATE(I770,J770)</f>
        <v>ReencaucheReencauchadora RENOVA</v>
      </c>
    </row>
    <row r="768" spans="2:26" ht="15.2" customHeight="1">
      <c r="B768" s="37"/>
      <c r="E768" s="2892">
        <v>2</v>
      </c>
      <c r="F768" s="2297" t="s">
        <v>723</v>
      </c>
      <c r="G768" s="68" t="s">
        <v>724</v>
      </c>
      <c r="H768" s="69" t="s">
        <v>2479</v>
      </c>
      <c r="I768" s="68" t="s">
        <v>726</v>
      </c>
      <c r="J768" s="70" t="s">
        <v>760</v>
      </c>
      <c r="K768" s="71" t="s">
        <v>3092</v>
      </c>
      <c r="L768" s="72">
        <v>43207</v>
      </c>
      <c r="M768" s="2306" t="s">
        <v>729</v>
      </c>
      <c r="N768" s="74">
        <v>43215</v>
      </c>
      <c r="O768" s="75">
        <f>+N768</f>
        <v>43215</v>
      </c>
      <c r="P768" s="2765" t="s">
        <v>3096</v>
      </c>
      <c r="Q768" s="2954"/>
      <c r="R768" s="76">
        <v>100.9</v>
      </c>
      <c r="S768" s="1945" t="s">
        <v>731</v>
      </c>
      <c r="T768" s="77" t="s">
        <v>2570</v>
      </c>
      <c r="U768" s="1893"/>
      <c r="V768" s="2079">
        <f t="shared" si="277"/>
        <v>0</v>
      </c>
      <c r="W768" s="78">
        <f t="shared" si="278"/>
        <v>119.062</v>
      </c>
      <c r="X768" s="1878" t="str">
        <f t="shared" si="275"/>
        <v>2.- R Aeolus 0511214-OT_246567  Reencauche F101-00014564 IDY3-220</v>
      </c>
      <c r="Z768" s="19" t="str">
        <f t="shared" si="284"/>
        <v>Vulcanizado (curación)Reenc. MASTERCAUCHO</v>
      </c>
    </row>
    <row r="769" spans="2:26" ht="15.2" customHeight="1">
      <c r="B769" s="37"/>
      <c r="E769" s="2892">
        <v>3</v>
      </c>
      <c r="F769" s="2297" t="s">
        <v>732</v>
      </c>
      <c r="G769" s="68" t="s">
        <v>737</v>
      </c>
      <c r="H769" s="69" t="s">
        <v>1271</v>
      </c>
      <c r="I769" s="68" t="s">
        <v>726</v>
      </c>
      <c r="J769" s="70" t="s">
        <v>760</v>
      </c>
      <c r="K769" s="71" t="s">
        <v>3092</v>
      </c>
      <c r="L769" s="72">
        <v>43207</v>
      </c>
      <c r="M769" s="2306" t="s">
        <v>729</v>
      </c>
      <c r="N769" s="74">
        <v>43215</v>
      </c>
      <c r="O769" s="75">
        <f>+N769</f>
        <v>43215</v>
      </c>
      <c r="P769" s="2765" t="s">
        <v>3097</v>
      </c>
      <c r="Q769" s="2954"/>
      <c r="R769" s="76">
        <v>90.26</v>
      </c>
      <c r="S769" s="1945" t="s">
        <v>731</v>
      </c>
      <c r="T769" s="77" t="s">
        <v>3098</v>
      </c>
      <c r="U769" s="1893"/>
      <c r="V769" s="2079">
        <f t="shared" si="277"/>
        <v>0</v>
      </c>
      <c r="W769" s="78">
        <f t="shared" si="278"/>
        <v>106.5068</v>
      </c>
      <c r="X769" s="1878" t="str">
        <f t="shared" si="275"/>
        <v>3.- C Vikrant 0030312-OT_246567  Reencauche F101-00014594 IZB-220</v>
      </c>
      <c r="Z769" s="19" t="str">
        <f t="shared" si="284"/>
        <v>Casc 2a trnsplReenc. MASTERCAUCHO</v>
      </c>
    </row>
    <row r="770" spans="2:26" ht="15.2" customHeight="1">
      <c r="B770" s="37"/>
      <c r="E770" s="79">
        <v>4</v>
      </c>
      <c r="F770" s="2294" t="s">
        <v>723</v>
      </c>
      <c r="G770" s="81" t="s">
        <v>2523</v>
      </c>
      <c r="H770" s="82" t="s">
        <v>3093</v>
      </c>
      <c r="I770" s="81" t="s">
        <v>726</v>
      </c>
      <c r="J770" s="83" t="s">
        <v>760</v>
      </c>
      <c r="K770" s="2295" t="s">
        <v>3092</v>
      </c>
      <c r="L770" s="85">
        <v>43207</v>
      </c>
      <c r="M770" s="2296" t="s">
        <v>729</v>
      </c>
      <c r="N770" s="87">
        <v>43215</v>
      </c>
      <c r="O770" s="88">
        <f>+N770</f>
        <v>43215</v>
      </c>
      <c r="P770" s="2766" t="s">
        <v>3091</v>
      </c>
      <c r="Q770" s="2955"/>
      <c r="R770" s="89">
        <v>0</v>
      </c>
      <c r="S770" s="1946" t="s">
        <v>731</v>
      </c>
      <c r="T770" s="77" t="s">
        <v>3090</v>
      </c>
      <c r="U770" s="1893"/>
      <c r="V770" s="2079">
        <f t="shared" si="277"/>
        <v>0</v>
      </c>
      <c r="W770" s="78">
        <f t="shared" si="278"/>
        <v>0</v>
      </c>
      <c r="X770" s="1878" t="str">
        <f t="shared" si="275"/>
        <v>4.- R KETER 8160577-OT_246567  Reencauche G030-0072594 Rechazada, G030-0072594</v>
      </c>
      <c r="Z770" s="19" t="str">
        <f t="shared" si="284"/>
        <v>Casc 2a trnsplReenc. MASTERCAUCHO</v>
      </c>
    </row>
    <row r="771" spans="2:26" ht="15.2" customHeight="1">
      <c r="B771" s="37"/>
      <c r="E771" s="2879">
        <v>1</v>
      </c>
      <c r="F771" s="2297" t="s">
        <v>723</v>
      </c>
      <c r="G771" s="68" t="s">
        <v>724</v>
      </c>
      <c r="H771" s="69" t="s">
        <v>3054</v>
      </c>
      <c r="I771" s="68" t="s">
        <v>811</v>
      </c>
      <c r="J771" s="70" t="s">
        <v>727</v>
      </c>
      <c r="K771" s="2305" t="s">
        <v>3058</v>
      </c>
      <c r="L771" s="72">
        <v>43206</v>
      </c>
      <c r="M771" s="2306" t="s">
        <v>729</v>
      </c>
      <c r="N771" s="74">
        <v>43215</v>
      </c>
      <c r="O771" s="75">
        <f t="shared" si="285"/>
        <v>43215</v>
      </c>
      <c r="P771" s="2765" t="s">
        <v>3063</v>
      </c>
      <c r="Q771" s="2954"/>
      <c r="R771" s="76">
        <v>84.745699999999999</v>
      </c>
      <c r="S771" s="1945" t="s">
        <v>731</v>
      </c>
      <c r="T771" s="77"/>
      <c r="U771" s="1893"/>
      <c r="V771" s="2079">
        <f t="shared" si="277"/>
        <v>0</v>
      </c>
      <c r="W771" s="78">
        <f t="shared" si="278"/>
        <v>99.999925999999988</v>
      </c>
      <c r="X771" s="1878" t="str">
        <f t="shared" si="275"/>
        <v xml:space="preserve">1.- R Aeolus 0040115-OT_008196  Vulcanizado (curación) 0001-011128 </v>
      </c>
      <c r="Z771" s="19" t="str">
        <f t="shared" si="284"/>
        <v>Casc 2a trnsplReenc. MASTERCAUCHO</v>
      </c>
    </row>
    <row r="772" spans="2:26" ht="15.2" customHeight="1">
      <c r="B772" s="37"/>
      <c r="E772" s="2893">
        <v>2</v>
      </c>
      <c r="F772" s="2297" t="s">
        <v>723</v>
      </c>
      <c r="G772" s="68" t="s">
        <v>757</v>
      </c>
      <c r="H772" s="69" t="s">
        <v>3079</v>
      </c>
      <c r="I772" s="68" t="s">
        <v>3224</v>
      </c>
      <c r="J772" s="70" t="s">
        <v>727</v>
      </c>
      <c r="K772" s="2305" t="s">
        <v>857</v>
      </c>
      <c r="L772" s="72"/>
      <c r="M772" s="2306" t="s">
        <v>729</v>
      </c>
      <c r="N772" s="74">
        <v>43215</v>
      </c>
      <c r="O772" s="75">
        <f t="shared" si="285"/>
        <v>43215</v>
      </c>
      <c r="P772" s="2765" t="s">
        <v>3063</v>
      </c>
      <c r="Q772" s="2954"/>
      <c r="R772" s="76">
        <v>211.86439999999999</v>
      </c>
      <c r="S772" s="1945" t="s">
        <v>731</v>
      </c>
      <c r="T772" s="77" t="s">
        <v>3075</v>
      </c>
      <c r="U772" s="1893"/>
      <c r="V772" s="2079">
        <f t="shared" si="277"/>
        <v>0</v>
      </c>
      <c r="W772" s="78">
        <f t="shared" si="278"/>
        <v>249.99999199999996</v>
      </c>
      <c r="X772" s="1878" t="str">
        <f t="shared" si="275"/>
        <v>2.- R Goodyear 8180418-OT_S/D  Casc 2a trnspl 0001-011128 8180418 Goodyear G677 1012 Brasil</v>
      </c>
      <c r="Z772" s="19" t="str">
        <f t="shared" si="284"/>
        <v>Casc 2a trnsplReenc. MASTERCAUCHO</v>
      </c>
    </row>
    <row r="773" spans="2:26" ht="15.2" customHeight="1">
      <c r="B773" s="37"/>
      <c r="E773" s="2893">
        <v>3</v>
      </c>
      <c r="F773" s="2297" t="s">
        <v>723</v>
      </c>
      <c r="G773" s="68" t="s">
        <v>3065</v>
      </c>
      <c r="H773" s="69" t="s">
        <v>3080</v>
      </c>
      <c r="I773" s="68" t="s">
        <v>3224</v>
      </c>
      <c r="J773" s="70" t="s">
        <v>727</v>
      </c>
      <c r="K773" s="2305" t="s">
        <v>857</v>
      </c>
      <c r="L773" s="72"/>
      <c r="M773" s="2306" t="s">
        <v>729</v>
      </c>
      <c r="N773" s="74">
        <v>43215</v>
      </c>
      <c r="O773" s="75">
        <f t="shared" si="285"/>
        <v>43215</v>
      </c>
      <c r="P773" s="2765" t="s">
        <v>3063</v>
      </c>
      <c r="Q773" s="2954"/>
      <c r="R773" s="76">
        <v>211.86439999999999</v>
      </c>
      <c r="S773" s="1945" t="s">
        <v>731</v>
      </c>
      <c r="T773" s="77" t="s">
        <v>3076</v>
      </c>
      <c r="U773" s="1893"/>
      <c r="V773" s="2079">
        <f t="shared" si="277"/>
        <v>0</v>
      </c>
      <c r="W773" s="78">
        <f t="shared" si="278"/>
        <v>249.99999199999996</v>
      </c>
      <c r="X773" s="1878" t="str">
        <f t="shared" si="275"/>
        <v>3.- R Yokohama 8190418-OT_S/D  Casc 2a trnspl 0001-011128 8190418 Yokohama RY237 3512 Tailandia</v>
      </c>
      <c r="Z773" s="19" t="str">
        <f t="shared" si="284"/>
        <v>Sacar_BandaReenc. MASTERCAUCHO</v>
      </c>
    </row>
    <row r="774" spans="2:26" ht="15.2" customHeight="1">
      <c r="B774" s="37"/>
      <c r="E774" s="2893">
        <v>4</v>
      </c>
      <c r="F774" s="2297" t="s">
        <v>723</v>
      </c>
      <c r="G774" s="68" t="s">
        <v>3066</v>
      </c>
      <c r="H774" s="69" t="s">
        <v>3081</v>
      </c>
      <c r="I774" s="68" t="s">
        <v>3224</v>
      </c>
      <c r="J774" s="70" t="s">
        <v>727</v>
      </c>
      <c r="K774" s="2305" t="s">
        <v>857</v>
      </c>
      <c r="L774" s="72"/>
      <c r="M774" s="2306" t="s">
        <v>729</v>
      </c>
      <c r="N774" s="74">
        <v>43215</v>
      </c>
      <c r="O774" s="75">
        <f t="shared" si="285"/>
        <v>43215</v>
      </c>
      <c r="P774" s="2765" t="s">
        <v>3063</v>
      </c>
      <c r="Q774" s="2954"/>
      <c r="R774" s="76">
        <v>211.86439999999999</v>
      </c>
      <c r="S774" s="1945" t="s">
        <v>731</v>
      </c>
      <c r="T774" s="77" t="s">
        <v>3077</v>
      </c>
      <c r="U774" s="1893"/>
      <c r="V774" s="2079">
        <f t="shared" si="277"/>
        <v>0</v>
      </c>
      <c r="W774" s="78">
        <f t="shared" si="278"/>
        <v>249.99999199999996</v>
      </c>
      <c r="X774" s="1878" t="str">
        <f t="shared" si="275"/>
        <v>4.- R Roadwing 8200418-OT_S/D  Casc 2a trnspl 0001-011128 8200418 Roadwing WS118 4416 China</v>
      </c>
      <c r="Z774" s="19" t="str">
        <f t="shared" si="284"/>
        <v>Sacar_BandaReenc. MASTERCAUCHO</v>
      </c>
    </row>
    <row r="775" spans="2:26" ht="15.2" customHeight="1">
      <c r="B775" s="37"/>
      <c r="E775" s="2893">
        <v>5</v>
      </c>
      <c r="F775" s="2297" t="s">
        <v>723</v>
      </c>
      <c r="G775" s="68" t="s">
        <v>3029</v>
      </c>
      <c r="H775" s="69" t="s">
        <v>3082</v>
      </c>
      <c r="I775" s="68" t="s">
        <v>3224</v>
      </c>
      <c r="J775" s="70" t="s">
        <v>727</v>
      </c>
      <c r="K775" s="2305" t="s">
        <v>857</v>
      </c>
      <c r="L775" s="72"/>
      <c r="M775" s="2306" t="s">
        <v>729</v>
      </c>
      <c r="N775" s="74">
        <v>43215</v>
      </c>
      <c r="O775" s="75">
        <f t="shared" si="285"/>
        <v>43215</v>
      </c>
      <c r="P775" s="2765" t="s">
        <v>3063</v>
      </c>
      <c r="Q775" s="2954"/>
      <c r="R775" s="76">
        <v>211.86439999999999</v>
      </c>
      <c r="S775" s="1945" t="s">
        <v>731</v>
      </c>
      <c r="T775" s="77" t="s">
        <v>3078</v>
      </c>
      <c r="U775" s="1893"/>
      <c r="V775" s="2079">
        <f t="shared" si="277"/>
        <v>0</v>
      </c>
      <c r="W775" s="78">
        <f t="shared" si="278"/>
        <v>249.99999199999996</v>
      </c>
      <c r="X775" s="1878" t="str">
        <f t="shared" si="275"/>
        <v>5.- R Triangle 8210418-OT_S/D  Casc 2a trnspl 0001-011128 8210418 Triangle TR668 4715 China</v>
      </c>
      <c r="Z775" s="19" t="str">
        <f t="shared" si="284"/>
        <v>Sacar_BandaReenc. MASTERCAUCHO</v>
      </c>
    </row>
    <row r="776" spans="2:26" ht="15.2" customHeight="1">
      <c r="B776" s="37"/>
      <c r="E776" s="2879">
        <v>6</v>
      </c>
      <c r="F776" s="2297" t="s">
        <v>732</v>
      </c>
      <c r="G776" s="68" t="s">
        <v>733</v>
      </c>
      <c r="H776" s="69" t="s">
        <v>3055</v>
      </c>
      <c r="I776" s="68" t="s">
        <v>744</v>
      </c>
      <c r="J776" s="70" t="s">
        <v>727</v>
      </c>
      <c r="K776" s="71" t="s">
        <v>3058</v>
      </c>
      <c r="L776" s="72">
        <v>43206</v>
      </c>
      <c r="M776" s="2306" t="s">
        <v>729</v>
      </c>
      <c r="N776" s="74">
        <v>43215</v>
      </c>
      <c r="O776" s="75">
        <f t="shared" si="285"/>
        <v>43215</v>
      </c>
      <c r="P776" s="2765" t="s">
        <v>3064</v>
      </c>
      <c r="Q776" s="2954"/>
      <c r="R776" s="76">
        <v>0</v>
      </c>
      <c r="S776" s="1945" t="s">
        <v>731</v>
      </c>
      <c r="T776" s="77"/>
      <c r="U776" s="1893"/>
      <c r="V776" s="2079">
        <f t="shared" si="277"/>
        <v>0</v>
      </c>
      <c r="W776" s="78">
        <f t="shared" si="278"/>
        <v>0</v>
      </c>
      <c r="X776" s="1878" t="str">
        <f t="shared" si="275"/>
        <v xml:space="preserve">6.- C Lima Caucho 06208008-OT_008196  Sacar_Banda G0001-003837 </v>
      </c>
      <c r="Z776" s="19" t="str">
        <f t="shared" si="284"/>
        <v>Sacar_BandaReenc. MASTERCAUCHO</v>
      </c>
    </row>
    <row r="777" spans="2:26" ht="15.2" customHeight="1">
      <c r="B777" s="37"/>
      <c r="E777" s="2879">
        <v>7</v>
      </c>
      <c r="F777" s="2297" t="s">
        <v>732</v>
      </c>
      <c r="G777" s="68" t="s">
        <v>733</v>
      </c>
      <c r="H777" s="69" t="s">
        <v>3056</v>
      </c>
      <c r="I777" s="68" t="s">
        <v>744</v>
      </c>
      <c r="J777" s="70" t="s">
        <v>727</v>
      </c>
      <c r="K777" s="71" t="s">
        <v>3058</v>
      </c>
      <c r="L777" s="72">
        <v>43206</v>
      </c>
      <c r="M777" s="2306" t="s">
        <v>729</v>
      </c>
      <c r="N777" s="74">
        <v>43215</v>
      </c>
      <c r="O777" s="75">
        <f t="shared" si="285"/>
        <v>43215</v>
      </c>
      <c r="P777" s="2765" t="s">
        <v>3064</v>
      </c>
      <c r="Q777" s="2954"/>
      <c r="R777" s="76">
        <v>0</v>
      </c>
      <c r="S777" s="1945" t="s">
        <v>731</v>
      </c>
      <c r="T777" s="77"/>
      <c r="U777" s="1893"/>
      <c r="V777" s="2079">
        <f t="shared" si="277"/>
        <v>0</v>
      </c>
      <c r="W777" s="78">
        <f t="shared" si="278"/>
        <v>0</v>
      </c>
      <c r="X777" s="1878" t="str">
        <f t="shared" si="275"/>
        <v xml:space="preserve">7.- C Lima Caucho 05108101-OT_008196  Sacar_Banda G0001-003837 </v>
      </c>
      <c r="Z777" s="19" t="str">
        <f t="shared" si="284"/>
        <v>ReencaucheReenc. MASTERCAUCHO</v>
      </c>
    </row>
    <row r="778" spans="2:26" ht="15.2" customHeight="1">
      <c r="B778" s="37"/>
      <c r="E778" s="2879">
        <v>8</v>
      </c>
      <c r="F778" s="2297" t="s">
        <v>732</v>
      </c>
      <c r="G778" s="68" t="s">
        <v>737</v>
      </c>
      <c r="H778" s="69" t="s">
        <v>1422</v>
      </c>
      <c r="I778" s="68" t="s">
        <v>744</v>
      </c>
      <c r="J778" s="70" t="s">
        <v>727</v>
      </c>
      <c r="K778" s="71" t="s">
        <v>3058</v>
      </c>
      <c r="L778" s="72">
        <v>43206</v>
      </c>
      <c r="M778" s="2306" t="s">
        <v>729</v>
      </c>
      <c r="N778" s="74">
        <v>43215</v>
      </c>
      <c r="O778" s="75">
        <f t="shared" si="285"/>
        <v>43215</v>
      </c>
      <c r="P778" s="2765" t="s">
        <v>3064</v>
      </c>
      <c r="Q778" s="2954"/>
      <c r="R778" s="76">
        <v>0</v>
      </c>
      <c r="S778" s="1945" t="s">
        <v>731</v>
      </c>
      <c r="T778" s="77"/>
      <c r="U778" s="1893"/>
      <c r="V778" s="2079">
        <f t="shared" si="277"/>
        <v>0</v>
      </c>
      <c r="W778" s="78">
        <f t="shared" si="278"/>
        <v>0</v>
      </c>
      <c r="X778" s="1878" t="str">
        <f t="shared" si="275"/>
        <v xml:space="preserve">8.- C Vikrant 0240310-OT_008196  Sacar_Banda G0001-003837 </v>
      </c>
      <c r="Z778" s="19" t="str">
        <f t="shared" si="284"/>
        <v>ReencaucheReenc. MASTERCAUCHO</v>
      </c>
    </row>
    <row r="779" spans="2:26" ht="15.2" customHeight="1">
      <c r="B779" s="37"/>
      <c r="E779" s="79">
        <v>9</v>
      </c>
      <c r="F779" s="2294" t="s">
        <v>732</v>
      </c>
      <c r="G779" s="81" t="s">
        <v>737</v>
      </c>
      <c r="H779" s="82" t="s">
        <v>3057</v>
      </c>
      <c r="I779" s="81" t="s">
        <v>744</v>
      </c>
      <c r="J779" s="83" t="s">
        <v>727</v>
      </c>
      <c r="K779" s="84" t="s">
        <v>3058</v>
      </c>
      <c r="L779" s="85">
        <v>43206</v>
      </c>
      <c r="M779" s="2296" t="s">
        <v>729</v>
      </c>
      <c r="N779" s="87">
        <v>43215</v>
      </c>
      <c r="O779" s="88">
        <f t="shared" si="285"/>
        <v>43215</v>
      </c>
      <c r="P779" s="2766" t="s">
        <v>3064</v>
      </c>
      <c r="Q779" s="2955"/>
      <c r="R779" s="89">
        <v>0</v>
      </c>
      <c r="S779" s="1946" t="s">
        <v>731</v>
      </c>
      <c r="T779" s="77"/>
      <c r="U779" s="1893"/>
      <c r="V779" s="2079">
        <f t="shared" si="277"/>
        <v>0</v>
      </c>
      <c r="W779" s="78">
        <f t="shared" si="278"/>
        <v>0</v>
      </c>
      <c r="X779" s="1878" t="str">
        <f t="shared" si="275"/>
        <v xml:space="preserve">9.- C Vikrant 0020909-OT_008196  Sacar_Banda G0001-003837 </v>
      </c>
      <c r="Z779" s="19" t="str">
        <f t="shared" si="284"/>
        <v>Transpl BandaReenc. MASTERCAUCHO</v>
      </c>
    </row>
    <row r="780" spans="2:26" ht="15.2" customHeight="1">
      <c r="B780" s="37"/>
      <c r="E780" s="2879">
        <v>1</v>
      </c>
      <c r="F780" s="2297" t="s">
        <v>732</v>
      </c>
      <c r="G780" s="68" t="s">
        <v>737</v>
      </c>
      <c r="H780" s="69" t="s">
        <v>1664</v>
      </c>
      <c r="I780" s="68" t="s">
        <v>726</v>
      </c>
      <c r="J780" s="70" t="s">
        <v>727</v>
      </c>
      <c r="K780" s="2305" t="s">
        <v>3049</v>
      </c>
      <c r="L780" s="72">
        <v>43193</v>
      </c>
      <c r="M780" s="2306" t="s">
        <v>729</v>
      </c>
      <c r="N780" s="74">
        <v>43199</v>
      </c>
      <c r="O780" s="75">
        <f t="shared" si="285"/>
        <v>43199</v>
      </c>
      <c r="P780" s="2765" t="s">
        <v>3046</v>
      </c>
      <c r="Q780" s="2954"/>
      <c r="R780" s="76">
        <v>262.71179999999998</v>
      </c>
      <c r="S780" s="1945" t="s">
        <v>731</v>
      </c>
      <c r="T780" s="77" t="s">
        <v>3050</v>
      </c>
      <c r="U780" s="1893"/>
      <c r="V780" s="2079">
        <f t="shared" si="277"/>
        <v>0</v>
      </c>
      <c r="W780" s="78">
        <f t="shared" si="278"/>
        <v>309.99992399999996</v>
      </c>
      <c r="X780" s="1878" t="str">
        <f t="shared" si="275"/>
        <v>1.- C Vikrant 0130111-OT_008177  Reencauche 0001-010983 ZB-220</v>
      </c>
      <c r="Z780" s="19" t="str">
        <f t="shared" si="284"/>
        <v>Vulcanizado (curación)Reenc. MASTERCAUCHO</v>
      </c>
    </row>
    <row r="781" spans="2:26" ht="15.2" customHeight="1">
      <c r="B781" s="37"/>
      <c r="E781" s="2879">
        <v>2</v>
      </c>
      <c r="F781" s="2297" t="s">
        <v>732</v>
      </c>
      <c r="G781" s="68" t="s">
        <v>737</v>
      </c>
      <c r="H781" s="69" t="s">
        <v>786</v>
      </c>
      <c r="I781" s="68" t="s">
        <v>726</v>
      </c>
      <c r="J781" s="70" t="s">
        <v>727</v>
      </c>
      <c r="K781" s="71" t="s">
        <v>3049</v>
      </c>
      <c r="L781" s="72">
        <v>43193</v>
      </c>
      <c r="M781" s="2306" t="s">
        <v>729</v>
      </c>
      <c r="N781" s="74">
        <v>43199</v>
      </c>
      <c r="O781" s="75">
        <f t="shared" si="285"/>
        <v>43199</v>
      </c>
      <c r="P781" s="2765" t="s">
        <v>3046</v>
      </c>
      <c r="Q781" s="2954"/>
      <c r="R781" s="76">
        <v>262.71179999999998</v>
      </c>
      <c r="S781" s="1945" t="s">
        <v>731</v>
      </c>
      <c r="T781" s="77" t="s">
        <v>3050</v>
      </c>
      <c r="U781" s="1893"/>
      <c r="V781" s="2079">
        <f t="shared" si="277"/>
        <v>0</v>
      </c>
      <c r="W781" s="78">
        <f t="shared" si="278"/>
        <v>309.99992399999996</v>
      </c>
      <c r="X781" s="1878" t="str">
        <f t="shared" si="275"/>
        <v>2.- C Vikrant 0210310-OT_008177  Reencauche 0001-010983 ZB-220</v>
      </c>
      <c r="Z781" s="19" t="str">
        <f t="shared" ref="Z781:Z786" si="286">CONCATENATE(I784,J784)</f>
        <v>Casc 2a trnsplReenc. MASTERCAUCHO</v>
      </c>
    </row>
    <row r="782" spans="2:26" ht="15.2" customHeight="1">
      <c r="B782" s="37"/>
      <c r="E782" s="2879">
        <v>3</v>
      </c>
      <c r="F782" s="2297" t="s">
        <v>732</v>
      </c>
      <c r="G782" s="68" t="s">
        <v>733</v>
      </c>
      <c r="H782" s="69" t="s">
        <v>774</v>
      </c>
      <c r="I782" s="68" t="s">
        <v>740</v>
      </c>
      <c r="J782" s="70" t="s">
        <v>727</v>
      </c>
      <c r="K782" s="71" t="s">
        <v>3049</v>
      </c>
      <c r="L782" s="72">
        <v>43193</v>
      </c>
      <c r="M782" s="2306" t="s">
        <v>729</v>
      </c>
      <c r="N782" s="74">
        <v>43199</v>
      </c>
      <c r="O782" s="75">
        <f t="shared" si="285"/>
        <v>43199</v>
      </c>
      <c r="P782" s="2765" t="s">
        <v>3046</v>
      </c>
      <c r="Q782" s="2954"/>
      <c r="R782" s="76">
        <v>127.1186</v>
      </c>
      <c r="S782" s="1945" t="s">
        <v>731</v>
      </c>
      <c r="T782" s="77"/>
      <c r="U782" s="1893"/>
      <c r="V782" s="2079">
        <f t="shared" si="277"/>
        <v>0</v>
      </c>
      <c r="W782" s="78">
        <f t="shared" si="278"/>
        <v>149.99994799999999</v>
      </c>
      <c r="X782" s="1878" t="str">
        <f t="shared" si="275"/>
        <v xml:space="preserve">3.- C Lima Caucho 0050113-OT_008177  Transpl Banda 0001-010983 </v>
      </c>
      <c r="Z782" s="19" t="str">
        <f t="shared" si="286"/>
        <v>Casc 2a trnsplReenc. MASTERCAUCHO</v>
      </c>
    </row>
    <row r="783" spans="2:26" ht="15.2" customHeight="1">
      <c r="B783" s="37"/>
      <c r="E783" s="2879">
        <v>4</v>
      </c>
      <c r="F783" s="2297" t="s">
        <v>723</v>
      </c>
      <c r="G783" s="68" t="s">
        <v>724</v>
      </c>
      <c r="H783" s="69" t="s">
        <v>3047</v>
      </c>
      <c r="I783" s="68" t="s">
        <v>811</v>
      </c>
      <c r="J783" s="70" t="s">
        <v>727</v>
      </c>
      <c r="K783" s="2305" t="s">
        <v>3048</v>
      </c>
      <c r="L783" s="72">
        <v>43193</v>
      </c>
      <c r="M783" s="2306" t="s">
        <v>729</v>
      </c>
      <c r="N783" s="74">
        <v>43199</v>
      </c>
      <c r="O783" s="75">
        <f t="shared" si="285"/>
        <v>43199</v>
      </c>
      <c r="P783" s="2765" t="s">
        <v>3046</v>
      </c>
      <c r="Q783" s="2954"/>
      <c r="R783" s="76">
        <v>84.745699999999999</v>
      </c>
      <c r="S783" s="1945" t="s">
        <v>731</v>
      </c>
      <c r="T783" s="77"/>
      <c r="U783" s="1893"/>
      <c r="V783" s="2079">
        <f t="shared" si="277"/>
        <v>0</v>
      </c>
      <c r="W783" s="78">
        <f t="shared" si="278"/>
        <v>99.999925999999988</v>
      </c>
      <c r="X783" s="1878" t="str">
        <f t="shared" si="275"/>
        <v xml:space="preserve">4.- R Aeolus 0530915-OT_008178  Vulcanizado (curación) 0001-010983 </v>
      </c>
      <c r="Z783" s="19" t="str">
        <f t="shared" si="286"/>
        <v>Casc 2a trnsplReenc. MASTERCAUCHO</v>
      </c>
    </row>
    <row r="784" spans="2:26" ht="15.2" customHeight="1">
      <c r="B784" s="37"/>
      <c r="E784" s="38">
        <v>5</v>
      </c>
      <c r="F784" s="2375" t="s">
        <v>723</v>
      </c>
      <c r="G784" s="40" t="s">
        <v>3029</v>
      </c>
      <c r="H784" s="41" t="s">
        <v>3042</v>
      </c>
      <c r="I784" s="40" t="s">
        <v>3224</v>
      </c>
      <c r="J784" s="677" t="s">
        <v>727</v>
      </c>
      <c r="K784" s="2887" t="s">
        <v>857</v>
      </c>
      <c r="L784" s="44"/>
      <c r="M784" s="2386" t="s">
        <v>729</v>
      </c>
      <c r="N784" s="46">
        <v>43199</v>
      </c>
      <c r="O784" s="47">
        <f t="shared" ref="O784:O789" si="287">+N784</f>
        <v>43199</v>
      </c>
      <c r="P784" s="2763" t="s">
        <v>3046</v>
      </c>
      <c r="Q784" s="2952"/>
      <c r="R784" s="48">
        <v>127.1186</v>
      </c>
      <c r="S784" s="1943" t="s">
        <v>731</v>
      </c>
      <c r="T784" s="77" t="s">
        <v>3038</v>
      </c>
      <c r="U784" s="1893"/>
      <c r="V784" s="2079">
        <f t="shared" si="277"/>
        <v>0</v>
      </c>
      <c r="W784" s="78">
        <f t="shared" si="278"/>
        <v>149.99994799999999</v>
      </c>
      <c r="X784" s="1878" t="str">
        <f t="shared" si="275"/>
        <v>5.- R Triangle 8130418-OT_S/D  Casc 2a trnspl 0001-010983 8130418 Triangle TR668 0415 China</v>
      </c>
      <c r="Z784" s="19" t="str">
        <f t="shared" si="286"/>
        <v>Casc 2a trnsplReenc. MASTERCAUCHO</v>
      </c>
    </row>
    <row r="785" spans="2:26" ht="15.2" customHeight="1">
      <c r="B785" s="37"/>
      <c r="E785" s="2891">
        <v>6</v>
      </c>
      <c r="F785" s="2297" t="s">
        <v>723</v>
      </c>
      <c r="G785" s="68" t="s">
        <v>3029</v>
      </c>
      <c r="H785" s="69" t="s">
        <v>3043</v>
      </c>
      <c r="I785" s="68" t="s">
        <v>3224</v>
      </c>
      <c r="J785" s="70" t="s">
        <v>727</v>
      </c>
      <c r="K785" s="2305" t="s">
        <v>857</v>
      </c>
      <c r="L785" s="72"/>
      <c r="M785" s="2306" t="s">
        <v>729</v>
      </c>
      <c r="N785" s="74">
        <v>43199</v>
      </c>
      <c r="O785" s="75">
        <f t="shared" si="287"/>
        <v>43199</v>
      </c>
      <c r="P785" s="2765" t="s">
        <v>3046</v>
      </c>
      <c r="Q785" s="2954"/>
      <c r="R785" s="76">
        <v>127.1186</v>
      </c>
      <c r="S785" s="1945" t="s">
        <v>731</v>
      </c>
      <c r="T785" s="77" t="s">
        <v>3039</v>
      </c>
      <c r="U785" s="1893"/>
      <c r="V785" s="2079">
        <f t="shared" si="277"/>
        <v>0</v>
      </c>
      <c r="W785" s="78">
        <f t="shared" si="278"/>
        <v>149.99994799999999</v>
      </c>
      <c r="X785" s="1878" t="str">
        <f t="shared" si="275"/>
        <v>6.- R Triangle 8140418-OT_S/D  Casc 2a trnspl 0001-010983 8140418 Triangle TR668 0415 China</v>
      </c>
      <c r="Z785" s="19" t="str">
        <f t="shared" si="286"/>
        <v>ReencaucheReenc. MASTERCAUCHO</v>
      </c>
    </row>
    <row r="786" spans="2:26" ht="15.2" customHeight="1">
      <c r="B786" s="37"/>
      <c r="E786" s="2891">
        <v>7</v>
      </c>
      <c r="F786" s="2297" t="s">
        <v>723</v>
      </c>
      <c r="G786" s="68" t="s">
        <v>3035</v>
      </c>
      <c r="H786" s="69" t="s">
        <v>3044</v>
      </c>
      <c r="I786" s="68" t="s">
        <v>3224</v>
      </c>
      <c r="J786" s="70" t="s">
        <v>727</v>
      </c>
      <c r="K786" s="2305" t="s">
        <v>857</v>
      </c>
      <c r="L786" s="72"/>
      <c r="M786" s="2306" t="s">
        <v>729</v>
      </c>
      <c r="N786" s="74">
        <v>43199</v>
      </c>
      <c r="O786" s="75">
        <f t="shared" si="287"/>
        <v>43199</v>
      </c>
      <c r="P786" s="2765" t="s">
        <v>3046</v>
      </c>
      <c r="Q786" s="2954"/>
      <c r="R786" s="76">
        <v>127.1186</v>
      </c>
      <c r="S786" s="1945" t="s">
        <v>731</v>
      </c>
      <c r="T786" s="77" t="s">
        <v>3040</v>
      </c>
      <c r="U786" s="1893"/>
      <c r="V786" s="2079">
        <f t="shared" si="277"/>
        <v>0</v>
      </c>
      <c r="W786" s="78">
        <f t="shared" si="278"/>
        <v>149.99994799999999</v>
      </c>
      <c r="X786" s="1878" t="str">
        <f t="shared" si="275"/>
        <v>7.- R Ornet 8150418-OT_S/D  Casc 2a trnspl 0001-010983 8150418 Ornet ORI05 4714 China</v>
      </c>
      <c r="Z786" s="19" t="str">
        <f t="shared" si="286"/>
        <v>Sacar_BandaReenc. MASTERCAUCHO</v>
      </c>
    </row>
    <row r="787" spans="2:26" ht="15.2" customHeight="1">
      <c r="B787" s="37"/>
      <c r="E787" s="79">
        <v>8</v>
      </c>
      <c r="F787" s="2294" t="s">
        <v>723</v>
      </c>
      <c r="G787" s="81" t="s">
        <v>1108</v>
      </c>
      <c r="H787" s="82" t="s">
        <v>3045</v>
      </c>
      <c r="I787" s="81" t="s">
        <v>3224</v>
      </c>
      <c r="J787" s="83" t="s">
        <v>727</v>
      </c>
      <c r="K787" s="2295" t="s">
        <v>857</v>
      </c>
      <c r="L787" s="85"/>
      <c r="M787" s="2296" t="s">
        <v>729</v>
      </c>
      <c r="N787" s="87">
        <v>43199</v>
      </c>
      <c r="O787" s="88">
        <f t="shared" si="287"/>
        <v>43199</v>
      </c>
      <c r="P787" s="2766" t="s">
        <v>3046</v>
      </c>
      <c r="Q787" s="2955"/>
      <c r="R787" s="89">
        <v>127.1186</v>
      </c>
      <c r="S787" s="1946" t="s">
        <v>731</v>
      </c>
      <c r="T787" s="77" t="s">
        <v>3041</v>
      </c>
      <c r="U787" s="1893"/>
      <c r="V787" s="2079">
        <f t="shared" si="277"/>
        <v>0</v>
      </c>
      <c r="W787" s="78">
        <f t="shared" si="278"/>
        <v>149.99994799999999</v>
      </c>
      <c r="X787" s="1878" t="str">
        <f t="shared" si="275"/>
        <v>8.- R Hankook 8160418-OT_S/D  Casc 2a trnspl 0001-010983 8160418 Hankook AM06 4312 Korea</v>
      </c>
      <c r="Z787" s="19" t="str">
        <f t="shared" ref="Z787:Z798" si="288">CONCATENATE(I790,J790)</f>
        <v>Sacar_BandaReenc. MASTERCAUCHO</v>
      </c>
    </row>
    <row r="788" spans="2:26" ht="15.2" customHeight="1">
      <c r="B788" s="37"/>
      <c r="E788" s="2879">
        <v>9</v>
      </c>
      <c r="F788" s="2297" t="s">
        <v>732</v>
      </c>
      <c r="G788" s="68" t="s">
        <v>737</v>
      </c>
      <c r="H788" s="69" t="s">
        <v>754</v>
      </c>
      <c r="I788" s="68" t="s">
        <v>726</v>
      </c>
      <c r="J788" s="70" t="s">
        <v>727</v>
      </c>
      <c r="K788" s="71" t="s">
        <v>3049</v>
      </c>
      <c r="L788" s="72">
        <v>43193</v>
      </c>
      <c r="M788" s="2306" t="s">
        <v>729</v>
      </c>
      <c r="N788" s="74">
        <v>43199</v>
      </c>
      <c r="O788" s="75">
        <f t="shared" si="287"/>
        <v>43199</v>
      </c>
      <c r="P788" s="2765" t="s">
        <v>3051</v>
      </c>
      <c r="Q788" s="2954"/>
      <c r="R788" s="76">
        <v>0</v>
      </c>
      <c r="S788" s="1945" t="s">
        <v>731</v>
      </c>
      <c r="T788" s="77" t="s">
        <v>3052</v>
      </c>
      <c r="U788" s="1893"/>
      <c r="V788" s="2079">
        <f t="shared" si="277"/>
        <v>0</v>
      </c>
      <c r="W788" s="78">
        <f t="shared" si="278"/>
        <v>0</v>
      </c>
      <c r="X788" s="1878" t="str">
        <f t="shared" si="275"/>
        <v>9.- C Vikrant 0390510-OT_008177  Reencauche G0001-003768 Rechazada, G0001-003768</v>
      </c>
      <c r="Z788" s="19" t="str">
        <f t="shared" si="288"/>
        <v>Sacar_BandaReenc. MASTERCAUCHO</v>
      </c>
    </row>
    <row r="789" spans="2:26" ht="15.2" customHeight="1">
      <c r="B789" s="37"/>
      <c r="E789" s="2891">
        <v>10</v>
      </c>
      <c r="F789" s="2297" t="s">
        <v>732</v>
      </c>
      <c r="G789" s="68" t="s">
        <v>733</v>
      </c>
      <c r="H789" s="69" t="s">
        <v>1467</v>
      </c>
      <c r="I789" s="68" t="s">
        <v>744</v>
      </c>
      <c r="J789" s="70" t="s">
        <v>727</v>
      </c>
      <c r="K789" s="71" t="s">
        <v>3049</v>
      </c>
      <c r="L789" s="72">
        <v>43193</v>
      </c>
      <c r="M789" s="2306" t="s">
        <v>729</v>
      </c>
      <c r="N789" s="74">
        <v>43199</v>
      </c>
      <c r="O789" s="75">
        <f t="shared" si="287"/>
        <v>43199</v>
      </c>
      <c r="P789" s="2765" t="s">
        <v>3051</v>
      </c>
      <c r="Q789" s="2954"/>
      <c r="R789" s="76">
        <v>0</v>
      </c>
      <c r="S789" s="1945" t="s">
        <v>731</v>
      </c>
      <c r="T789" s="77"/>
      <c r="U789" s="1893"/>
      <c r="V789" s="2079">
        <f t="shared" si="277"/>
        <v>0</v>
      </c>
      <c r="W789" s="78">
        <f t="shared" si="278"/>
        <v>0</v>
      </c>
      <c r="X789" s="1878" t="str">
        <f t="shared" si="275"/>
        <v xml:space="preserve">10.- C Lima Caucho 0360411-OT_008177  Sacar_Banda G0001-003768 </v>
      </c>
      <c r="Z789" s="19" t="str">
        <f t="shared" si="288"/>
        <v>Sacar_BandaReenc. MASTERCAUCHO</v>
      </c>
    </row>
    <row r="790" spans="2:26" ht="15.2" customHeight="1">
      <c r="B790" s="37"/>
      <c r="E790" s="2842">
        <v>11</v>
      </c>
      <c r="F790" s="2297" t="s">
        <v>732</v>
      </c>
      <c r="G790" s="68" t="s">
        <v>737</v>
      </c>
      <c r="H790" s="69" t="s">
        <v>1167</v>
      </c>
      <c r="I790" s="68" t="s">
        <v>744</v>
      </c>
      <c r="J790" s="70" t="s">
        <v>727</v>
      </c>
      <c r="K790" s="71" t="s">
        <v>3048</v>
      </c>
      <c r="L790" s="72">
        <v>43193</v>
      </c>
      <c r="M790" s="2306" t="s">
        <v>729</v>
      </c>
      <c r="N790" s="74">
        <v>43199</v>
      </c>
      <c r="O790" s="75">
        <f t="shared" ref="O790:O801" si="289">+N790</f>
        <v>43199</v>
      </c>
      <c r="P790" s="2765" t="s">
        <v>3051</v>
      </c>
      <c r="Q790" s="2954"/>
      <c r="R790" s="76">
        <v>0</v>
      </c>
      <c r="S790" s="1945" t="s">
        <v>731</v>
      </c>
      <c r="T790" s="77"/>
      <c r="U790" s="1893"/>
      <c r="V790" s="2079">
        <f t="shared" si="277"/>
        <v>0</v>
      </c>
      <c r="W790" s="78">
        <f t="shared" si="278"/>
        <v>0</v>
      </c>
      <c r="X790" s="1878" t="str">
        <f t="shared" si="275"/>
        <v xml:space="preserve">11.- C Vikrant 0270410-OT_008178  Sacar_Banda G0001-003768 </v>
      </c>
      <c r="Z790" s="19" t="str">
        <f t="shared" si="288"/>
        <v>Sacar_BandaReenc. MASTERCAUCHO</v>
      </c>
    </row>
    <row r="791" spans="2:26" ht="15.2" customHeight="1">
      <c r="B791" s="37"/>
      <c r="E791" s="2842">
        <v>12</v>
      </c>
      <c r="F791" s="2297" t="s">
        <v>723</v>
      </c>
      <c r="G791" s="68" t="s">
        <v>724</v>
      </c>
      <c r="H791" s="69" t="s">
        <v>976</v>
      </c>
      <c r="I791" s="68" t="s">
        <v>744</v>
      </c>
      <c r="J791" s="70" t="s">
        <v>727</v>
      </c>
      <c r="K791" s="71" t="s">
        <v>3048</v>
      </c>
      <c r="L791" s="72">
        <v>43193</v>
      </c>
      <c r="M791" s="2306" t="s">
        <v>729</v>
      </c>
      <c r="N791" s="74">
        <v>43199</v>
      </c>
      <c r="O791" s="75">
        <f t="shared" si="289"/>
        <v>43199</v>
      </c>
      <c r="P791" s="2765" t="s">
        <v>3051</v>
      </c>
      <c r="Q791" s="2954"/>
      <c r="R791" s="76">
        <v>0</v>
      </c>
      <c r="S791" s="1945" t="s">
        <v>731</v>
      </c>
      <c r="T791" s="77"/>
      <c r="U791" s="1893"/>
      <c r="V791" s="2079">
        <f t="shared" si="277"/>
        <v>0</v>
      </c>
      <c r="W791" s="78">
        <f t="shared" si="278"/>
        <v>0</v>
      </c>
      <c r="X791" s="1878" t="str">
        <f t="shared" si="275"/>
        <v xml:space="preserve">12.- R Aeolus 0090113-OT_008178  Sacar_Banda G0001-003768 </v>
      </c>
      <c r="Z791" s="19" t="str">
        <f t="shared" si="288"/>
        <v>ReencaucheReencauchadora RENOVA</v>
      </c>
    </row>
    <row r="792" spans="2:26" ht="15.2" customHeight="1">
      <c r="B792" s="37"/>
      <c r="E792" s="2842">
        <v>13</v>
      </c>
      <c r="F792" s="2297" t="s">
        <v>723</v>
      </c>
      <c r="G792" s="68" t="s">
        <v>724</v>
      </c>
      <c r="H792" s="69" t="s">
        <v>1600</v>
      </c>
      <c r="I792" s="68" t="s">
        <v>744</v>
      </c>
      <c r="J792" s="70" t="s">
        <v>727</v>
      </c>
      <c r="K792" s="71" t="s">
        <v>3048</v>
      </c>
      <c r="L792" s="72">
        <v>43193</v>
      </c>
      <c r="M792" s="2306" t="s">
        <v>729</v>
      </c>
      <c r="N792" s="74">
        <v>43199</v>
      </c>
      <c r="O792" s="75">
        <f t="shared" si="289"/>
        <v>43199</v>
      </c>
      <c r="P792" s="2765" t="s">
        <v>3051</v>
      </c>
      <c r="Q792" s="2954"/>
      <c r="R792" s="76">
        <v>0</v>
      </c>
      <c r="S792" s="1945" t="s">
        <v>731</v>
      </c>
      <c r="T792" s="77"/>
      <c r="U792" s="1893"/>
      <c r="V792" s="2079">
        <f t="shared" si="277"/>
        <v>0</v>
      </c>
      <c r="W792" s="78">
        <f t="shared" si="278"/>
        <v>0</v>
      </c>
      <c r="X792" s="1878" t="str">
        <f t="shared" si="275"/>
        <v xml:space="preserve">13.- R Aeolus 8210616-OT_008178  Sacar_Banda G0001-003768 </v>
      </c>
      <c r="Z792" s="19" t="str">
        <f t="shared" si="288"/>
        <v>ReencaucheReencauchadora RENOVA</v>
      </c>
    </row>
    <row r="793" spans="2:26" ht="15.2" customHeight="1">
      <c r="B793" s="37"/>
      <c r="E793" s="79">
        <v>14</v>
      </c>
      <c r="F793" s="2294" t="s">
        <v>732</v>
      </c>
      <c r="G793" s="81" t="s">
        <v>733</v>
      </c>
      <c r="H793" s="82" t="s">
        <v>1613</v>
      </c>
      <c r="I793" s="81" t="s">
        <v>744</v>
      </c>
      <c r="J793" s="83" t="s">
        <v>727</v>
      </c>
      <c r="K793" s="84" t="s">
        <v>3048</v>
      </c>
      <c r="L793" s="85">
        <v>43193</v>
      </c>
      <c r="M793" s="2296" t="s">
        <v>729</v>
      </c>
      <c r="N793" s="87">
        <v>43199</v>
      </c>
      <c r="O793" s="88">
        <f t="shared" si="289"/>
        <v>43199</v>
      </c>
      <c r="P793" s="2766" t="s">
        <v>3051</v>
      </c>
      <c r="Q793" s="2955"/>
      <c r="R793" s="89">
        <v>0</v>
      </c>
      <c r="S793" s="1946" t="s">
        <v>731</v>
      </c>
      <c r="T793" s="77"/>
      <c r="U793" s="1893"/>
      <c r="V793" s="2079">
        <f t="shared" si="277"/>
        <v>0</v>
      </c>
      <c r="W793" s="78">
        <f t="shared" si="278"/>
        <v>0</v>
      </c>
      <c r="X793" s="1878" t="str">
        <f t="shared" si="275"/>
        <v xml:space="preserve">14.- C Lima Caucho 1311207-OT_008178  Sacar_Banda G0001-003768 </v>
      </c>
      <c r="Z793" s="19" t="str">
        <f t="shared" si="288"/>
        <v>ReencaucheReencauchadora RENOVA</v>
      </c>
    </row>
    <row r="794" spans="2:26" ht="15.2" customHeight="1">
      <c r="B794" s="37"/>
      <c r="E794" s="2842">
        <v>1</v>
      </c>
      <c r="F794" s="3131" t="s">
        <v>732</v>
      </c>
      <c r="G794" s="2263" t="s">
        <v>733</v>
      </c>
      <c r="H794" s="2265" t="s">
        <v>1661</v>
      </c>
      <c r="I794" s="2263" t="s">
        <v>726</v>
      </c>
      <c r="J794" s="2266" t="s">
        <v>760</v>
      </c>
      <c r="K794" s="3133" t="s">
        <v>2998</v>
      </c>
      <c r="L794" s="2268">
        <v>43192</v>
      </c>
      <c r="M794" s="3122" t="s">
        <v>729</v>
      </c>
      <c r="N794" s="2270">
        <v>43207</v>
      </c>
      <c r="O794" s="2271">
        <f t="shared" si="289"/>
        <v>43207</v>
      </c>
      <c r="P794" s="2777" t="s">
        <v>3088</v>
      </c>
      <c r="Q794" s="2956"/>
      <c r="R794" s="2272">
        <v>0</v>
      </c>
      <c r="S794" s="2273" t="s">
        <v>731</v>
      </c>
      <c r="T794" s="77" t="s">
        <v>3089</v>
      </c>
      <c r="U794" s="1893"/>
      <c r="V794" s="2079">
        <f t="shared" si="277"/>
        <v>0</v>
      </c>
      <c r="W794" s="78">
        <f t="shared" si="278"/>
        <v>0</v>
      </c>
      <c r="X794" s="1878" t="str">
        <f t="shared" si="275"/>
        <v>1.- C Lima Caucho 0730910-OT_245287  Reencauche G030-0072444 Rechazada, G030-0072444</v>
      </c>
      <c r="Z794" s="19" t="str">
        <f t="shared" si="288"/>
        <v>ReencaucheReencauchadora RENOVA</v>
      </c>
    </row>
    <row r="795" spans="2:26" ht="15.2" customHeight="1">
      <c r="B795" s="37"/>
      <c r="E795" s="2842">
        <v>2</v>
      </c>
      <c r="F795" s="3131" t="s">
        <v>732</v>
      </c>
      <c r="G795" s="2263" t="s">
        <v>733</v>
      </c>
      <c r="H795" s="2265" t="s">
        <v>1373</v>
      </c>
      <c r="I795" s="2263" t="s">
        <v>726</v>
      </c>
      <c r="J795" s="2266" t="s">
        <v>760</v>
      </c>
      <c r="K795" s="2267" t="s">
        <v>2998</v>
      </c>
      <c r="L795" s="2268">
        <v>43192</v>
      </c>
      <c r="M795" s="3122" t="s">
        <v>729</v>
      </c>
      <c r="N795" s="2270">
        <v>43207</v>
      </c>
      <c r="O795" s="2271">
        <f t="shared" si="289"/>
        <v>43207</v>
      </c>
      <c r="P795" s="2777" t="s">
        <v>3094</v>
      </c>
      <c r="Q795" s="2956"/>
      <c r="R795" s="2272">
        <v>90.26</v>
      </c>
      <c r="S795" s="2273" t="s">
        <v>731</v>
      </c>
      <c r="T795" s="77" t="s">
        <v>3098</v>
      </c>
      <c r="U795" s="1893"/>
      <c r="V795" s="2079">
        <f t="shared" si="277"/>
        <v>0</v>
      </c>
      <c r="W795" s="78">
        <f t="shared" si="278"/>
        <v>106.5068</v>
      </c>
      <c r="X795" s="1878" t="str">
        <f t="shared" si="275"/>
        <v>2.- C Lima Caucho 0770910-OT_245287  Reencauche F101-00014472 IZB-220</v>
      </c>
      <c r="Z795" s="19" t="str">
        <f t="shared" si="288"/>
        <v>ReencaucheReencauchadora RENOVA</v>
      </c>
    </row>
    <row r="796" spans="2:26" ht="15.2" customHeight="1">
      <c r="B796" s="37"/>
      <c r="E796" s="2842">
        <v>3</v>
      </c>
      <c r="F796" s="2297" t="s">
        <v>723</v>
      </c>
      <c r="G796" s="68" t="s">
        <v>151</v>
      </c>
      <c r="H796" s="69" t="s">
        <v>2993</v>
      </c>
      <c r="I796" s="68" t="s">
        <v>726</v>
      </c>
      <c r="J796" s="70" t="s">
        <v>760</v>
      </c>
      <c r="K796" s="71" t="s">
        <v>2998</v>
      </c>
      <c r="L796" s="72">
        <v>43192</v>
      </c>
      <c r="M796" s="2306" t="s">
        <v>729</v>
      </c>
      <c r="N796" s="74">
        <v>43197</v>
      </c>
      <c r="O796" s="75">
        <f t="shared" si="289"/>
        <v>43197</v>
      </c>
      <c r="P796" s="2765"/>
      <c r="Q796" s="2954">
        <v>83.32</v>
      </c>
      <c r="R796" s="76"/>
      <c r="S796" s="1945" t="s">
        <v>731</v>
      </c>
      <c r="T796" s="77" t="s">
        <v>3028</v>
      </c>
      <c r="U796" s="1893"/>
      <c r="V796" s="2079">
        <f t="shared" si="277"/>
        <v>98.317599999999985</v>
      </c>
      <c r="W796" s="78">
        <f t="shared" si="278"/>
        <v>0</v>
      </c>
      <c r="X796" s="1878" t="str">
        <f t="shared" si="275"/>
        <v>3.- R WindPower 0480815-OT_245287  Reencauche  IZY2-210</v>
      </c>
      <c r="Z796" s="19" t="str">
        <f t="shared" si="288"/>
        <v>ReencaucheReencauchadora RENOVA</v>
      </c>
    </row>
    <row r="797" spans="2:26" ht="15.2" customHeight="1">
      <c r="B797" s="37"/>
      <c r="E797" s="2842">
        <v>4</v>
      </c>
      <c r="F797" s="2297" t="s">
        <v>723</v>
      </c>
      <c r="G797" s="68" t="s">
        <v>724</v>
      </c>
      <c r="H797" s="69" t="s">
        <v>1293</v>
      </c>
      <c r="I797" s="68" t="s">
        <v>726</v>
      </c>
      <c r="J797" s="70" t="s">
        <v>760</v>
      </c>
      <c r="K797" s="71" t="s">
        <v>2998</v>
      </c>
      <c r="L797" s="72">
        <v>43192</v>
      </c>
      <c r="M797" s="73" t="s">
        <v>729</v>
      </c>
      <c r="N797" s="74">
        <v>43197</v>
      </c>
      <c r="O797" s="75">
        <f t="shared" si="289"/>
        <v>43197</v>
      </c>
      <c r="P797" s="2765"/>
      <c r="Q797" s="2954">
        <v>100.9</v>
      </c>
      <c r="R797" s="76"/>
      <c r="S797" s="1945" t="s">
        <v>731</v>
      </c>
      <c r="T797" s="77" t="s">
        <v>2570</v>
      </c>
      <c r="U797" s="1893"/>
      <c r="V797" s="2079">
        <f t="shared" si="277"/>
        <v>119.062</v>
      </c>
      <c r="W797" s="78">
        <f t="shared" si="278"/>
        <v>0</v>
      </c>
      <c r="X797" s="1878" t="str">
        <f t="shared" si="275"/>
        <v>4.- R Aeolus 0120215-OT_245287  Reencauche  IDY3-220</v>
      </c>
      <c r="Z797" s="19" t="str">
        <f t="shared" si="288"/>
        <v>ReencaucheReencauchadora RENOVA</v>
      </c>
    </row>
    <row r="798" spans="2:26" ht="15.2" customHeight="1">
      <c r="B798" s="37"/>
      <c r="E798" s="2842">
        <v>5</v>
      </c>
      <c r="F798" s="2297" t="s">
        <v>723</v>
      </c>
      <c r="G798" s="68" t="s">
        <v>724</v>
      </c>
      <c r="H798" s="69" t="s">
        <v>2994</v>
      </c>
      <c r="I798" s="68" t="s">
        <v>726</v>
      </c>
      <c r="J798" s="70" t="s">
        <v>760</v>
      </c>
      <c r="K798" s="71" t="s">
        <v>2998</v>
      </c>
      <c r="L798" s="72">
        <v>43192</v>
      </c>
      <c r="M798" s="73" t="s">
        <v>729</v>
      </c>
      <c r="N798" s="74">
        <v>43197</v>
      </c>
      <c r="O798" s="75">
        <f t="shared" si="289"/>
        <v>43197</v>
      </c>
      <c r="P798" s="2765"/>
      <c r="Q798" s="2954">
        <v>100.9</v>
      </c>
      <c r="R798" s="76"/>
      <c r="S798" s="1945" t="s">
        <v>731</v>
      </c>
      <c r="T798" s="77" t="s">
        <v>2570</v>
      </c>
      <c r="U798" s="1893"/>
      <c r="V798" s="2079">
        <f t="shared" si="277"/>
        <v>119.062</v>
      </c>
      <c r="W798" s="78">
        <f t="shared" si="278"/>
        <v>0</v>
      </c>
      <c r="X798" s="1878" t="str">
        <f t="shared" si="275"/>
        <v>5.- R Aeolus 0160215-OT_245287  Reencauche  IDY3-220</v>
      </c>
      <c r="Z798" s="19" t="str">
        <f t="shared" si="288"/>
        <v>ReencaucheReencauchadora RENOVA</v>
      </c>
    </row>
    <row r="799" spans="2:26" ht="15.2" customHeight="1">
      <c r="B799" s="37"/>
      <c r="E799" s="2842">
        <v>6</v>
      </c>
      <c r="F799" s="2297" t="s">
        <v>723</v>
      </c>
      <c r="G799" s="68" t="s">
        <v>724</v>
      </c>
      <c r="H799" s="69" t="s">
        <v>2995</v>
      </c>
      <c r="I799" s="68" t="s">
        <v>726</v>
      </c>
      <c r="J799" s="70" t="s">
        <v>760</v>
      </c>
      <c r="K799" s="71" t="s">
        <v>2998</v>
      </c>
      <c r="L799" s="72">
        <v>43192</v>
      </c>
      <c r="M799" s="73" t="s">
        <v>729</v>
      </c>
      <c r="N799" s="74">
        <v>43197</v>
      </c>
      <c r="O799" s="75">
        <f t="shared" si="289"/>
        <v>43197</v>
      </c>
      <c r="P799" s="2765"/>
      <c r="Q799" s="2954">
        <v>100.9</v>
      </c>
      <c r="R799" s="76"/>
      <c r="S799" s="1945" t="s">
        <v>731</v>
      </c>
      <c r="T799" s="77" t="s">
        <v>2570</v>
      </c>
      <c r="U799" s="1893"/>
      <c r="V799" s="2079">
        <f t="shared" si="277"/>
        <v>119.062</v>
      </c>
      <c r="W799" s="78">
        <f t="shared" si="278"/>
        <v>0</v>
      </c>
      <c r="X799" s="1878" t="str">
        <f t="shared" si="275"/>
        <v>6.- R Aeolus 046016-OT_245287  Reencauche  IDY3-220</v>
      </c>
      <c r="Z799" s="19" t="str">
        <f t="shared" ref="Z799:Z817" si="290">CONCATENATE(I802,J802)</f>
        <v>ReencaucheReencauchadora RENOVA</v>
      </c>
    </row>
    <row r="800" spans="2:26" ht="15.2" customHeight="1">
      <c r="B800" s="37"/>
      <c r="E800" s="2842">
        <v>7</v>
      </c>
      <c r="F800" s="2297" t="s">
        <v>723</v>
      </c>
      <c r="G800" s="68" t="s">
        <v>151</v>
      </c>
      <c r="H800" s="69" t="s">
        <v>2997</v>
      </c>
      <c r="I800" s="68" t="s">
        <v>726</v>
      </c>
      <c r="J800" s="70" t="s">
        <v>760</v>
      </c>
      <c r="K800" s="71" t="s">
        <v>2998</v>
      </c>
      <c r="L800" s="72">
        <v>43192</v>
      </c>
      <c r="M800" s="2306" t="s">
        <v>729</v>
      </c>
      <c r="N800" s="74">
        <v>43197</v>
      </c>
      <c r="O800" s="75">
        <f t="shared" si="289"/>
        <v>43197</v>
      </c>
      <c r="P800" s="2765"/>
      <c r="Q800" s="2954">
        <v>100.9</v>
      </c>
      <c r="R800" s="76"/>
      <c r="S800" s="1945" t="s">
        <v>731</v>
      </c>
      <c r="T800" s="77" t="s">
        <v>2570</v>
      </c>
      <c r="U800" s="1893"/>
      <c r="V800" s="2079">
        <f t="shared" si="277"/>
        <v>119.062</v>
      </c>
      <c r="W800" s="78">
        <f t="shared" si="278"/>
        <v>0</v>
      </c>
      <c r="X800" s="1878" t="str">
        <f t="shared" si="275"/>
        <v>7.- R WindPower 0611015-OT_245287  Reencauche  IDY3-220</v>
      </c>
      <c r="Z800" s="19" t="str">
        <f t="shared" si="290"/>
        <v>ReencaucheReenc. MASTERCAUCHO</v>
      </c>
    </row>
    <row r="801" spans="2:26" ht="15.2" customHeight="1">
      <c r="B801" s="37"/>
      <c r="E801" s="2842">
        <v>8</v>
      </c>
      <c r="F801" s="2297" t="s">
        <v>723</v>
      </c>
      <c r="G801" s="68" t="s">
        <v>151</v>
      </c>
      <c r="H801" s="69" t="s">
        <v>2996</v>
      </c>
      <c r="I801" s="68" t="s">
        <v>726</v>
      </c>
      <c r="J801" s="70" t="s">
        <v>760</v>
      </c>
      <c r="K801" s="71" t="s">
        <v>2998</v>
      </c>
      <c r="L801" s="72">
        <v>43192</v>
      </c>
      <c r="M801" s="73" t="s">
        <v>729</v>
      </c>
      <c r="N801" s="74">
        <v>43197</v>
      </c>
      <c r="O801" s="75">
        <f t="shared" si="289"/>
        <v>43197</v>
      </c>
      <c r="P801" s="2765"/>
      <c r="Q801" s="2954">
        <v>100.9</v>
      </c>
      <c r="R801" s="76"/>
      <c r="S801" s="1945" t="s">
        <v>731</v>
      </c>
      <c r="T801" s="77" t="s">
        <v>2570</v>
      </c>
      <c r="U801" s="1893"/>
      <c r="V801" s="2079">
        <f t="shared" si="277"/>
        <v>119.062</v>
      </c>
      <c r="W801" s="78">
        <f t="shared" si="278"/>
        <v>0</v>
      </c>
      <c r="X801" s="1878" t="str">
        <f t="shared" si="275"/>
        <v>8.- R WindPower 0801115-OT_245287  Reencauche  IDY3-220</v>
      </c>
      <c r="Z801" s="19" t="str">
        <f t="shared" si="290"/>
        <v>ReencaucheReenc. MASTERCAUCHO</v>
      </c>
    </row>
    <row r="802" spans="2:26" ht="15.2" customHeight="1">
      <c r="B802" s="37"/>
      <c r="E802" s="79">
        <v>9</v>
      </c>
      <c r="F802" s="2294" t="s">
        <v>723</v>
      </c>
      <c r="G802" s="81" t="s">
        <v>724</v>
      </c>
      <c r="H802" s="82" t="s">
        <v>1588</v>
      </c>
      <c r="I802" s="81" t="s">
        <v>726</v>
      </c>
      <c r="J802" s="83" t="s">
        <v>760</v>
      </c>
      <c r="K802" s="84" t="s">
        <v>2998</v>
      </c>
      <c r="L802" s="85">
        <v>43192</v>
      </c>
      <c r="M802" s="2296" t="s">
        <v>729</v>
      </c>
      <c r="N802" s="87">
        <v>43197</v>
      </c>
      <c r="O802" s="88">
        <f t="shared" ref="O802:O820" si="291">+N802</f>
        <v>43197</v>
      </c>
      <c r="P802" s="2766"/>
      <c r="Q802" s="2955">
        <v>0</v>
      </c>
      <c r="R802" s="89"/>
      <c r="S802" s="1946" t="s">
        <v>731</v>
      </c>
      <c r="T802" s="77" t="s">
        <v>2940</v>
      </c>
      <c r="U802" s="1893"/>
      <c r="V802" s="2079">
        <f t="shared" si="277"/>
        <v>0</v>
      </c>
      <c r="W802" s="78">
        <f t="shared" si="278"/>
        <v>0</v>
      </c>
      <c r="X802" s="1878" t="str">
        <f t="shared" ref="X802:X865" si="292">CONCATENATE(E802,".- ",F802," ",G802," ",H802,"-OT_",K802," "," ",I802," ",P802," ",T802)</f>
        <v>9.- R Aeolus 0210215-OT_245287  Reencauche  Rechazada, G030-0071600</v>
      </c>
      <c r="Z802" s="19" t="str">
        <f>CONCATENATE(I805,J805)</f>
        <v>Casc 2a trnsplReenc. MASTERCAUCHO</v>
      </c>
    </row>
    <row r="803" spans="2:26" ht="15.2" customHeight="1">
      <c r="B803" s="37"/>
      <c r="E803" s="2756">
        <v>1</v>
      </c>
      <c r="F803" s="2297" t="s">
        <v>723</v>
      </c>
      <c r="G803" s="68" t="s">
        <v>737</v>
      </c>
      <c r="H803" s="69" t="s">
        <v>2936</v>
      </c>
      <c r="I803" s="68" t="s">
        <v>726</v>
      </c>
      <c r="J803" s="70" t="s">
        <v>727</v>
      </c>
      <c r="K803" s="2305" t="s">
        <v>2955</v>
      </c>
      <c r="L803" s="72">
        <v>43178</v>
      </c>
      <c r="M803" s="2306" t="s">
        <v>729</v>
      </c>
      <c r="N803" s="74">
        <v>43182</v>
      </c>
      <c r="O803" s="75">
        <f t="shared" si="291"/>
        <v>43182</v>
      </c>
      <c r="P803" s="2765" t="s">
        <v>2965</v>
      </c>
      <c r="Q803" s="2954"/>
      <c r="R803" s="76">
        <v>262.71179999999998</v>
      </c>
      <c r="S803" s="1945" t="s">
        <v>731</v>
      </c>
      <c r="T803" s="77" t="s">
        <v>2784</v>
      </c>
      <c r="U803" s="1893"/>
      <c r="V803" s="2079">
        <f t="shared" ref="V803:V866" si="293">+Q803*(1.18)</f>
        <v>0</v>
      </c>
      <c r="W803" s="78">
        <f t="shared" ref="W803:W866" si="294">+R803*(1.18)</f>
        <v>309.99992399999996</v>
      </c>
      <c r="X803" s="1878" t="str">
        <f t="shared" si="292"/>
        <v>1.- R Vikrant 0390317-OT_008125  Reencauche 0001-010829 ZY-220</v>
      </c>
      <c r="Z803" s="19" t="str">
        <f t="shared" si="290"/>
        <v>Sacar_BandaReenc. MASTERCAUCHO</v>
      </c>
    </row>
    <row r="804" spans="2:26" ht="15.2" customHeight="1">
      <c r="B804" s="37"/>
      <c r="E804" s="2756">
        <v>2</v>
      </c>
      <c r="F804" s="2297" t="s">
        <v>723</v>
      </c>
      <c r="G804" s="68" t="s">
        <v>737</v>
      </c>
      <c r="H804" s="69" t="s">
        <v>2937</v>
      </c>
      <c r="I804" s="68" t="s">
        <v>726</v>
      </c>
      <c r="J804" s="70" t="s">
        <v>727</v>
      </c>
      <c r="K804" s="2305" t="s">
        <v>2955</v>
      </c>
      <c r="L804" s="72">
        <v>43178</v>
      </c>
      <c r="M804" s="2306" t="s">
        <v>729</v>
      </c>
      <c r="N804" s="74">
        <v>43182</v>
      </c>
      <c r="O804" s="75">
        <f t="shared" si="291"/>
        <v>43182</v>
      </c>
      <c r="P804" s="2765" t="s">
        <v>2965</v>
      </c>
      <c r="Q804" s="2954"/>
      <c r="R804" s="76">
        <v>262.71179999999998</v>
      </c>
      <c r="S804" s="1945" t="s">
        <v>731</v>
      </c>
      <c r="T804" s="77" t="s">
        <v>2784</v>
      </c>
      <c r="U804" s="1893"/>
      <c r="V804" s="2079">
        <f t="shared" si="293"/>
        <v>0</v>
      </c>
      <c r="W804" s="78">
        <f t="shared" si="294"/>
        <v>309.99992399999996</v>
      </c>
      <c r="X804" s="1878" t="str">
        <f t="shared" si="292"/>
        <v>2.- R Vikrant 0420317-OT_008125  Reencauche 0001-010829 ZY-220</v>
      </c>
      <c r="Z804" s="19" t="str">
        <f t="shared" si="290"/>
        <v>Sacar_BandaReenc. MASTERCAUCHO</v>
      </c>
    </row>
    <row r="805" spans="2:26" ht="15.2" customHeight="1">
      <c r="B805" s="37"/>
      <c r="E805" s="2845">
        <v>3</v>
      </c>
      <c r="F805" s="2297" t="s">
        <v>723</v>
      </c>
      <c r="G805" s="68" t="s">
        <v>2958</v>
      </c>
      <c r="H805" s="69" t="s">
        <v>2964</v>
      </c>
      <c r="I805" s="2141" t="s">
        <v>3224</v>
      </c>
      <c r="J805" s="70" t="s">
        <v>727</v>
      </c>
      <c r="K805" s="2305" t="s">
        <v>857</v>
      </c>
      <c r="L805" s="72"/>
      <c r="M805" s="2306" t="s">
        <v>729</v>
      </c>
      <c r="N805" s="74">
        <v>43182</v>
      </c>
      <c r="O805" s="75">
        <f>+N805</f>
        <v>43182</v>
      </c>
      <c r="P805" s="2765" t="s">
        <v>2965</v>
      </c>
      <c r="Q805" s="2954"/>
      <c r="R805" s="76">
        <v>211.86439999999999</v>
      </c>
      <c r="S805" s="1945" t="s">
        <v>731</v>
      </c>
      <c r="T805" s="77" t="s">
        <v>2967</v>
      </c>
      <c r="U805" s="1893"/>
      <c r="V805" s="2079">
        <f t="shared" si="293"/>
        <v>0</v>
      </c>
      <c r="W805" s="78">
        <f t="shared" si="294"/>
        <v>249.99999199999996</v>
      </c>
      <c r="X805" s="1878" t="str">
        <f t="shared" si="292"/>
        <v>3.- R DUNHOPE 8070318-OT_S/D  Casc 2a trnspl 0001-010829 8070318 Dunh DH678 0116 Chi</v>
      </c>
      <c r="Z805" s="19" t="str">
        <f t="shared" si="290"/>
        <v>Sacar_BandaReenc. MASTERCAUCHO</v>
      </c>
    </row>
    <row r="806" spans="2:26" ht="15.2" customHeight="1">
      <c r="B806" s="37"/>
      <c r="E806" s="2756">
        <v>4</v>
      </c>
      <c r="F806" s="2297" t="s">
        <v>732</v>
      </c>
      <c r="G806" s="68" t="s">
        <v>737</v>
      </c>
      <c r="H806" s="69" t="s">
        <v>2703</v>
      </c>
      <c r="I806" s="68" t="s">
        <v>744</v>
      </c>
      <c r="J806" s="70" t="s">
        <v>727</v>
      </c>
      <c r="K806" s="2305" t="s">
        <v>2955</v>
      </c>
      <c r="L806" s="72">
        <v>43178</v>
      </c>
      <c r="M806" s="2306" t="s">
        <v>729</v>
      </c>
      <c r="N806" s="74">
        <v>43182</v>
      </c>
      <c r="O806" s="75">
        <f t="shared" si="291"/>
        <v>43182</v>
      </c>
      <c r="P806" s="2765" t="s">
        <v>2966</v>
      </c>
      <c r="Q806" s="2954"/>
      <c r="R806" s="76">
        <v>0</v>
      </c>
      <c r="S806" s="1945" t="s">
        <v>731</v>
      </c>
      <c r="T806" s="77"/>
      <c r="U806" s="1893"/>
      <c r="V806" s="2079">
        <f t="shared" si="293"/>
        <v>0</v>
      </c>
      <c r="W806" s="78">
        <f t="shared" si="294"/>
        <v>0</v>
      </c>
      <c r="X806" s="1878" t="str">
        <f t="shared" si="292"/>
        <v xml:space="preserve">4.- C Vikrant 8070116-OT_008125  Sacar_Banda G0001-003718 </v>
      </c>
      <c r="Z806" s="19" t="str">
        <f t="shared" ref="Z806:Z809" si="295">CONCATENATE(I809,J809)</f>
        <v>Sacar_BandaReenc. MASTERCAUCHO</v>
      </c>
    </row>
    <row r="807" spans="2:26" ht="15.2" customHeight="1">
      <c r="B807" s="37"/>
      <c r="E807" s="2756">
        <v>5</v>
      </c>
      <c r="F807" s="2297" t="s">
        <v>732</v>
      </c>
      <c r="G807" s="68" t="s">
        <v>733</v>
      </c>
      <c r="H807" s="69" t="s">
        <v>983</v>
      </c>
      <c r="I807" s="68" t="s">
        <v>744</v>
      </c>
      <c r="J807" s="70" t="s">
        <v>727</v>
      </c>
      <c r="K807" s="2305" t="s">
        <v>2955</v>
      </c>
      <c r="L807" s="72">
        <v>43178</v>
      </c>
      <c r="M807" s="2306" t="s">
        <v>729</v>
      </c>
      <c r="N807" s="74">
        <v>43182</v>
      </c>
      <c r="O807" s="75">
        <f t="shared" si="291"/>
        <v>43182</v>
      </c>
      <c r="P807" s="2765" t="s">
        <v>2966</v>
      </c>
      <c r="Q807" s="2954"/>
      <c r="R807" s="76">
        <v>0</v>
      </c>
      <c r="S807" s="1945" t="s">
        <v>731</v>
      </c>
      <c r="T807" s="77"/>
      <c r="U807" s="1893"/>
      <c r="V807" s="2079">
        <f t="shared" si="293"/>
        <v>0</v>
      </c>
      <c r="W807" s="78">
        <f t="shared" si="294"/>
        <v>0</v>
      </c>
      <c r="X807" s="1878" t="str">
        <f t="shared" si="292"/>
        <v xml:space="preserve">5.- C Lima Caucho 1211210-OT_008125  Sacar_Banda G0001-003718 </v>
      </c>
      <c r="Z807" s="19" t="str">
        <f t="shared" si="295"/>
        <v>Casc 2a trnsplReenc. MASTERCAUCHO</v>
      </c>
    </row>
    <row r="808" spans="2:26" ht="15.2" customHeight="1">
      <c r="B808" s="37"/>
      <c r="E808" s="2756">
        <v>6</v>
      </c>
      <c r="F808" s="2297" t="s">
        <v>732</v>
      </c>
      <c r="G808" s="68" t="s">
        <v>737</v>
      </c>
      <c r="H808" s="69" t="s">
        <v>1282</v>
      </c>
      <c r="I808" s="68" t="s">
        <v>744</v>
      </c>
      <c r="J808" s="70" t="s">
        <v>727</v>
      </c>
      <c r="K808" s="2305" t="s">
        <v>2955</v>
      </c>
      <c r="L808" s="72">
        <v>43178</v>
      </c>
      <c r="M808" s="2306" t="s">
        <v>729</v>
      </c>
      <c r="N808" s="74">
        <v>43182</v>
      </c>
      <c r="O808" s="75">
        <f t="shared" si="291"/>
        <v>43182</v>
      </c>
      <c r="P808" s="2765" t="s">
        <v>2966</v>
      </c>
      <c r="Q808" s="2954"/>
      <c r="R808" s="76">
        <v>0</v>
      </c>
      <c r="S808" s="1945" t="s">
        <v>731</v>
      </c>
      <c r="T808" s="77"/>
      <c r="U808" s="1893"/>
      <c r="V808" s="2079">
        <f t="shared" si="293"/>
        <v>0</v>
      </c>
      <c r="W808" s="78">
        <f t="shared" si="294"/>
        <v>0</v>
      </c>
      <c r="X808" s="1878" t="str">
        <f t="shared" si="292"/>
        <v xml:space="preserve">6.- C Vikrant 0140310-OT_008125  Sacar_Banda G0001-003718 </v>
      </c>
      <c r="Z808" s="19" t="str">
        <f t="shared" si="295"/>
        <v>Casc 2a trnsplReenc. MASTERCAUCHO</v>
      </c>
    </row>
    <row r="809" spans="2:26" ht="15.2" customHeight="1">
      <c r="B809" s="37"/>
      <c r="E809" s="79">
        <v>7</v>
      </c>
      <c r="F809" s="2294" t="s">
        <v>732</v>
      </c>
      <c r="G809" s="81" t="s">
        <v>737</v>
      </c>
      <c r="H809" s="82" t="s">
        <v>1340</v>
      </c>
      <c r="I809" s="81" t="s">
        <v>744</v>
      </c>
      <c r="J809" s="83" t="s">
        <v>727</v>
      </c>
      <c r="K809" s="2295" t="s">
        <v>2955</v>
      </c>
      <c r="L809" s="85">
        <v>43178</v>
      </c>
      <c r="M809" s="2296" t="s">
        <v>729</v>
      </c>
      <c r="N809" s="87">
        <v>43182</v>
      </c>
      <c r="O809" s="88">
        <f t="shared" ref="O809:O812" si="296">+N809</f>
        <v>43182</v>
      </c>
      <c r="P809" s="2766" t="s">
        <v>2966</v>
      </c>
      <c r="Q809" s="2955"/>
      <c r="R809" s="89">
        <v>0</v>
      </c>
      <c r="S809" s="1946" t="s">
        <v>731</v>
      </c>
      <c r="T809" s="77"/>
      <c r="U809" s="1893"/>
      <c r="V809" s="2079">
        <f t="shared" si="293"/>
        <v>0</v>
      </c>
      <c r="W809" s="78">
        <f t="shared" si="294"/>
        <v>0</v>
      </c>
      <c r="X809" s="1878" t="str">
        <f t="shared" si="292"/>
        <v xml:space="preserve">7.- C Vikrant 0060111-OT_008125  Sacar_Banda G0001-003718 </v>
      </c>
      <c r="Z809" s="19" t="str">
        <f t="shared" si="295"/>
        <v>Casc 2a trnsplReenc. MASTERCAUCHO</v>
      </c>
    </row>
    <row r="810" spans="2:26" ht="15.2" customHeight="1">
      <c r="B810" s="37"/>
      <c r="E810" s="38">
        <v>1</v>
      </c>
      <c r="F810" s="2375" t="s">
        <v>723</v>
      </c>
      <c r="G810" s="40" t="s">
        <v>724</v>
      </c>
      <c r="H810" s="41" t="s">
        <v>3001</v>
      </c>
      <c r="I810" s="40" t="s">
        <v>3224</v>
      </c>
      <c r="J810" s="677" t="s">
        <v>727</v>
      </c>
      <c r="K810" s="2887" t="s">
        <v>857</v>
      </c>
      <c r="L810" s="44"/>
      <c r="M810" s="2386" t="s">
        <v>729</v>
      </c>
      <c r="N810" s="46">
        <v>43193</v>
      </c>
      <c r="O810" s="47">
        <f t="shared" si="296"/>
        <v>43193</v>
      </c>
      <c r="P810" s="2763" t="s">
        <v>3019</v>
      </c>
      <c r="Q810" s="2952"/>
      <c r="R810" s="48">
        <v>211.86439999999999</v>
      </c>
      <c r="S810" s="1943" t="s">
        <v>731</v>
      </c>
      <c r="T810" s="77" t="s">
        <v>3014</v>
      </c>
      <c r="U810" s="1893"/>
      <c r="V810" s="2079">
        <f t="shared" si="293"/>
        <v>0</v>
      </c>
      <c r="W810" s="78">
        <f t="shared" si="294"/>
        <v>249.99999199999996</v>
      </c>
      <c r="X810" s="1878" t="str">
        <f t="shared" si="292"/>
        <v>1.- R Aeolus 8080418-OT_S/D  Casc 2a trnspl 0001-010908 8080418 Aeolus HN353 1614 China</v>
      </c>
      <c r="Z810" s="19" t="str">
        <f t="shared" si="290"/>
        <v>Casc 2a trnsplReenc. MASTERCAUCHO</v>
      </c>
    </row>
    <row r="811" spans="2:26" ht="15.2" customHeight="1">
      <c r="B811" s="37"/>
      <c r="E811" s="2886">
        <v>2</v>
      </c>
      <c r="F811" s="2297" t="s">
        <v>723</v>
      </c>
      <c r="G811" s="68" t="s">
        <v>724</v>
      </c>
      <c r="H811" s="69" t="s">
        <v>3002</v>
      </c>
      <c r="I811" s="68" t="s">
        <v>3224</v>
      </c>
      <c r="J811" s="70" t="s">
        <v>727</v>
      </c>
      <c r="K811" s="2305" t="s">
        <v>857</v>
      </c>
      <c r="L811" s="72"/>
      <c r="M811" s="2306" t="s">
        <v>729</v>
      </c>
      <c r="N811" s="74">
        <v>43193</v>
      </c>
      <c r="O811" s="75">
        <f t="shared" si="296"/>
        <v>43193</v>
      </c>
      <c r="P811" s="2765" t="s">
        <v>3019</v>
      </c>
      <c r="Q811" s="2954"/>
      <c r="R811" s="76">
        <v>211.86439999999999</v>
      </c>
      <c r="S811" s="1945" t="s">
        <v>731</v>
      </c>
      <c r="T811" s="77" t="s">
        <v>3015</v>
      </c>
      <c r="U811" s="1893"/>
      <c r="V811" s="2079">
        <f t="shared" si="293"/>
        <v>0</v>
      </c>
      <c r="W811" s="78">
        <f t="shared" si="294"/>
        <v>249.99999199999996</v>
      </c>
      <c r="X811" s="1878" t="str">
        <f t="shared" si="292"/>
        <v>2.- R Aeolus 8090418-OT_S/D  Casc 2a trnspl 0001-010908 8090418 Aeolus HN08 1514 China</v>
      </c>
      <c r="Z811" s="19" t="str">
        <f t="shared" si="290"/>
        <v>ReencaucheReencauchadora RENOVA</v>
      </c>
    </row>
    <row r="812" spans="2:26" ht="15.2" customHeight="1">
      <c r="B812" s="37"/>
      <c r="E812" s="2886">
        <v>3</v>
      </c>
      <c r="F812" s="2297" t="s">
        <v>723</v>
      </c>
      <c r="G812" s="68" t="s">
        <v>3005</v>
      </c>
      <c r="H812" s="69" t="s">
        <v>3003</v>
      </c>
      <c r="I812" s="68" t="s">
        <v>3224</v>
      </c>
      <c r="J812" s="70" t="s">
        <v>727</v>
      </c>
      <c r="K812" s="2305" t="s">
        <v>857</v>
      </c>
      <c r="L812" s="72"/>
      <c r="M812" s="2306" t="s">
        <v>729</v>
      </c>
      <c r="N812" s="74">
        <v>43193</v>
      </c>
      <c r="O812" s="75">
        <f t="shared" si="296"/>
        <v>43193</v>
      </c>
      <c r="P812" s="2765" t="s">
        <v>3019</v>
      </c>
      <c r="Q812" s="2954"/>
      <c r="R812" s="76">
        <v>211.86439999999999</v>
      </c>
      <c r="S812" s="1945" t="s">
        <v>731</v>
      </c>
      <c r="T812" s="77" t="s">
        <v>3016</v>
      </c>
      <c r="U812" s="1893"/>
      <c r="V812" s="2079">
        <f t="shared" si="293"/>
        <v>0</v>
      </c>
      <c r="W812" s="78">
        <f t="shared" si="294"/>
        <v>249.99999199999996</v>
      </c>
      <c r="X812" s="1878" t="str">
        <f t="shared" si="292"/>
        <v>3.- R KAPSEN 8100418-OT_S/D  Casc 2a trnspl 0001-010908 8100418 KAPSEN HS268 4615 China</v>
      </c>
      <c r="Z812" s="19" t="str">
        <f t="shared" si="290"/>
        <v>ReencaucheReencauchadora RENOVA</v>
      </c>
    </row>
    <row r="813" spans="2:26" ht="15.2" customHeight="1">
      <c r="B813" s="37"/>
      <c r="E813" s="79">
        <v>4</v>
      </c>
      <c r="F813" s="2294" t="s">
        <v>723</v>
      </c>
      <c r="G813" s="81" t="s">
        <v>2571</v>
      </c>
      <c r="H813" s="82" t="s">
        <v>3004</v>
      </c>
      <c r="I813" s="81" t="s">
        <v>3224</v>
      </c>
      <c r="J813" s="83" t="s">
        <v>727</v>
      </c>
      <c r="K813" s="2295" t="s">
        <v>857</v>
      </c>
      <c r="L813" s="85"/>
      <c r="M813" s="2296" t="s">
        <v>729</v>
      </c>
      <c r="N813" s="87">
        <v>43193</v>
      </c>
      <c r="O813" s="88">
        <f t="shared" si="291"/>
        <v>43193</v>
      </c>
      <c r="P813" s="2766" t="s">
        <v>3019</v>
      </c>
      <c r="Q813" s="2955"/>
      <c r="R813" s="89">
        <v>211.86439999999999</v>
      </c>
      <c r="S813" s="1946" t="s">
        <v>731</v>
      </c>
      <c r="T813" s="77" t="s">
        <v>3017</v>
      </c>
      <c r="U813" s="1893"/>
      <c r="V813" s="2079">
        <f t="shared" si="293"/>
        <v>0</v>
      </c>
      <c r="W813" s="78">
        <f t="shared" si="294"/>
        <v>249.99999199999996</v>
      </c>
      <c r="X813" s="1878" t="str">
        <f t="shared" si="292"/>
        <v>4.- R Continental 8110418-OT_S/D  Casc 2a trnspl 0001-010908 8110418 Continental HDL 0513 U.S:A.</v>
      </c>
      <c r="Z813" s="19" t="str">
        <f t="shared" si="290"/>
        <v>ReencaucheReencauchadora RENOVA</v>
      </c>
    </row>
    <row r="814" spans="2:26" ht="15.2" customHeight="1">
      <c r="B814" s="37"/>
      <c r="E814" s="2756">
        <v>1</v>
      </c>
      <c r="F814" s="2297" t="s">
        <v>723</v>
      </c>
      <c r="G814" s="68" t="s">
        <v>151</v>
      </c>
      <c r="H814" s="69" t="s">
        <v>2949</v>
      </c>
      <c r="I814" s="68" t="s">
        <v>726</v>
      </c>
      <c r="J814" s="70" t="s">
        <v>760</v>
      </c>
      <c r="K814" s="2305" t="s">
        <v>2952</v>
      </c>
      <c r="L814" s="72">
        <v>43174</v>
      </c>
      <c r="M814" s="2306" t="s">
        <v>729</v>
      </c>
      <c r="N814" s="74">
        <v>43180</v>
      </c>
      <c r="O814" s="75">
        <f t="shared" si="291"/>
        <v>43180</v>
      </c>
      <c r="P814" s="2765" t="s">
        <v>2956</v>
      </c>
      <c r="Q814" s="2954">
        <v>100.9</v>
      </c>
      <c r="R814" s="76"/>
      <c r="S814" s="1945" t="s">
        <v>731</v>
      </c>
      <c r="T814" s="77" t="s">
        <v>2570</v>
      </c>
      <c r="U814" s="1893"/>
      <c r="V814" s="2079">
        <f t="shared" si="293"/>
        <v>119.062</v>
      </c>
      <c r="W814" s="78">
        <f t="shared" si="294"/>
        <v>0</v>
      </c>
      <c r="X814" s="1878" t="str">
        <f t="shared" si="292"/>
        <v>1.- R WindPower 0490815-OT_245265  Reencauche F101-00014071 IDY3-220</v>
      </c>
      <c r="Z814" s="19" t="str">
        <f t="shared" si="290"/>
        <v>ReencaucheReenc. MASTERCAUCHO</v>
      </c>
    </row>
    <row r="815" spans="2:26" ht="15.2" customHeight="1">
      <c r="B815" s="37"/>
      <c r="E815" s="2756">
        <v>2</v>
      </c>
      <c r="F815" s="2297" t="s">
        <v>723</v>
      </c>
      <c r="G815" s="68" t="s">
        <v>151</v>
      </c>
      <c r="H815" s="69" t="s">
        <v>2950</v>
      </c>
      <c r="I815" s="68" t="s">
        <v>726</v>
      </c>
      <c r="J815" s="70" t="s">
        <v>760</v>
      </c>
      <c r="K815" s="71" t="s">
        <v>2952</v>
      </c>
      <c r="L815" s="72">
        <v>43174</v>
      </c>
      <c r="M815" s="2306" t="s">
        <v>729</v>
      </c>
      <c r="N815" s="74">
        <v>43180</v>
      </c>
      <c r="O815" s="75">
        <f>+N815</f>
        <v>43180</v>
      </c>
      <c r="P815" s="2765" t="s">
        <v>2956</v>
      </c>
      <c r="Q815" s="2954">
        <v>100.9</v>
      </c>
      <c r="R815" s="76"/>
      <c r="S815" s="1945" t="s">
        <v>731</v>
      </c>
      <c r="T815" s="77" t="s">
        <v>2570</v>
      </c>
      <c r="U815" s="1893"/>
      <c r="V815" s="2079">
        <f t="shared" si="293"/>
        <v>119.062</v>
      </c>
      <c r="W815" s="78">
        <f t="shared" si="294"/>
        <v>0</v>
      </c>
      <c r="X815" s="1878" t="str">
        <f t="shared" si="292"/>
        <v>2.- R WindPower 0500815-OT_245265  Reencauche F101-00014071 IDY3-220</v>
      </c>
      <c r="Z815" s="19" t="str">
        <f t="shared" si="290"/>
        <v>ReencaucheReenc. MASTERCAUCHO</v>
      </c>
    </row>
    <row r="816" spans="2:26" ht="15.2" customHeight="1">
      <c r="B816" s="37"/>
      <c r="E816" s="79">
        <v>3</v>
      </c>
      <c r="F816" s="2843" t="s">
        <v>723</v>
      </c>
      <c r="G816" s="81" t="s">
        <v>151</v>
      </c>
      <c r="H816" s="82" t="s">
        <v>2951</v>
      </c>
      <c r="I816" s="81" t="s">
        <v>726</v>
      </c>
      <c r="J816" s="83" t="s">
        <v>760</v>
      </c>
      <c r="K816" s="84" t="s">
        <v>2952</v>
      </c>
      <c r="L816" s="85">
        <v>43174</v>
      </c>
      <c r="M816" s="2296" t="s">
        <v>729</v>
      </c>
      <c r="N816" s="87">
        <v>43180</v>
      </c>
      <c r="O816" s="88">
        <f>+N816</f>
        <v>43180</v>
      </c>
      <c r="P816" s="2766" t="s">
        <v>2956</v>
      </c>
      <c r="Q816" s="2955">
        <v>100.9</v>
      </c>
      <c r="R816" s="89"/>
      <c r="S816" s="1946" t="s">
        <v>731</v>
      </c>
      <c r="T816" s="77" t="s">
        <v>2570</v>
      </c>
      <c r="U816" s="1893"/>
      <c r="V816" s="2079">
        <f t="shared" si="293"/>
        <v>119.062</v>
      </c>
      <c r="W816" s="78">
        <f t="shared" si="294"/>
        <v>0</v>
      </c>
      <c r="X816" s="1878" t="str">
        <f t="shared" si="292"/>
        <v>3.- R WindPower 0460815-OT_245265  Reencauche F101-00014071 IDY3-220</v>
      </c>
      <c r="Z816" s="19" t="str">
        <f t="shared" si="290"/>
        <v>Transpl BandaReenc. MASTERCAUCHO</v>
      </c>
    </row>
    <row r="817" spans="2:26" ht="15.2" customHeight="1">
      <c r="B817" s="37"/>
      <c r="E817" s="2756">
        <v>1</v>
      </c>
      <c r="F817" s="2297" t="s">
        <v>723</v>
      </c>
      <c r="G817" s="68" t="s">
        <v>724</v>
      </c>
      <c r="H817" s="69" t="s">
        <v>2927</v>
      </c>
      <c r="I817" s="68" t="s">
        <v>726</v>
      </c>
      <c r="J817" s="70" t="s">
        <v>727</v>
      </c>
      <c r="K817" s="2305" t="s">
        <v>2942</v>
      </c>
      <c r="L817" s="72">
        <v>43167</v>
      </c>
      <c r="M817" s="2306" t="s">
        <v>729</v>
      </c>
      <c r="N817" s="74">
        <v>43173</v>
      </c>
      <c r="O817" s="75">
        <f t="shared" si="291"/>
        <v>43173</v>
      </c>
      <c r="P817" s="2765" t="s">
        <v>2953</v>
      </c>
      <c r="Q817" s="2954"/>
      <c r="R817" s="76">
        <v>262.71179999999998</v>
      </c>
      <c r="S817" s="1945" t="s">
        <v>731</v>
      </c>
      <c r="T817" s="77" t="s">
        <v>2784</v>
      </c>
      <c r="U817" s="1893"/>
      <c r="V817" s="2079">
        <f t="shared" si="293"/>
        <v>0</v>
      </c>
      <c r="W817" s="78">
        <f t="shared" si="294"/>
        <v>309.99992399999996</v>
      </c>
      <c r="X817" s="1878" t="str">
        <f t="shared" si="292"/>
        <v>1.- R Aeolus 0660617-OT_008049  Reencauche 0001-010772 ZY-220</v>
      </c>
      <c r="Z817" s="19" t="str">
        <f t="shared" si="290"/>
        <v>Sacar_BandaReenc. MASTERCAUCHO</v>
      </c>
    </row>
    <row r="818" spans="2:26" ht="15.2" customHeight="1">
      <c r="B818" s="37"/>
      <c r="E818" s="2756">
        <v>2</v>
      </c>
      <c r="F818" s="2297" t="s">
        <v>723</v>
      </c>
      <c r="G818" s="68" t="s">
        <v>724</v>
      </c>
      <c r="H818" s="69" t="s">
        <v>2926</v>
      </c>
      <c r="I818" s="68" t="s">
        <v>726</v>
      </c>
      <c r="J818" s="70" t="s">
        <v>727</v>
      </c>
      <c r="K818" s="71" t="s">
        <v>2942</v>
      </c>
      <c r="L818" s="72">
        <v>43167</v>
      </c>
      <c r="M818" s="2306" t="s">
        <v>729</v>
      </c>
      <c r="N818" s="74">
        <v>43173</v>
      </c>
      <c r="O818" s="75">
        <f t="shared" si="291"/>
        <v>43173</v>
      </c>
      <c r="P818" s="2765" t="s">
        <v>2953</v>
      </c>
      <c r="Q818" s="2954"/>
      <c r="R818" s="76">
        <v>262.71179999999998</v>
      </c>
      <c r="S818" s="1945" t="s">
        <v>731</v>
      </c>
      <c r="T818" s="77" t="s">
        <v>2784</v>
      </c>
      <c r="U818" s="1893"/>
      <c r="V818" s="2079">
        <f t="shared" si="293"/>
        <v>0</v>
      </c>
      <c r="W818" s="78">
        <f t="shared" si="294"/>
        <v>309.99992399999996</v>
      </c>
      <c r="X818" s="1878" t="str">
        <f t="shared" si="292"/>
        <v>2.- R Aeolus 0110215-OT_008049  Reencauche 0001-010772 ZY-220</v>
      </c>
      <c r="Z818" s="19" t="str">
        <f>CONCATENATE(I821,J821)</f>
        <v>ReencaucheReencauchadora RENOVA</v>
      </c>
    </row>
    <row r="819" spans="2:26" ht="15.2" customHeight="1">
      <c r="B819" s="37"/>
      <c r="E819" s="2756">
        <v>3</v>
      </c>
      <c r="F819" s="2841" t="s">
        <v>723</v>
      </c>
      <c r="G819" s="2837" t="s">
        <v>737</v>
      </c>
      <c r="H819" s="2838" t="s">
        <v>2924</v>
      </c>
      <c r="I819" s="2840" t="s">
        <v>740</v>
      </c>
      <c r="J819" s="70" t="s">
        <v>727</v>
      </c>
      <c r="K819" s="71" t="s">
        <v>2942</v>
      </c>
      <c r="L819" s="72">
        <v>43167</v>
      </c>
      <c r="M819" s="2306" t="s">
        <v>729</v>
      </c>
      <c r="N819" s="2839">
        <v>43178</v>
      </c>
      <c r="O819" s="75">
        <f t="shared" si="291"/>
        <v>43178</v>
      </c>
      <c r="P819" s="2765" t="s">
        <v>2953</v>
      </c>
      <c r="Q819" s="2954"/>
      <c r="R819" s="76">
        <v>186.44</v>
      </c>
      <c r="S819" s="1945" t="s">
        <v>731</v>
      </c>
      <c r="T819" s="77" t="s">
        <v>2954</v>
      </c>
      <c r="U819" s="1893"/>
      <c r="V819" s="2079">
        <f t="shared" si="293"/>
        <v>0</v>
      </c>
      <c r="W819" s="78">
        <f t="shared" si="294"/>
        <v>219.99919999999997</v>
      </c>
      <c r="X819" s="1878" t="str">
        <f t="shared" si="292"/>
        <v>3.- R Vikrant 0230217-OT_008049  Transpl Banda 0001-010772 Serv Anillado</v>
      </c>
      <c r="Z819" s="19" t="str">
        <f>CONCATENATE(I822,J822)</f>
        <v>ReencaucheReencauchadora RENOVA</v>
      </c>
    </row>
    <row r="820" spans="2:26" ht="15.2" customHeight="1">
      <c r="B820" s="37"/>
      <c r="E820" s="79">
        <v>4</v>
      </c>
      <c r="F820" s="2575" t="s">
        <v>723</v>
      </c>
      <c r="G820" s="2576" t="s">
        <v>151</v>
      </c>
      <c r="H820" s="2577" t="s">
        <v>2817</v>
      </c>
      <c r="I820" s="2576" t="s">
        <v>744</v>
      </c>
      <c r="J820" s="2578" t="s">
        <v>727</v>
      </c>
      <c r="K820" s="2579" t="s">
        <v>2942</v>
      </c>
      <c r="L820" s="2580">
        <v>43167</v>
      </c>
      <c r="M820" s="3132"/>
      <c r="N820" s="2582"/>
      <c r="O820" s="2583">
        <f t="shared" si="291"/>
        <v>0</v>
      </c>
      <c r="P820" s="2941"/>
      <c r="Q820" s="2957"/>
      <c r="R820" s="2584"/>
      <c r="S820" s="2585" t="s">
        <v>731</v>
      </c>
      <c r="T820" s="77" t="s">
        <v>3774</v>
      </c>
      <c r="U820" s="1893"/>
      <c r="V820" s="2079">
        <f t="shared" si="293"/>
        <v>0</v>
      </c>
      <c r="W820" s="78">
        <f t="shared" si="294"/>
        <v>0</v>
      </c>
      <c r="X820" s="1878" t="str">
        <f t="shared" si="292"/>
        <v>4.- R WindPower 0791115-OT_008049  Sacar_Banda  EN DESECHO AL 05/07/19</v>
      </c>
      <c r="Z820" s="19" t="str">
        <f>CONCATENATE(I823,J823)</f>
        <v>ReencaucheReencauchadora RENOVA</v>
      </c>
    </row>
    <row r="821" spans="2:26" ht="15.2" customHeight="1">
      <c r="B821" s="37"/>
      <c r="E821" s="38">
        <v>1</v>
      </c>
      <c r="F821" s="2375" t="s">
        <v>723</v>
      </c>
      <c r="G821" s="40" t="s">
        <v>724</v>
      </c>
      <c r="H821" s="41" t="s">
        <v>2946</v>
      </c>
      <c r="I821" s="40" t="s">
        <v>726</v>
      </c>
      <c r="J821" s="677" t="s">
        <v>760</v>
      </c>
      <c r="K821" s="43" t="s">
        <v>2939</v>
      </c>
      <c r="L821" s="44">
        <v>43167</v>
      </c>
      <c r="M821" s="2386" t="s">
        <v>729</v>
      </c>
      <c r="N821" s="46">
        <v>43173</v>
      </c>
      <c r="O821" s="47">
        <f t="shared" ref="O821:O838" si="297">+N821</f>
        <v>43173</v>
      </c>
      <c r="P821" s="2763" t="s">
        <v>2948</v>
      </c>
      <c r="Q821" s="2952">
        <v>100.9</v>
      </c>
      <c r="R821" s="48"/>
      <c r="S821" s="1943" t="s">
        <v>731</v>
      </c>
      <c r="T821" s="77" t="s">
        <v>2570</v>
      </c>
      <c r="U821" s="1893"/>
      <c r="V821" s="2079">
        <f t="shared" si="293"/>
        <v>119.062</v>
      </c>
      <c r="W821" s="78">
        <f t="shared" si="294"/>
        <v>0</v>
      </c>
      <c r="X821" s="1878" t="str">
        <f t="shared" si="292"/>
        <v>1.- R Aeolus 0050115-OT_245251  Reencauche F101-00013965 IDY3-220</v>
      </c>
      <c r="Z821" s="19" t="str">
        <f t="shared" ref="Z821:Z829" si="298">CONCATENATE(I824,J824)</f>
        <v>ReencaucheReencauchadora RENOVA</v>
      </c>
    </row>
    <row r="822" spans="2:26" ht="15.2" customHeight="1">
      <c r="B822" s="37"/>
      <c r="E822" s="2753">
        <v>2</v>
      </c>
      <c r="F822" s="2297" t="s">
        <v>723</v>
      </c>
      <c r="G822" s="68" t="s">
        <v>724</v>
      </c>
      <c r="H822" s="69" t="s">
        <v>2945</v>
      </c>
      <c r="I822" s="68" t="s">
        <v>726</v>
      </c>
      <c r="J822" s="70" t="s">
        <v>760</v>
      </c>
      <c r="K822" s="71" t="s">
        <v>2939</v>
      </c>
      <c r="L822" s="72">
        <v>43167</v>
      </c>
      <c r="M822" s="2306" t="s">
        <v>729</v>
      </c>
      <c r="N822" s="74">
        <v>43173</v>
      </c>
      <c r="O822" s="75">
        <f t="shared" si="297"/>
        <v>43173</v>
      </c>
      <c r="P822" s="2765" t="s">
        <v>2948</v>
      </c>
      <c r="Q822" s="2954">
        <v>100.9</v>
      </c>
      <c r="R822" s="76"/>
      <c r="S822" s="1945" t="s">
        <v>731</v>
      </c>
      <c r="T822" s="77" t="s">
        <v>2570</v>
      </c>
      <c r="U822" s="1893"/>
      <c r="V822" s="2079">
        <f t="shared" si="293"/>
        <v>119.062</v>
      </c>
      <c r="W822" s="78">
        <f t="shared" si="294"/>
        <v>0</v>
      </c>
      <c r="X822" s="1878" t="str">
        <f t="shared" si="292"/>
        <v>2.- R Aeolus 0120116-OT_245251  Reencauche F101-00013965 IDY3-220</v>
      </c>
      <c r="Z822" s="19" t="str">
        <f t="shared" si="298"/>
        <v>ReencaucheReencauchadora RENOVA</v>
      </c>
    </row>
    <row r="823" spans="2:26" ht="15.2" customHeight="1">
      <c r="B823" s="37"/>
      <c r="E823" s="2753">
        <v>3</v>
      </c>
      <c r="F823" s="2297" t="s">
        <v>723</v>
      </c>
      <c r="G823" s="68" t="s">
        <v>737</v>
      </c>
      <c r="H823" s="69" t="s">
        <v>2935</v>
      </c>
      <c r="I823" s="68" t="s">
        <v>726</v>
      </c>
      <c r="J823" s="70" t="s">
        <v>760</v>
      </c>
      <c r="K823" s="71" t="s">
        <v>2939</v>
      </c>
      <c r="L823" s="72">
        <v>43167</v>
      </c>
      <c r="M823" s="2306" t="s">
        <v>729</v>
      </c>
      <c r="N823" s="74">
        <v>43173</v>
      </c>
      <c r="O823" s="75">
        <f t="shared" si="297"/>
        <v>43173</v>
      </c>
      <c r="P823" s="2765" t="s">
        <v>2948</v>
      </c>
      <c r="Q823" s="2954">
        <v>100.9</v>
      </c>
      <c r="R823" s="76"/>
      <c r="S823" s="1945" t="s">
        <v>731</v>
      </c>
      <c r="T823" s="77" t="s">
        <v>2570</v>
      </c>
      <c r="U823" s="1893"/>
      <c r="V823" s="2079">
        <f t="shared" si="293"/>
        <v>119.062</v>
      </c>
      <c r="W823" s="78">
        <f t="shared" si="294"/>
        <v>0</v>
      </c>
      <c r="X823" s="1878" t="str">
        <f t="shared" si="292"/>
        <v>3.- R Vikrant 0050117-OT_245251  Reencauche F101-00013965 IDY3-220</v>
      </c>
      <c r="Z823" s="19" t="str">
        <f t="shared" si="298"/>
        <v>ReencaucheReencauchadora RENOVA</v>
      </c>
    </row>
    <row r="824" spans="2:26" ht="15.2" customHeight="1">
      <c r="B824" s="37"/>
      <c r="E824" s="2753">
        <v>4</v>
      </c>
      <c r="F824" s="2297" t="s">
        <v>723</v>
      </c>
      <c r="G824" s="68" t="s">
        <v>2460</v>
      </c>
      <c r="H824" s="69" t="s">
        <v>2934</v>
      </c>
      <c r="I824" s="68" t="s">
        <v>726</v>
      </c>
      <c r="J824" s="70" t="s">
        <v>760</v>
      </c>
      <c r="K824" s="2305" t="s">
        <v>2939</v>
      </c>
      <c r="L824" s="72">
        <v>43167</v>
      </c>
      <c r="M824" s="2306" t="s">
        <v>729</v>
      </c>
      <c r="N824" s="74">
        <v>43173</v>
      </c>
      <c r="O824" s="75">
        <f t="shared" si="297"/>
        <v>43173</v>
      </c>
      <c r="P824" s="2765" t="s">
        <v>2948</v>
      </c>
      <c r="Q824" s="2954">
        <v>105.33</v>
      </c>
      <c r="R824" s="76"/>
      <c r="S824" s="1945" t="s">
        <v>731</v>
      </c>
      <c r="T824" s="77" t="s">
        <v>2569</v>
      </c>
      <c r="U824" s="1893"/>
      <c r="V824" s="2079">
        <f t="shared" si="293"/>
        <v>124.28939999999999</v>
      </c>
      <c r="W824" s="78">
        <f t="shared" si="294"/>
        <v>0</v>
      </c>
      <c r="X824" s="1878" t="str">
        <f t="shared" si="292"/>
        <v>4.- R MICHELLIN 8391217-OT_245251  Reencauche F101-00013965 IDY3-235</v>
      </c>
      <c r="Z824" s="19" t="str">
        <f t="shared" si="298"/>
        <v>ReencaucheReencauchadora RENOVA</v>
      </c>
    </row>
    <row r="825" spans="2:26" ht="15.2" customHeight="1">
      <c r="B825" s="37"/>
      <c r="E825" s="2753">
        <v>5</v>
      </c>
      <c r="F825" s="2297" t="s">
        <v>723</v>
      </c>
      <c r="G825" s="68" t="s">
        <v>737</v>
      </c>
      <c r="H825" s="69" t="s">
        <v>2936</v>
      </c>
      <c r="I825" s="68" t="s">
        <v>726</v>
      </c>
      <c r="J825" s="70" t="s">
        <v>760</v>
      </c>
      <c r="K825" s="71" t="s">
        <v>2939</v>
      </c>
      <c r="L825" s="72">
        <v>43167</v>
      </c>
      <c r="M825" s="2306" t="s">
        <v>729</v>
      </c>
      <c r="N825" s="74">
        <v>43173</v>
      </c>
      <c r="O825" s="75">
        <f t="shared" si="297"/>
        <v>43173</v>
      </c>
      <c r="P825" s="2765"/>
      <c r="Q825" s="2954"/>
      <c r="R825" s="76"/>
      <c r="S825" s="1945" t="s">
        <v>731</v>
      </c>
      <c r="T825" s="77" t="s">
        <v>2947</v>
      </c>
      <c r="U825" s="1893"/>
      <c r="V825" s="2079">
        <f t="shared" si="293"/>
        <v>0</v>
      </c>
      <c r="W825" s="78">
        <f t="shared" si="294"/>
        <v>0</v>
      </c>
      <c r="X825" s="1878" t="str">
        <f t="shared" si="292"/>
        <v>5.- R Vikrant 0390317-OT_245251  Reencauche  Rechazada, G030-0071799</v>
      </c>
      <c r="Z825" s="19" t="str">
        <f t="shared" si="298"/>
        <v>ReencaucheReenc. MASTERCAUCHO</v>
      </c>
    </row>
    <row r="826" spans="2:26" ht="15.2" customHeight="1">
      <c r="B826" s="37"/>
      <c r="E826" s="2753">
        <v>6</v>
      </c>
      <c r="F826" s="2297" t="s">
        <v>723</v>
      </c>
      <c r="G826" s="68" t="s">
        <v>737</v>
      </c>
      <c r="H826" s="69" t="s">
        <v>2937</v>
      </c>
      <c r="I826" s="68" t="s">
        <v>726</v>
      </c>
      <c r="J826" s="70" t="s">
        <v>760</v>
      </c>
      <c r="K826" s="71" t="s">
        <v>2939</v>
      </c>
      <c r="L826" s="72">
        <v>43167</v>
      </c>
      <c r="M826" s="2306" t="s">
        <v>729</v>
      </c>
      <c r="N826" s="74">
        <v>43173</v>
      </c>
      <c r="O826" s="75">
        <f t="shared" si="297"/>
        <v>43173</v>
      </c>
      <c r="P826" s="2765"/>
      <c r="Q826" s="2954"/>
      <c r="R826" s="76"/>
      <c r="S826" s="1945" t="s">
        <v>731</v>
      </c>
      <c r="T826" s="77" t="s">
        <v>2940</v>
      </c>
      <c r="U826" s="1893"/>
      <c r="V826" s="2079">
        <f t="shared" si="293"/>
        <v>0</v>
      </c>
      <c r="W826" s="78">
        <f t="shared" si="294"/>
        <v>0</v>
      </c>
      <c r="X826" s="1878" t="str">
        <f t="shared" si="292"/>
        <v>6.- R Vikrant 0420317-OT_245251  Reencauche  Rechazada, G030-0071600</v>
      </c>
      <c r="Z826" s="19" t="str">
        <f t="shared" si="298"/>
        <v>ReencaucheReenc. MASTERCAUCHO</v>
      </c>
    </row>
    <row r="827" spans="2:26" ht="15.2" customHeight="1">
      <c r="B827" s="37"/>
      <c r="E827" s="79">
        <v>7</v>
      </c>
      <c r="F827" s="2294" t="s">
        <v>723</v>
      </c>
      <c r="G827" s="81" t="s">
        <v>737</v>
      </c>
      <c r="H827" s="82" t="s">
        <v>2938</v>
      </c>
      <c r="I827" s="81" t="s">
        <v>726</v>
      </c>
      <c r="J827" s="83" t="s">
        <v>760</v>
      </c>
      <c r="K827" s="84" t="s">
        <v>2939</v>
      </c>
      <c r="L827" s="85">
        <v>43167</v>
      </c>
      <c r="M827" s="2296" t="s">
        <v>729</v>
      </c>
      <c r="N827" s="87">
        <v>43173</v>
      </c>
      <c r="O827" s="88">
        <f t="shared" si="297"/>
        <v>43173</v>
      </c>
      <c r="P827" s="2766"/>
      <c r="Q827" s="2955"/>
      <c r="R827" s="89"/>
      <c r="S827" s="1946" t="s">
        <v>731</v>
      </c>
      <c r="T827" s="77" t="s">
        <v>2940</v>
      </c>
      <c r="U827" s="1893"/>
      <c r="V827" s="2079">
        <f t="shared" si="293"/>
        <v>0</v>
      </c>
      <c r="W827" s="78">
        <f t="shared" si="294"/>
        <v>0</v>
      </c>
      <c r="X827" s="1878" t="str">
        <f t="shared" si="292"/>
        <v>7.- R Vikrant 0400317-OT_245251  Reencauche  Rechazada, G030-0071600</v>
      </c>
      <c r="Z827" s="19" t="str">
        <f>CONCATENATE(I830,J830)</f>
        <v>Vulcanizado (curación)Reenc. MASTERCAUCHO</v>
      </c>
    </row>
    <row r="828" spans="2:26" ht="15.2" customHeight="1">
      <c r="B828" s="37"/>
      <c r="E828" s="2753">
        <v>1</v>
      </c>
      <c r="F828" s="2297" t="s">
        <v>723</v>
      </c>
      <c r="G828" s="68" t="s">
        <v>724</v>
      </c>
      <c r="H828" s="69" t="s">
        <v>2874</v>
      </c>
      <c r="I828" s="68" t="s">
        <v>726</v>
      </c>
      <c r="J828" s="70" t="s">
        <v>727</v>
      </c>
      <c r="K828" s="2305" t="s">
        <v>2933</v>
      </c>
      <c r="L828" s="72">
        <v>43165</v>
      </c>
      <c r="M828" s="2306" t="s">
        <v>729</v>
      </c>
      <c r="N828" s="74">
        <v>43167</v>
      </c>
      <c r="O828" s="75">
        <f t="shared" si="297"/>
        <v>43167</v>
      </c>
      <c r="P828" s="2765" t="s">
        <v>2943</v>
      </c>
      <c r="Q828" s="2954"/>
      <c r="R828" s="76">
        <v>262.71179999999998</v>
      </c>
      <c r="S828" s="1945" t="s">
        <v>731</v>
      </c>
      <c r="T828" s="77" t="s">
        <v>2784</v>
      </c>
      <c r="U828" s="1893"/>
      <c r="V828" s="2079">
        <f t="shared" si="293"/>
        <v>0</v>
      </c>
      <c r="W828" s="78">
        <f t="shared" si="294"/>
        <v>309.99992399999996</v>
      </c>
      <c r="X828" s="1878" t="str">
        <f t="shared" si="292"/>
        <v>1.- R Aeolus 0310615-OT_005038  Reencauche 0001-010691 ZY-220</v>
      </c>
      <c r="Z828" s="19" t="str">
        <f>CONCATENATE(I831,J831)</f>
        <v>ReencaucheReenc. MASTERCAUCHO</v>
      </c>
    </row>
    <row r="829" spans="2:26" ht="15.2" customHeight="1">
      <c r="B829" s="37"/>
      <c r="E829" s="2753">
        <v>2</v>
      </c>
      <c r="F829" s="2297" t="s">
        <v>723</v>
      </c>
      <c r="G829" s="68" t="s">
        <v>737</v>
      </c>
      <c r="H829" s="69" t="s">
        <v>2930</v>
      </c>
      <c r="I829" s="68" t="s">
        <v>726</v>
      </c>
      <c r="J829" s="70" t="s">
        <v>727</v>
      </c>
      <c r="K829" s="71" t="s">
        <v>2933</v>
      </c>
      <c r="L829" s="72">
        <v>43165</v>
      </c>
      <c r="M829" s="2306" t="s">
        <v>729</v>
      </c>
      <c r="N829" s="74">
        <v>43167</v>
      </c>
      <c r="O829" s="75">
        <f t="shared" si="297"/>
        <v>43167</v>
      </c>
      <c r="P829" s="2765" t="s">
        <v>2943</v>
      </c>
      <c r="Q829" s="2954"/>
      <c r="R829" s="76">
        <v>262.71179999999998</v>
      </c>
      <c r="S829" s="1945" t="s">
        <v>731</v>
      </c>
      <c r="T829" s="77" t="s">
        <v>2784</v>
      </c>
      <c r="U829" s="1893"/>
      <c r="V829" s="2079">
        <f t="shared" si="293"/>
        <v>0</v>
      </c>
      <c r="W829" s="78">
        <f t="shared" si="294"/>
        <v>309.99992399999996</v>
      </c>
      <c r="X829" s="1878" t="str">
        <f t="shared" si="292"/>
        <v>2.- R Vikrant 0941216-OT_005038  Reencauche 0001-010691 ZY-220</v>
      </c>
      <c r="Z829" s="19" t="str">
        <f t="shared" si="298"/>
        <v>Sacar_BandaReenc. MASTERCAUCHO</v>
      </c>
    </row>
    <row r="830" spans="2:26" ht="15.2" customHeight="1">
      <c r="B830" s="37"/>
      <c r="E830" s="2753">
        <v>3</v>
      </c>
      <c r="F830" s="2297" t="s">
        <v>723</v>
      </c>
      <c r="G830" s="68" t="s">
        <v>724</v>
      </c>
      <c r="H830" s="69" t="s">
        <v>2931</v>
      </c>
      <c r="I830" s="68" t="s">
        <v>811</v>
      </c>
      <c r="J830" s="70" t="s">
        <v>727</v>
      </c>
      <c r="K830" s="71" t="s">
        <v>2933</v>
      </c>
      <c r="L830" s="72">
        <v>43165</v>
      </c>
      <c r="M830" s="2306" t="s">
        <v>729</v>
      </c>
      <c r="N830" s="74">
        <v>43167</v>
      </c>
      <c r="O830" s="75">
        <f t="shared" si="297"/>
        <v>43167</v>
      </c>
      <c r="P830" s="2765" t="s">
        <v>2943</v>
      </c>
      <c r="Q830" s="2954"/>
      <c r="R830" s="76">
        <v>84.745699999999999</v>
      </c>
      <c r="S830" s="1945" t="s">
        <v>731</v>
      </c>
      <c r="T830" s="77"/>
      <c r="U830" s="1893"/>
      <c r="V830" s="2079">
        <f t="shared" si="293"/>
        <v>0</v>
      </c>
      <c r="W830" s="78">
        <f t="shared" si="294"/>
        <v>99.999925999999988</v>
      </c>
      <c r="X830" s="1878" t="str">
        <f t="shared" si="292"/>
        <v xml:space="preserve">3.- R Aeolus 0661015-OT_005038  Vulcanizado (curación) 0001-010691 </v>
      </c>
      <c r="Z830" s="19" t="str">
        <f>CONCATENATE(I833,J833)</f>
        <v>ReencaucheReencauchadora RENOVA</v>
      </c>
    </row>
    <row r="831" spans="2:26" ht="15.2" customHeight="1">
      <c r="B831" s="37"/>
      <c r="E831" s="2753">
        <v>4</v>
      </c>
      <c r="F831" s="2297" t="s">
        <v>723</v>
      </c>
      <c r="G831" s="68" t="s">
        <v>737</v>
      </c>
      <c r="H831" s="69" t="s">
        <v>2929</v>
      </c>
      <c r="I831" s="68" t="s">
        <v>726</v>
      </c>
      <c r="J831" s="70" t="s">
        <v>727</v>
      </c>
      <c r="K831" s="71" t="s">
        <v>2933</v>
      </c>
      <c r="L831" s="72">
        <v>43165</v>
      </c>
      <c r="M831" s="2306" t="s">
        <v>729</v>
      </c>
      <c r="N831" s="74">
        <v>43167</v>
      </c>
      <c r="O831" s="75">
        <f t="shared" si="297"/>
        <v>43167</v>
      </c>
      <c r="P831" s="2765"/>
      <c r="Q831" s="2954"/>
      <c r="R831" s="76">
        <v>0</v>
      </c>
      <c r="S831" s="1945" t="s">
        <v>731</v>
      </c>
      <c r="T831" s="77" t="s">
        <v>2944</v>
      </c>
      <c r="U831" s="1893"/>
      <c r="V831" s="2079">
        <f t="shared" si="293"/>
        <v>0</v>
      </c>
      <c r="W831" s="78">
        <f t="shared" si="294"/>
        <v>0</v>
      </c>
      <c r="X831" s="1878" t="str">
        <f t="shared" si="292"/>
        <v>4.- R Vikrant 0410317-OT_005038  Reencauche  Rechazado, G0001-003654</v>
      </c>
      <c r="Z831" s="19" t="str">
        <f>CONCATENATE(I834,J834)</f>
        <v>ReencaucheReencauchadora RENOVA</v>
      </c>
    </row>
    <row r="832" spans="2:26" ht="15.2" customHeight="1">
      <c r="B832" s="37"/>
      <c r="E832" s="79">
        <v>5</v>
      </c>
      <c r="F832" s="2575" t="s">
        <v>723</v>
      </c>
      <c r="G832" s="2576" t="s">
        <v>724</v>
      </c>
      <c r="H832" s="2577" t="s">
        <v>2932</v>
      </c>
      <c r="I832" s="2576" t="s">
        <v>744</v>
      </c>
      <c r="J832" s="2578" t="s">
        <v>727</v>
      </c>
      <c r="K832" s="2579" t="s">
        <v>2933</v>
      </c>
      <c r="L832" s="2580">
        <v>43165</v>
      </c>
      <c r="M832" s="3132"/>
      <c r="N832" s="2582"/>
      <c r="O832" s="2583">
        <f t="shared" si="297"/>
        <v>0</v>
      </c>
      <c r="P832" s="2941"/>
      <c r="Q832" s="2957"/>
      <c r="R832" s="2584"/>
      <c r="S832" s="2585" t="s">
        <v>731</v>
      </c>
      <c r="T832" s="77" t="s">
        <v>2957</v>
      </c>
      <c r="U832" s="1893"/>
      <c r="V832" s="2079">
        <f t="shared" si="293"/>
        <v>0</v>
      </c>
      <c r="W832" s="78">
        <f t="shared" si="294"/>
        <v>0</v>
      </c>
      <c r="X832" s="1878" t="str">
        <f t="shared" si="292"/>
        <v>5.- R Aeolus 0771016-OT_005038  Sacar_Banda  Anillado_DUNHOPE 0116</v>
      </c>
      <c r="Z832" s="19" t="str">
        <f>CONCATENATE(I835,J835)</f>
        <v>ReencaucheReencauchadora RENOVA</v>
      </c>
    </row>
    <row r="833" spans="2:26" ht="15.2" customHeight="1">
      <c r="B833" s="37"/>
      <c r="E833" s="2708">
        <v>1</v>
      </c>
      <c r="F833" s="2297" t="s">
        <v>723</v>
      </c>
      <c r="G833" s="68" t="s">
        <v>737</v>
      </c>
      <c r="H833" s="69" t="s">
        <v>2919</v>
      </c>
      <c r="I833" s="68" t="s">
        <v>726</v>
      </c>
      <c r="J833" s="70" t="s">
        <v>760</v>
      </c>
      <c r="K833" s="2305" t="s">
        <v>2928</v>
      </c>
      <c r="L833" s="72">
        <v>43164</v>
      </c>
      <c r="M833" s="2306" t="s">
        <v>729</v>
      </c>
      <c r="N833" s="74">
        <v>43167</v>
      </c>
      <c r="O833" s="75">
        <f t="shared" si="297"/>
        <v>43167</v>
      </c>
      <c r="P833" s="2765" t="s">
        <v>2941</v>
      </c>
      <c r="Q833" s="2954">
        <v>100.9</v>
      </c>
      <c r="R833" s="76"/>
      <c r="S833" s="1945" t="s">
        <v>731</v>
      </c>
      <c r="T833" s="77" t="s">
        <v>2570</v>
      </c>
      <c r="U833" s="1893"/>
      <c r="V833" s="2079">
        <f t="shared" si="293"/>
        <v>119.062</v>
      </c>
      <c r="W833" s="78">
        <f t="shared" si="294"/>
        <v>0</v>
      </c>
      <c r="X833" s="1878" t="str">
        <f t="shared" si="292"/>
        <v>1.- R Vikrant 0250217-OT_244840  Reencauche F101-00013849 IDY3-220</v>
      </c>
      <c r="Z833" s="19" t="str">
        <f>CONCATENATE(I836,J836)</f>
        <v>ReencaucheReencauchadora RENOVA</v>
      </c>
    </row>
    <row r="834" spans="2:26" ht="15.2" customHeight="1">
      <c r="B834" s="37"/>
      <c r="E834" s="2708">
        <v>2</v>
      </c>
      <c r="F834" s="2297" t="s">
        <v>723</v>
      </c>
      <c r="G834" s="68" t="s">
        <v>737</v>
      </c>
      <c r="H834" s="69" t="s">
        <v>2920</v>
      </c>
      <c r="I834" s="68" t="s">
        <v>726</v>
      </c>
      <c r="J834" s="70" t="s">
        <v>760</v>
      </c>
      <c r="K834" s="71" t="s">
        <v>2928</v>
      </c>
      <c r="L834" s="72">
        <v>43164</v>
      </c>
      <c r="M834" s="2306" t="s">
        <v>729</v>
      </c>
      <c r="N834" s="74">
        <v>43167</v>
      </c>
      <c r="O834" s="75">
        <f t="shared" si="297"/>
        <v>43167</v>
      </c>
      <c r="P834" s="2765" t="s">
        <v>2941</v>
      </c>
      <c r="Q834" s="2954">
        <v>100.9</v>
      </c>
      <c r="R834" s="76"/>
      <c r="S834" s="1945" t="s">
        <v>731</v>
      </c>
      <c r="T834" s="77" t="s">
        <v>2570</v>
      </c>
      <c r="U834" s="1893"/>
      <c r="V834" s="2079">
        <f t="shared" si="293"/>
        <v>119.062</v>
      </c>
      <c r="W834" s="78">
        <f t="shared" si="294"/>
        <v>0</v>
      </c>
      <c r="X834" s="1878" t="str">
        <f t="shared" si="292"/>
        <v>2.- R Vikrant 0260218-OT_244840  Reencauche F101-00013849 IDY3-220</v>
      </c>
      <c r="Z834" s="19" t="str">
        <f>CONCATENATE(I837,J837)</f>
        <v>ReencaucheReencauchadora RENOVA</v>
      </c>
    </row>
    <row r="835" spans="2:26" ht="15.2" customHeight="1">
      <c r="B835" s="37"/>
      <c r="E835" s="2708">
        <v>3</v>
      </c>
      <c r="F835" s="2297" t="s">
        <v>723</v>
      </c>
      <c r="G835" s="68" t="s">
        <v>724</v>
      </c>
      <c r="H835" s="69" t="s">
        <v>2921</v>
      </c>
      <c r="I835" s="68" t="s">
        <v>726</v>
      </c>
      <c r="J835" s="70" t="s">
        <v>760</v>
      </c>
      <c r="K835" s="71" t="s">
        <v>2928</v>
      </c>
      <c r="L835" s="72">
        <v>43164</v>
      </c>
      <c r="M835" s="2306" t="s">
        <v>729</v>
      </c>
      <c r="N835" s="74">
        <v>43167</v>
      </c>
      <c r="O835" s="75">
        <f t="shared" si="297"/>
        <v>43167</v>
      </c>
      <c r="P835" s="2765" t="s">
        <v>2941</v>
      </c>
      <c r="Q835" s="2954">
        <v>100.9</v>
      </c>
      <c r="R835" s="76"/>
      <c r="S835" s="1945" t="s">
        <v>731</v>
      </c>
      <c r="T835" s="77" t="s">
        <v>2570</v>
      </c>
      <c r="U835" s="1893"/>
      <c r="V835" s="2079">
        <f t="shared" si="293"/>
        <v>119.062</v>
      </c>
      <c r="W835" s="78">
        <f t="shared" si="294"/>
        <v>0</v>
      </c>
      <c r="X835" s="1878" t="str">
        <f t="shared" si="292"/>
        <v>3.- R Aeolus 0210316-OT_244840  Reencauche F101-00013849 IDY3-220</v>
      </c>
      <c r="Z835" s="19" t="str">
        <f t="shared" ref="Z835:Z848" si="299">CONCATENATE(I838,J838)</f>
        <v>ReencaucheReencauchadora RENOVA</v>
      </c>
    </row>
    <row r="836" spans="2:26" ht="15.2" customHeight="1">
      <c r="B836" s="37"/>
      <c r="E836" s="2708">
        <v>4</v>
      </c>
      <c r="F836" s="2297" t="s">
        <v>723</v>
      </c>
      <c r="G836" s="68" t="s">
        <v>737</v>
      </c>
      <c r="H836" s="69" t="s">
        <v>2922</v>
      </c>
      <c r="I836" s="68" t="s">
        <v>726</v>
      </c>
      <c r="J836" s="70" t="s">
        <v>760</v>
      </c>
      <c r="K836" s="71" t="s">
        <v>2928</v>
      </c>
      <c r="L836" s="72">
        <v>43164</v>
      </c>
      <c r="M836" s="2306" t="s">
        <v>729</v>
      </c>
      <c r="N836" s="74">
        <v>43167</v>
      </c>
      <c r="O836" s="75">
        <f t="shared" si="297"/>
        <v>43167</v>
      </c>
      <c r="P836" s="2765" t="s">
        <v>2941</v>
      </c>
      <c r="Q836" s="2954">
        <v>100.9</v>
      </c>
      <c r="R836" s="76"/>
      <c r="S836" s="1945" t="s">
        <v>731</v>
      </c>
      <c r="T836" s="77" t="s">
        <v>2570</v>
      </c>
      <c r="U836" s="1893"/>
      <c r="V836" s="2079">
        <f t="shared" si="293"/>
        <v>119.062</v>
      </c>
      <c r="W836" s="78">
        <f t="shared" si="294"/>
        <v>0</v>
      </c>
      <c r="X836" s="1878" t="str">
        <f t="shared" si="292"/>
        <v>4.- R Vikrant 0220217-OT_244840  Reencauche F101-00013849 IDY3-220</v>
      </c>
      <c r="Z836" s="19" t="str">
        <f t="shared" si="299"/>
        <v>ReencaucheReencauchadora RENOVA</v>
      </c>
    </row>
    <row r="837" spans="2:26" ht="15.2" customHeight="1">
      <c r="B837" s="37"/>
      <c r="E837" s="2708">
        <v>5</v>
      </c>
      <c r="F837" s="2297" t="s">
        <v>723</v>
      </c>
      <c r="G837" s="68" t="s">
        <v>737</v>
      </c>
      <c r="H837" s="69" t="s">
        <v>2923</v>
      </c>
      <c r="I837" s="68" t="s">
        <v>726</v>
      </c>
      <c r="J837" s="70" t="s">
        <v>760</v>
      </c>
      <c r="K837" s="71" t="s">
        <v>2928</v>
      </c>
      <c r="L837" s="72">
        <v>43164</v>
      </c>
      <c r="M837" s="2306" t="s">
        <v>729</v>
      </c>
      <c r="N837" s="74">
        <v>43167</v>
      </c>
      <c r="O837" s="75">
        <f t="shared" si="297"/>
        <v>43167</v>
      </c>
      <c r="P837" s="2765" t="s">
        <v>2941</v>
      </c>
      <c r="Q837" s="2954">
        <v>100.9</v>
      </c>
      <c r="R837" s="76"/>
      <c r="S837" s="1945" t="s">
        <v>731</v>
      </c>
      <c r="T837" s="77" t="s">
        <v>2570</v>
      </c>
      <c r="U837" s="1893"/>
      <c r="V837" s="2079">
        <f t="shared" si="293"/>
        <v>119.062</v>
      </c>
      <c r="W837" s="78">
        <f t="shared" si="294"/>
        <v>0</v>
      </c>
      <c r="X837" s="1878" t="str">
        <f t="shared" si="292"/>
        <v>5.- R Vikrant 0210217-OT_244840  Reencauche F101-00013849 IDY3-220</v>
      </c>
      <c r="Z837" s="19" t="str">
        <f>CONCATENATE(I840,J840)</f>
        <v>ReencaucheReencauchadora RENOVA</v>
      </c>
    </row>
    <row r="838" spans="2:26" ht="15.2" customHeight="1">
      <c r="B838" s="37"/>
      <c r="E838" s="2735">
        <v>6</v>
      </c>
      <c r="F838" s="2297" t="s">
        <v>723</v>
      </c>
      <c r="G838" s="68" t="s">
        <v>737</v>
      </c>
      <c r="H838" s="69" t="s">
        <v>2925</v>
      </c>
      <c r="I838" s="68" t="s">
        <v>726</v>
      </c>
      <c r="J838" s="70" t="s">
        <v>760</v>
      </c>
      <c r="K838" s="71" t="s">
        <v>2928</v>
      </c>
      <c r="L838" s="72">
        <v>43164</v>
      </c>
      <c r="M838" s="2306" t="s">
        <v>729</v>
      </c>
      <c r="N838" s="74">
        <v>43167</v>
      </c>
      <c r="O838" s="75">
        <f t="shared" si="297"/>
        <v>43167</v>
      </c>
      <c r="P838" s="2765" t="s">
        <v>2941</v>
      </c>
      <c r="Q838" s="2954">
        <v>100.9</v>
      </c>
      <c r="R838" s="76"/>
      <c r="S838" s="1945" t="s">
        <v>731</v>
      </c>
      <c r="T838" s="77" t="s">
        <v>2570</v>
      </c>
      <c r="U838" s="1893"/>
      <c r="V838" s="2079">
        <f t="shared" si="293"/>
        <v>119.062</v>
      </c>
      <c r="W838" s="78">
        <f t="shared" si="294"/>
        <v>0</v>
      </c>
      <c r="X838" s="1878" t="str">
        <f t="shared" si="292"/>
        <v>6.- R Vikrant 0060117-OT_244840  Reencauche F101-00013849 IDY3-220</v>
      </c>
      <c r="Z838" s="19" t="str">
        <f t="shared" si="299"/>
        <v>ReencaucheReencauchadora RENOVA</v>
      </c>
    </row>
    <row r="839" spans="2:26" ht="15.2" customHeight="1">
      <c r="B839" s="37"/>
      <c r="E839" s="2735">
        <v>7</v>
      </c>
      <c r="F839" s="2297" t="s">
        <v>723</v>
      </c>
      <c r="G839" s="68" t="s">
        <v>724</v>
      </c>
      <c r="H839" s="69" t="s">
        <v>2926</v>
      </c>
      <c r="I839" s="68" t="s">
        <v>726</v>
      </c>
      <c r="J839" s="70" t="s">
        <v>760</v>
      </c>
      <c r="K839" s="71" t="s">
        <v>2928</v>
      </c>
      <c r="L839" s="72">
        <v>43164</v>
      </c>
      <c r="M839" s="2306" t="s">
        <v>729</v>
      </c>
      <c r="N839" s="74">
        <v>43167</v>
      </c>
      <c r="O839" s="75">
        <f t="shared" ref="O839:O855" si="300">+N839</f>
        <v>43167</v>
      </c>
      <c r="P839" s="2765"/>
      <c r="Q839" s="2954"/>
      <c r="R839" s="76"/>
      <c r="S839" s="1945" t="s">
        <v>731</v>
      </c>
      <c r="T839" s="77" t="s">
        <v>2940</v>
      </c>
      <c r="U839" s="1893"/>
      <c r="V839" s="2079">
        <f t="shared" si="293"/>
        <v>0</v>
      </c>
      <c r="W839" s="78">
        <f t="shared" si="294"/>
        <v>0</v>
      </c>
      <c r="X839" s="1878" t="str">
        <f t="shared" si="292"/>
        <v>7.- R Aeolus 0110215-OT_244840  Reencauche  Rechazada, G030-0071600</v>
      </c>
      <c r="Z839" s="19" t="str">
        <f t="shared" si="299"/>
        <v>ReencaucheReencauchadora RENOVA</v>
      </c>
    </row>
    <row r="840" spans="2:26" ht="15.2" customHeight="1">
      <c r="B840" s="37"/>
      <c r="E840" s="2735">
        <v>8</v>
      </c>
      <c r="F840" s="2297" t="s">
        <v>723</v>
      </c>
      <c r="G840" s="68" t="s">
        <v>737</v>
      </c>
      <c r="H840" s="69" t="s">
        <v>2924</v>
      </c>
      <c r="I840" s="68" t="s">
        <v>726</v>
      </c>
      <c r="J840" s="70" t="s">
        <v>760</v>
      </c>
      <c r="K840" s="71" t="s">
        <v>2928</v>
      </c>
      <c r="L840" s="72">
        <v>43164</v>
      </c>
      <c r="M840" s="2306" t="s">
        <v>729</v>
      </c>
      <c r="N840" s="74">
        <v>43167</v>
      </c>
      <c r="O840" s="75">
        <f>+N840</f>
        <v>43167</v>
      </c>
      <c r="P840" s="2765"/>
      <c r="Q840" s="2954"/>
      <c r="R840" s="76"/>
      <c r="S840" s="1945" t="s">
        <v>731</v>
      </c>
      <c r="T840" s="77" t="s">
        <v>2940</v>
      </c>
      <c r="U840" s="1893"/>
      <c r="V840" s="2079">
        <f t="shared" si="293"/>
        <v>0</v>
      </c>
      <c r="W840" s="78">
        <f t="shared" si="294"/>
        <v>0</v>
      </c>
      <c r="X840" s="1878" t="str">
        <f t="shared" si="292"/>
        <v>8.- R Vikrant 0230217-OT_244840  Reencauche  Rechazada, G030-0071600</v>
      </c>
      <c r="Z840" s="19" t="str">
        <f t="shared" si="299"/>
        <v>ReencaucheReencauchadora RENOVA</v>
      </c>
    </row>
    <row r="841" spans="2:26" ht="15.2" customHeight="1">
      <c r="B841" s="37"/>
      <c r="E841" s="79">
        <v>9</v>
      </c>
      <c r="F841" s="2294" t="s">
        <v>723</v>
      </c>
      <c r="G841" s="81" t="s">
        <v>737</v>
      </c>
      <c r="H841" s="82" t="s">
        <v>2927</v>
      </c>
      <c r="I841" s="81" t="s">
        <v>726</v>
      </c>
      <c r="J841" s="83" t="s">
        <v>760</v>
      </c>
      <c r="K841" s="84" t="s">
        <v>2928</v>
      </c>
      <c r="L841" s="85">
        <v>43164</v>
      </c>
      <c r="M841" s="2296" t="s">
        <v>729</v>
      </c>
      <c r="N841" s="87">
        <v>43167</v>
      </c>
      <c r="O841" s="88">
        <f t="shared" si="300"/>
        <v>43167</v>
      </c>
      <c r="P841" s="2766"/>
      <c r="Q841" s="2955"/>
      <c r="R841" s="89"/>
      <c r="S841" s="1946" t="s">
        <v>731</v>
      </c>
      <c r="T841" s="77" t="s">
        <v>2940</v>
      </c>
      <c r="U841" s="1893"/>
      <c r="V841" s="2079">
        <f t="shared" si="293"/>
        <v>0</v>
      </c>
      <c r="W841" s="78">
        <f t="shared" si="294"/>
        <v>0</v>
      </c>
      <c r="X841" s="1878" t="str">
        <f t="shared" si="292"/>
        <v>9.- R Vikrant 0660617-OT_244840  Reencauche  Rechazada, G030-0071600</v>
      </c>
      <c r="Z841" s="19" t="str">
        <f t="shared" si="299"/>
        <v>ReencaucheReencauchadora RENOVA</v>
      </c>
    </row>
    <row r="842" spans="2:26" ht="15.2" customHeight="1">
      <c r="B842" s="37"/>
      <c r="E842" s="2735">
        <v>1</v>
      </c>
      <c r="F842" s="2297" t="s">
        <v>723</v>
      </c>
      <c r="G842" s="68" t="s">
        <v>2460</v>
      </c>
      <c r="H842" s="69" t="s">
        <v>2888</v>
      </c>
      <c r="I842" s="68" t="s">
        <v>726</v>
      </c>
      <c r="J842" s="70" t="s">
        <v>760</v>
      </c>
      <c r="K842" s="2305" t="s">
        <v>2893</v>
      </c>
      <c r="L842" s="72">
        <v>43154</v>
      </c>
      <c r="M842" s="2306" t="s">
        <v>729</v>
      </c>
      <c r="N842" s="74">
        <v>43160</v>
      </c>
      <c r="O842" s="75">
        <v>43160</v>
      </c>
      <c r="P842" s="2765" t="s">
        <v>2915</v>
      </c>
      <c r="Q842" s="2954">
        <v>105.33</v>
      </c>
      <c r="R842" s="76"/>
      <c r="S842" s="1945" t="s">
        <v>731</v>
      </c>
      <c r="T842" s="77" t="s">
        <v>2569</v>
      </c>
      <c r="U842" s="1893"/>
      <c r="V842" s="2079">
        <f t="shared" si="293"/>
        <v>124.28939999999999</v>
      </c>
      <c r="W842" s="78">
        <f t="shared" si="294"/>
        <v>0</v>
      </c>
      <c r="X842" s="1878" t="str">
        <f t="shared" si="292"/>
        <v>1.- R MICHELLIN 8331117-OT_244818  Reencauche F101-00013743 IDY3-235</v>
      </c>
      <c r="Z842" s="19" t="str">
        <f t="shared" si="299"/>
        <v>ReencaucheReencauchadora RENOVA</v>
      </c>
    </row>
    <row r="843" spans="2:26" ht="15.2" customHeight="1">
      <c r="B843" s="37"/>
      <c r="E843" s="2735">
        <v>2</v>
      </c>
      <c r="F843" s="2297" t="s">
        <v>723</v>
      </c>
      <c r="G843" s="68" t="s">
        <v>737</v>
      </c>
      <c r="H843" s="69" t="s">
        <v>2889</v>
      </c>
      <c r="I843" s="68" t="s">
        <v>726</v>
      </c>
      <c r="J843" s="70" t="s">
        <v>760</v>
      </c>
      <c r="K843" s="71" t="s">
        <v>2893</v>
      </c>
      <c r="L843" s="72">
        <v>43154</v>
      </c>
      <c r="M843" s="2306" t="s">
        <v>729</v>
      </c>
      <c r="N843" s="74">
        <v>43160</v>
      </c>
      <c r="O843" s="75">
        <v>43160</v>
      </c>
      <c r="P843" s="2765" t="s">
        <v>2915</v>
      </c>
      <c r="Q843" s="2954">
        <v>100.9</v>
      </c>
      <c r="R843" s="76"/>
      <c r="S843" s="1945" t="s">
        <v>731</v>
      </c>
      <c r="T843" s="77" t="s">
        <v>2570</v>
      </c>
      <c r="U843" s="1893"/>
      <c r="V843" s="2079">
        <f t="shared" si="293"/>
        <v>119.062</v>
      </c>
      <c r="W843" s="78">
        <f t="shared" si="294"/>
        <v>0</v>
      </c>
      <c r="X843" s="1878" t="str">
        <f t="shared" si="292"/>
        <v>2.- R Vikrant 0560617-OT_244818  Reencauche F101-00013743 IDY3-220</v>
      </c>
      <c r="Z843" s="19" t="str">
        <f t="shared" si="299"/>
        <v>ReencaucheReencauchadora RENOVA</v>
      </c>
    </row>
    <row r="844" spans="2:26" ht="15.2" customHeight="1">
      <c r="B844" s="37"/>
      <c r="E844" s="2735">
        <v>3</v>
      </c>
      <c r="F844" s="2297" t="s">
        <v>723</v>
      </c>
      <c r="G844" s="68" t="s">
        <v>737</v>
      </c>
      <c r="H844" s="69" t="s">
        <v>2891</v>
      </c>
      <c r="I844" s="68" t="s">
        <v>726</v>
      </c>
      <c r="J844" s="70" t="s">
        <v>760</v>
      </c>
      <c r="K844" s="71" t="s">
        <v>2893</v>
      </c>
      <c r="L844" s="72">
        <v>43154</v>
      </c>
      <c r="M844" s="2306" t="s">
        <v>729</v>
      </c>
      <c r="N844" s="74">
        <v>43160</v>
      </c>
      <c r="O844" s="75">
        <v>43160</v>
      </c>
      <c r="P844" s="2765" t="s">
        <v>2915</v>
      </c>
      <c r="Q844" s="2954">
        <v>100.9</v>
      </c>
      <c r="R844" s="76"/>
      <c r="S844" s="1945" t="s">
        <v>731</v>
      </c>
      <c r="T844" s="77" t="s">
        <v>2570</v>
      </c>
      <c r="U844" s="1893"/>
      <c r="V844" s="2079">
        <f t="shared" si="293"/>
        <v>119.062</v>
      </c>
      <c r="W844" s="78">
        <f t="shared" si="294"/>
        <v>0</v>
      </c>
      <c r="X844" s="1878" t="str">
        <f t="shared" si="292"/>
        <v>3.- R Vikrant 0550617-OT_244818  Reencauche F101-00013743 IDY3-220</v>
      </c>
      <c r="Z844" s="19" t="str">
        <f t="shared" si="299"/>
        <v>ReencaucheReencauchadora RENOVA</v>
      </c>
    </row>
    <row r="845" spans="2:26" ht="15.2" customHeight="1">
      <c r="B845" s="37"/>
      <c r="E845" s="2735">
        <v>4</v>
      </c>
      <c r="F845" s="2297" t="s">
        <v>723</v>
      </c>
      <c r="G845" s="68" t="s">
        <v>737</v>
      </c>
      <c r="H845" s="69" t="s">
        <v>2890</v>
      </c>
      <c r="I845" s="68" t="s">
        <v>726</v>
      </c>
      <c r="J845" s="70" t="s">
        <v>760</v>
      </c>
      <c r="K845" s="71" t="s">
        <v>2893</v>
      </c>
      <c r="L845" s="72">
        <v>43154</v>
      </c>
      <c r="M845" s="2306" t="s">
        <v>729</v>
      </c>
      <c r="N845" s="74">
        <v>43160</v>
      </c>
      <c r="O845" s="75">
        <v>43160</v>
      </c>
      <c r="P845" s="2765" t="s">
        <v>2915</v>
      </c>
      <c r="Q845" s="2954">
        <v>100.9</v>
      </c>
      <c r="R845" s="76"/>
      <c r="S845" s="1945" t="s">
        <v>731</v>
      </c>
      <c r="T845" s="77" t="s">
        <v>2570</v>
      </c>
      <c r="U845" s="1893"/>
      <c r="V845" s="2079">
        <f t="shared" si="293"/>
        <v>119.062</v>
      </c>
      <c r="W845" s="78">
        <f t="shared" si="294"/>
        <v>0</v>
      </c>
      <c r="X845" s="1878" t="str">
        <f t="shared" si="292"/>
        <v>4.- R Vikrant 0070117-OT_244818  Reencauche F101-00013743 IDY3-220</v>
      </c>
      <c r="Z845" s="19" t="str">
        <f t="shared" si="299"/>
        <v>ReencaucheReencauchadora RENOVA</v>
      </c>
    </row>
    <row r="846" spans="2:26" ht="15.2" customHeight="1">
      <c r="B846" s="37"/>
      <c r="E846" s="2735">
        <v>5</v>
      </c>
      <c r="F846" s="2297" t="s">
        <v>723</v>
      </c>
      <c r="G846" s="68" t="s">
        <v>151</v>
      </c>
      <c r="H846" s="69" t="s">
        <v>2917</v>
      </c>
      <c r="I846" s="68" t="s">
        <v>726</v>
      </c>
      <c r="J846" s="70" t="s">
        <v>760</v>
      </c>
      <c r="K846" s="71" t="s">
        <v>2893</v>
      </c>
      <c r="L846" s="72">
        <v>43154</v>
      </c>
      <c r="M846" s="2306" t="s">
        <v>729</v>
      </c>
      <c r="N846" s="74">
        <v>43160</v>
      </c>
      <c r="O846" s="75">
        <v>43160</v>
      </c>
      <c r="P846" s="2765" t="s">
        <v>2915</v>
      </c>
      <c r="Q846" s="2954">
        <v>81.13</v>
      </c>
      <c r="R846" s="76"/>
      <c r="S846" s="1945" t="s">
        <v>731</v>
      </c>
      <c r="T846" s="77" t="s">
        <v>2894</v>
      </c>
      <c r="U846" s="1893"/>
      <c r="V846" s="2079">
        <f t="shared" si="293"/>
        <v>95.733399999999989</v>
      </c>
      <c r="W846" s="78">
        <f t="shared" si="294"/>
        <v>0</v>
      </c>
      <c r="X846" s="1878" t="str">
        <f t="shared" si="292"/>
        <v>5.- R WindPower 0721115-OT_244818  Reencauche F101-00013743 ZZY-210</v>
      </c>
      <c r="Z846" s="19" t="str">
        <f t="shared" si="299"/>
        <v>Vulcanizado (curación)Reenc. MASTERCAUCHO</v>
      </c>
    </row>
    <row r="847" spans="2:26" ht="15.2" customHeight="1">
      <c r="B847" s="37"/>
      <c r="E847" s="2735">
        <v>6</v>
      </c>
      <c r="F847" s="2297" t="s">
        <v>723</v>
      </c>
      <c r="G847" s="68" t="s">
        <v>151</v>
      </c>
      <c r="H847" s="69" t="s">
        <v>2916</v>
      </c>
      <c r="I847" s="68" t="s">
        <v>726</v>
      </c>
      <c r="J847" s="70" t="s">
        <v>760</v>
      </c>
      <c r="K847" s="71" t="s">
        <v>2893</v>
      </c>
      <c r="L847" s="72">
        <v>43154</v>
      </c>
      <c r="M847" s="2306" t="s">
        <v>729</v>
      </c>
      <c r="N847" s="74">
        <v>43160</v>
      </c>
      <c r="O847" s="75">
        <v>43160</v>
      </c>
      <c r="P847" s="2765" t="s">
        <v>2915</v>
      </c>
      <c r="Q847" s="2954">
        <v>81.13</v>
      </c>
      <c r="R847" s="76"/>
      <c r="S847" s="1945" t="s">
        <v>731</v>
      </c>
      <c r="T847" s="77" t="s">
        <v>2894</v>
      </c>
      <c r="U847" s="1893"/>
      <c r="V847" s="2079">
        <f t="shared" si="293"/>
        <v>95.733399999999989</v>
      </c>
      <c r="W847" s="78">
        <f t="shared" si="294"/>
        <v>0</v>
      </c>
      <c r="X847" s="1878" t="str">
        <f t="shared" si="292"/>
        <v>6.- R WindPower 0711115-OT_244818  Reencauche F101-00013743 ZZY-210</v>
      </c>
      <c r="Z847" s="19" t="str">
        <f t="shared" si="299"/>
        <v>Sacar_BandaReenc. MASTERCAUCHO</v>
      </c>
    </row>
    <row r="848" spans="2:26" ht="15.2" customHeight="1">
      <c r="B848" s="37"/>
      <c r="E848" s="79">
        <v>7</v>
      </c>
      <c r="F848" s="2294" t="s">
        <v>723</v>
      </c>
      <c r="G848" s="81" t="s">
        <v>724</v>
      </c>
      <c r="H848" s="82" t="s">
        <v>2874</v>
      </c>
      <c r="I848" s="81" t="s">
        <v>726</v>
      </c>
      <c r="J848" s="83" t="s">
        <v>760</v>
      </c>
      <c r="K848" s="84" t="s">
        <v>2893</v>
      </c>
      <c r="L848" s="85">
        <v>43154</v>
      </c>
      <c r="M848" s="2296" t="s">
        <v>729</v>
      </c>
      <c r="N848" s="87">
        <v>43160</v>
      </c>
      <c r="O848" s="88">
        <v>43160</v>
      </c>
      <c r="P848" s="2766"/>
      <c r="Q848" s="2955"/>
      <c r="R848" s="89"/>
      <c r="S848" s="1946" t="s">
        <v>731</v>
      </c>
      <c r="T848" s="77" t="s">
        <v>2918</v>
      </c>
      <c r="U848" s="1893"/>
      <c r="V848" s="2079">
        <f t="shared" si="293"/>
        <v>0</v>
      </c>
      <c r="W848" s="78">
        <f t="shared" si="294"/>
        <v>0</v>
      </c>
      <c r="X848" s="1878" t="str">
        <f t="shared" si="292"/>
        <v>7.- R Aeolus 0310615-OT_244818  Reencauche  Rechazada, G030-0071436</v>
      </c>
      <c r="Z848" s="19" t="str">
        <f t="shared" si="299"/>
        <v>Sacar_BandaReenc. MASTERCAUCHO</v>
      </c>
    </row>
    <row r="849" spans="2:26" ht="15.2" customHeight="1">
      <c r="B849" s="37"/>
      <c r="E849" s="2735">
        <v>1</v>
      </c>
      <c r="F849" s="2297" t="s">
        <v>732</v>
      </c>
      <c r="G849" s="68" t="s">
        <v>737</v>
      </c>
      <c r="H849" s="69" t="s">
        <v>2895</v>
      </c>
      <c r="I849" s="68" t="s">
        <v>811</v>
      </c>
      <c r="J849" s="70" t="s">
        <v>727</v>
      </c>
      <c r="K849" s="2305" t="s">
        <v>2892</v>
      </c>
      <c r="L849" s="72">
        <v>43153</v>
      </c>
      <c r="M849" s="2306" t="s">
        <v>729</v>
      </c>
      <c r="N849" s="74">
        <v>43157</v>
      </c>
      <c r="O849" s="75">
        <f t="shared" si="300"/>
        <v>43157</v>
      </c>
      <c r="P849" s="2765" t="s">
        <v>2896</v>
      </c>
      <c r="Q849" s="2954"/>
      <c r="R849" s="76">
        <v>101.6949</v>
      </c>
      <c r="S849" s="1945" t="s">
        <v>731</v>
      </c>
      <c r="T849" s="77"/>
      <c r="U849" s="1893"/>
      <c r="V849" s="2079">
        <f t="shared" si="293"/>
        <v>0</v>
      </c>
      <c r="W849" s="78">
        <f t="shared" si="294"/>
        <v>119.999982</v>
      </c>
      <c r="X849" s="1878" t="str">
        <f t="shared" si="292"/>
        <v xml:space="preserve">1.- C Vikrant 0190712-OT_007907  Vulcanizado (curación) 0001-010590 </v>
      </c>
      <c r="Z849" s="19" t="str">
        <f t="shared" ref="Z849:Z856" si="301">CONCATENATE(I852,J852)</f>
        <v>Sacar_BandaReenc. MASTERCAUCHO</v>
      </c>
    </row>
    <row r="850" spans="2:26" ht="15.2" customHeight="1">
      <c r="B850" s="37"/>
      <c r="E850" s="2735">
        <v>2</v>
      </c>
      <c r="F850" s="2297" t="s">
        <v>732</v>
      </c>
      <c r="G850" s="68" t="s">
        <v>733</v>
      </c>
      <c r="H850" s="69" t="s">
        <v>1554</v>
      </c>
      <c r="I850" s="68" t="s">
        <v>744</v>
      </c>
      <c r="J850" s="70" t="s">
        <v>727</v>
      </c>
      <c r="K850" s="2305" t="s">
        <v>2892</v>
      </c>
      <c r="L850" s="72">
        <v>43153</v>
      </c>
      <c r="M850" s="2306" t="s">
        <v>729</v>
      </c>
      <c r="N850" s="74">
        <v>43157</v>
      </c>
      <c r="O850" s="75">
        <f t="shared" si="300"/>
        <v>43157</v>
      </c>
      <c r="P850" s="2765" t="s">
        <v>2896</v>
      </c>
      <c r="Q850" s="2954"/>
      <c r="R850" s="76">
        <v>211.86439999999999</v>
      </c>
      <c r="S850" s="1945" t="s">
        <v>731</v>
      </c>
      <c r="T850" s="77" t="s">
        <v>2907</v>
      </c>
      <c r="U850" s="1893"/>
      <c r="V850" s="2079">
        <f t="shared" si="293"/>
        <v>0</v>
      </c>
      <c r="W850" s="78">
        <f t="shared" si="294"/>
        <v>249.99999199999996</v>
      </c>
      <c r="X850" s="1878" t="str">
        <f t="shared" si="292"/>
        <v>2.- C Lima Caucho 0010111-OT_007907  Sacar_Banda 0001-010590 8010218 Mich XZE2 3113 Ita</v>
      </c>
      <c r="Z850" s="19" t="str">
        <f t="shared" si="301"/>
        <v>Sacar_BandaReenc. MASTERCAUCHO</v>
      </c>
    </row>
    <row r="851" spans="2:26" ht="15.2" customHeight="1">
      <c r="B851" s="37"/>
      <c r="E851" s="2735">
        <v>3</v>
      </c>
      <c r="F851" s="2297" t="s">
        <v>732</v>
      </c>
      <c r="G851" s="68" t="s">
        <v>733</v>
      </c>
      <c r="H851" s="69" t="s">
        <v>797</v>
      </c>
      <c r="I851" s="68" t="s">
        <v>744</v>
      </c>
      <c r="J851" s="70" t="s">
        <v>727</v>
      </c>
      <c r="K851" s="2305" t="s">
        <v>2892</v>
      </c>
      <c r="L851" s="72">
        <v>43153</v>
      </c>
      <c r="M851" s="2306" t="s">
        <v>729</v>
      </c>
      <c r="N851" s="74">
        <v>43157</v>
      </c>
      <c r="O851" s="75">
        <f t="shared" si="300"/>
        <v>43157</v>
      </c>
      <c r="P851" s="2765" t="s">
        <v>2896</v>
      </c>
      <c r="Q851" s="2954"/>
      <c r="R851" s="76">
        <v>211.86439999999999</v>
      </c>
      <c r="S851" s="1945" t="s">
        <v>731</v>
      </c>
      <c r="T851" s="77" t="s">
        <v>2908</v>
      </c>
      <c r="U851" s="1893"/>
      <c r="V851" s="2079">
        <f t="shared" si="293"/>
        <v>0</v>
      </c>
      <c r="W851" s="78">
        <f t="shared" si="294"/>
        <v>249.99999199999996</v>
      </c>
      <c r="X851" s="1878" t="str">
        <f t="shared" si="292"/>
        <v>3.- C Lima Caucho 0840910-OT_007907  Sacar_Banda 0001-010590 8020218 Doub DR908 2715 Chi</v>
      </c>
      <c r="Z851" s="19" t="str">
        <f t="shared" si="301"/>
        <v>Sacar_BandaReenc. MASTERCAUCHO</v>
      </c>
    </row>
    <row r="852" spans="2:26" ht="15.2" customHeight="1">
      <c r="B852" s="37"/>
      <c r="E852" s="2708">
        <v>4</v>
      </c>
      <c r="F852" s="2297" t="s">
        <v>732</v>
      </c>
      <c r="G852" s="68" t="s">
        <v>733</v>
      </c>
      <c r="H852" s="69" t="s">
        <v>1665</v>
      </c>
      <c r="I852" s="68" t="s">
        <v>744</v>
      </c>
      <c r="J852" s="70" t="s">
        <v>727</v>
      </c>
      <c r="K852" s="2305" t="s">
        <v>2892</v>
      </c>
      <c r="L852" s="72">
        <v>43153</v>
      </c>
      <c r="M852" s="2306" t="s">
        <v>729</v>
      </c>
      <c r="N852" s="74">
        <v>43157</v>
      </c>
      <c r="O852" s="75">
        <f t="shared" si="300"/>
        <v>43157</v>
      </c>
      <c r="P852" s="2765" t="s">
        <v>2896</v>
      </c>
      <c r="Q852" s="2954"/>
      <c r="R852" s="76">
        <v>211.86439999999999</v>
      </c>
      <c r="S852" s="1945" t="s">
        <v>731</v>
      </c>
      <c r="T852" s="77" t="s">
        <v>2909</v>
      </c>
      <c r="U852" s="1893"/>
      <c r="V852" s="2079">
        <f t="shared" si="293"/>
        <v>0</v>
      </c>
      <c r="W852" s="78">
        <f t="shared" si="294"/>
        <v>249.99999199999996</v>
      </c>
      <c r="X852" s="1878" t="str">
        <f t="shared" si="292"/>
        <v>4.- C Lima Caucho 0160108-OT_007907  Sacar_Banda 0001-010590 8030218 Doub DR908 2315 Chi</v>
      </c>
      <c r="Z852" s="19" t="str">
        <f t="shared" si="301"/>
        <v>Sacar_BandaReenc. MASTERCAUCHO</v>
      </c>
    </row>
    <row r="853" spans="2:26" ht="15.2" customHeight="1">
      <c r="B853" s="37"/>
      <c r="E853" s="2708">
        <v>5</v>
      </c>
      <c r="F853" s="2297" t="s">
        <v>732</v>
      </c>
      <c r="G853" s="68" t="s">
        <v>737</v>
      </c>
      <c r="H853" s="69" t="s">
        <v>1277</v>
      </c>
      <c r="I853" s="68" t="s">
        <v>744</v>
      </c>
      <c r="J853" s="70" t="s">
        <v>727</v>
      </c>
      <c r="K853" s="2305" t="s">
        <v>2892</v>
      </c>
      <c r="L853" s="72">
        <v>43153</v>
      </c>
      <c r="M853" s="2306" t="s">
        <v>729</v>
      </c>
      <c r="N853" s="74">
        <v>43157</v>
      </c>
      <c r="O853" s="75">
        <f t="shared" si="300"/>
        <v>43157</v>
      </c>
      <c r="P853" s="2765" t="s">
        <v>2896</v>
      </c>
      <c r="Q853" s="2954"/>
      <c r="R853" s="76">
        <v>211.86439999999999</v>
      </c>
      <c r="S853" s="1945" t="s">
        <v>731</v>
      </c>
      <c r="T853" s="77" t="s">
        <v>2910</v>
      </c>
      <c r="U853" s="1893"/>
      <c r="V853" s="2079">
        <f t="shared" si="293"/>
        <v>0</v>
      </c>
      <c r="W853" s="78">
        <f t="shared" si="294"/>
        <v>249.99999199999996</v>
      </c>
      <c r="X853" s="1878" t="str">
        <f t="shared" si="292"/>
        <v>5.- C Vikrant 1070705-OT_007907  Sacar_Banda 0001-010590 8040218 Doub DR908 2315 Chi</v>
      </c>
      <c r="Z853" s="19" t="str">
        <f t="shared" si="301"/>
        <v>ReencaucheReenc. MASTERCAUCHO</v>
      </c>
    </row>
    <row r="854" spans="2:26" ht="15.2" customHeight="1">
      <c r="B854" s="37"/>
      <c r="E854" s="2708">
        <v>6</v>
      </c>
      <c r="F854" s="2297" t="s">
        <v>723</v>
      </c>
      <c r="G854" s="68" t="s">
        <v>724</v>
      </c>
      <c r="H854" s="69" t="s">
        <v>658</v>
      </c>
      <c r="I854" s="68" t="s">
        <v>744</v>
      </c>
      <c r="J854" s="70" t="s">
        <v>727</v>
      </c>
      <c r="K854" s="2305" t="s">
        <v>2892</v>
      </c>
      <c r="L854" s="72">
        <v>43153</v>
      </c>
      <c r="M854" s="2306" t="s">
        <v>729</v>
      </c>
      <c r="N854" s="74">
        <v>43157</v>
      </c>
      <c r="O854" s="75">
        <f t="shared" si="300"/>
        <v>43157</v>
      </c>
      <c r="P854" s="2765" t="s">
        <v>2896</v>
      </c>
      <c r="Q854" s="2954"/>
      <c r="R854" s="76">
        <v>211.86439999999999</v>
      </c>
      <c r="S854" s="1945" t="s">
        <v>731</v>
      </c>
      <c r="T854" s="77" t="s">
        <v>2911</v>
      </c>
      <c r="U854" s="1893"/>
      <c r="V854" s="2079">
        <f t="shared" si="293"/>
        <v>0</v>
      </c>
      <c r="W854" s="78">
        <f t="shared" si="294"/>
        <v>249.99999199999996</v>
      </c>
      <c r="X854" s="1878" t="str">
        <f t="shared" si="292"/>
        <v>6.- R Aeolus 0150114-OT_007907  Sacar_Banda 0001-010590 8050218 Brig R150 4015 Tha</v>
      </c>
      <c r="Z854" s="19" t="str">
        <f t="shared" si="301"/>
        <v>ReencaucheReenc. MASTERCAUCHO</v>
      </c>
    </row>
    <row r="855" spans="2:26" ht="15.2" customHeight="1">
      <c r="B855" s="37"/>
      <c r="E855" s="79">
        <v>7</v>
      </c>
      <c r="F855" s="2294" t="s">
        <v>723</v>
      </c>
      <c r="G855" s="81" t="s">
        <v>737</v>
      </c>
      <c r="H855" s="82" t="s">
        <v>2661</v>
      </c>
      <c r="I855" s="81" t="s">
        <v>744</v>
      </c>
      <c r="J855" s="83" t="s">
        <v>727</v>
      </c>
      <c r="K855" s="2295" t="s">
        <v>2892</v>
      </c>
      <c r="L855" s="85">
        <v>43153</v>
      </c>
      <c r="M855" s="2296" t="s">
        <v>729</v>
      </c>
      <c r="N855" s="87">
        <v>43157</v>
      </c>
      <c r="O855" s="88">
        <f t="shared" si="300"/>
        <v>43157</v>
      </c>
      <c r="P855" s="2766" t="s">
        <v>2896</v>
      </c>
      <c r="Q855" s="2955"/>
      <c r="R855" s="89">
        <v>211.86439999999999</v>
      </c>
      <c r="S855" s="1946" t="s">
        <v>731</v>
      </c>
      <c r="T855" s="77" t="s">
        <v>2912</v>
      </c>
      <c r="U855" s="1893"/>
      <c r="V855" s="2079">
        <f t="shared" si="293"/>
        <v>0</v>
      </c>
      <c r="W855" s="78">
        <f t="shared" si="294"/>
        <v>249.99999199999996</v>
      </c>
      <c r="X855" s="1878" t="str">
        <f t="shared" si="292"/>
        <v>7.- R Vikrant 0040117-OT_007907  Sacar_Banda 0001-010590 8060218 Brig R150 4015 Tha</v>
      </c>
      <c r="Z855" s="19" t="str">
        <f>CONCATENATE(I858,J858)</f>
        <v>Vulcanizado (curación)Reenc. MASTERCAUCHO</v>
      </c>
    </row>
    <row r="856" spans="2:26" ht="15.2" customHeight="1">
      <c r="B856" s="37"/>
      <c r="E856" s="2708">
        <v>1</v>
      </c>
      <c r="F856" s="2297" t="s">
        <v>723</v>
      </c>
      <c r="G856" s="68" t="s">
        <v>151</v>
      </c>
      <c r="H856" s="69" t="s">
        <v>2884</v>
      </c>
      <c r="I856" s="68" t="s">
        <v>726</v>
      </c>
      <c r="J856" s="70" t="s">
        <v>727</v>
      </c>
      <c r="K856" s="2305" t="s">
        <v>2886</v>
      </c>
      <c r="L856" s="72">
        <v>43146</v>
      </c>
      <c r="M856" s="2306" t="s">
        <v>729</v>
      </c>
      <c r="N856" s="74">
        <v>43152</v>
      </c>
      <c r="O856" s="75">
        <f t="shared" ref="O856:O882" si="302">+N856</f>
        <v>43152</v>
      </c>
      <c r="P856" s="2765" t="s">
        <v>2887</v>
      </c>
      <c r="Q856" s="2954"/>
      <c r="R856" s="76">
        <v>262.71190000000001</v>
      </c>
      <c r="S856" s="1945" t="s">
        <v>731</v>
      </c>
      <c r="T856" s="77" t="s">
        <v>2784</v>
      </c>
      <c r="U856" s="1893"/>
      <c r="V856" s="2079">
        <f t="shared" si="293"/>
        <v>0</v>
      </c>
      <c r="W856" s="78">
        <f t="shared" si="294"/>
        <v>310.00004200000001</v>
      </c>
      <c r="X856" s="1878" t="str">
        <f t="shared" si="292"/>
        <v>1.- R WindPower 0510915-OT_007901  Reencauche 0001-010541 ZY-220</v>
      </c>
      <c r="Z856" s="19" t="str">
        <f t="shared" si="301"/>
        <v>ReencaucheReenc. MASTERCAUCHO</v>
      </c>
    </row>
    <row r="857" spans="2:26" ht="15.2" customHeight="1">
      <c r="B857" s="37"/>
      <c r="E857" s="79">
        <v>2</v>
      </c>
      <c r="F857" s="2294" t="s">
        <v>723</v>
      </c>
      <c r="G857" s="81" t="s">
        <v>151</v>
      </c>
      <c r="H857" s="82" t="s">
        <v>2885</v>
      </c>
      <c r="I857" s="81" t="s">
        <v>726</v>
      </c>
      <c r="J857" s="83" t="s">
        <v>727</v>
      </c>
      <c r="K857" s="2295" t="s">
        <v>2886</v>
      </c>
      <c r="L857" s="85">
        <v>43146</v>
      </c>
      <c r="M857" s="2296" t="s">
        <v>729</v>
      </c>
      <c r="N857" s="87">
        <v>43152</v>
      </c>
      <c r="O857" s="88">
        <f t="shared" si="302"/>
        <v>43152</v>
      </c>
      <c r="P857" s="2766" t="s">
        <v>2887</v>
      </c>
      <c r="Q857" s="2955"/>
      <c r="R857" s="89">
        <v>262.71190000000001</v>
      </c>
      <c r="S857" s="1946" t="s">
        <v>731</v>
      </c>
      <c r="T857" s="77" t="s">
        <v>2784</v>
      </c>
      <c r="U857" s="1893"/>
      <c r="V857" s="2079">
        <f t="shared" si="293"/>
        <v>0</v>
      </c>
      <c r="W857" s="78">
        <f t="shared" si="294"/>
        <v>310.00004200000001</v>
      </c>
      <c r="X857" s="1878" t="str">
        <f t="shared" si="292"/>
        <v>2.- R WindPower 0891215-OT_007901  Reencauche 0001-010541 ZY-220</v>
      </c>
      <c r="Z857" s="19" t="str">
        <f t="shared" ref="Z857:Z901" si="303">CONCATENATE(I860,J860)</f>
        <v>ReencaucheReenc. MASTERCAUCHO</v>
      </c>
    </row>
    <row r="858" spans="2:26" ht="15.2" customHeight="1">
      <c r="B858" s="37"/>
      <c r="E858" s="79">
        <v>3</v>
      </c>
      <c r="F858" s="2294" t="s">
        <v>732</v>
      </c>
      <c r="G858" s="81" t="s">
        <v>733</v>
      </c>
      <c r="H858" s="82" t="s">
        <v>2501</v>
      </c>
      <c r="I858" s="81" t="s">
        <v>811</v>
      </c>
      <c r="J858" s="83" t="s">
        <v>727</v>
      </c>
      <c r="K858" s="84" t="s">
        <v>2875</v>
      </c>
      <c r="L858" s="85">
        <v>43139</v>
      </c>
      <c r="M858" s="2296" t="s">
        <v>729</v>
      </c>
      <c r="N858" s="87">
        <v>43152</v>
      </c>
      <c r="O858" s="88">
        <f t="shared" si="302"/>
        <v>43152</v>
      </c>
      <c r="P858" s="2766" t="s">
        <v>2887</v>
      </c>
      <c r="Q858" s="2955"/>
      <c r="R858" s="89">
        <v>84.745699999999999</v>
      </c>
      <c r="S858" s="1946" t="s">
        <v>731</v>
      </c>
      <c r="T858" s="77"/>
      <c r="U858" s="1893"/>
      <c r="V858" s="2079">
        <f t="shared" si="293"/>
        <v>0</v>
      </c>
      <c r="W858" s="78">
        <f t="shared" si="294"/>
        <v>99.999925999999988</v>
      </c>
      <c r="X858" s="1878" t="str">
        <f t="shared" si="292"/>
        <v xml:space="preserve">3.- C Lima Caucho 10912-OT_007777  Vulcanizado (curación) 0001-010541 </v>
      </c>
      <c r="Z858" s="19" t="str">
        <f t="shared" si="303"/>
        <v>ReencaucheReenc. MASTERCAUCHO</v>
      </c>
    </row>
    <row r="859" spans="2:26" ht="15.2" customHeight="1">
      <c r="B859" s="37"/>
      <c r="E859" s="2708">
        <v>1</v>
      </c>
      <c r="F859" s="2297" t="s">
        <v>732</v>
      </c>
      <c r="G859" s="68" t="s">
        <v>733</v>
      </c>
      <c r="H859" s="69" t="s">
        <v>1076</v>
      </c>
      <c r="I859" s="68" t="s">
        <v>726</v>
      </c>
      <c r="J859" s="70" t="s">
        <v>727</v>
      </c>
      <c r="K859" s="2305" t="s">
        <v>2875</v>
      </c>
      <c r="L859" s="72">
        <v>43139</v>
      </c>
      <c r="M859" s="2306" t="s">
        <v>729</v>
      </c>
      <c r="N859" s="74">
        <v>43150</v>
      </c>
      <c r="O859" s="75">
        <f t="shared" si="302"/>
        <v>43150</v>
      </c>
      <c r="P859" s="2765" t="s">
        <v>2883</v>
      </c>
      <c r="Q859" s="2954"/>
      <c r="R859" s="76">
        <v>279.66000000000003</v>
      </c>
      <c r="S859" s="1945" t="s">
        <v>731</v>
      </c>
      <c r="T859" s="77" t="s">
        <v>2803</v>
      </c>
      <c r="U859" s="1893"/>
      <c r="V859" s="2079">
        <f t="shared" si="293"/>
        <v>0</v>
      </c>
      <c r="W859" s="78">
        <f t="shared" si="294"/>
        <v>329.99880000000002</v>
      </c>
      <c r="X859" s="1878" t="str">
        <f t="shared" si="292"/>
        <v>1.- C Lima Caucho 0861010-OT_007777  Reencauche 0001-010519 DY3E-220</v>
      </c>
      <c r="Z859" s="19" t="str">
        <f t="shared" si="303"/>
        <v>Sacar_BandaReenc. MASTERCAUCHO</v>
      </c>
    </row>
    <row r="860" spans="2:26" ht="15.2" customHeight="1">
      <c r="B860" s="37"/>
      <c r="E860" s="2708">
        <v>2</v>
      </c>
      <c r="F860" s="2297" t="s">
        <v>732</v>
      </c>
      <c r="G860" s="68" t="s">
        <v>776</v>
      </c>
      <c r="H860" s="69" t="s">
        <v>777</v>
      </c>
      <c r="I860" s="68" t="s">
        <v>726</v>
      </c>
      <c r="J860" s="70" t="s">
        <v>727</v>
      </c>
      <c r="K860" s="71" t="s">
        <v>2875</v>
      </c>
      <c r="L860" s="72">
        <v>43139</v>
      </c>
      <c r="M860" s="2306" t="s">
        <v>729</v>
      </c>
      <c r="N860" s="74">
        <v>43150</v>
      </c>
      <c r="O860" s="75">
        <f t="shared" si="302"/>
        <v>43150</v>
      </c>
      <c r="P860" s="2765" t="s">
        <v>2883</v>
      </c>
      <c r="Q860" s="2954"/>
      <c r="R860" s="76">
        <v>279.66000000000003</v>
      </c>
      <c r="S860" s="1945" t="s">
        <v>731</v>
      </c>
      <c r="T860" s="77" t="s">
        <v>2803</v>
      </c>
      <c r="U860" s="1893"/>
      <c r="V860" s="2079">
        <f t="shared" si="293"/>
        <v>0</v>
      </c>
      <c r="W860" s="78">
        <f t="shared" si="294"/>
        <v>329.99880000000002</v>
      </c>
      <c r="X860" s="1878" t="str">
        <f t="shared" si="292"/>
        <v>2.- C Altura 0670911-OT_007777  Reencauche 0001-010519 DY3E-220</v>
      </c>
      <c r="Z860" s="19" t="str">
        <f t="shared" si="303"/>
        <v>Vulcanizado (curación)Reenc. MASTERCAUCHO</v>
      </c>
    </row>
    <row r="861" spans="2:26" ht="15.2" customHeight="1">
      <c r="B861" s="37"/>
      <c r="E861" s="2708">
        <v>3</v>
      </c>
      <c r="F861" s="2297" t="s">
        <v>732</v>
      </c>
      <c r="G861" s="68" t="s">
        <v>737</v>
      </c>
      <c r="H861" s="69" t="s">
        <v>1314</v>
      </c>
      <c r="I861" s="68" t="s">
        <v>726</v>
      </c>
      <c r="J861" s="70" t="s">
        <v>727</v>
      </c>
      <c r="K861" s="71" t="s">
        <v>2875</v>
      </c>
      <c r="L861" s="72">
        <v>43139</v>
      </c>
      <c r="M861" s="2306" t="s">
        <v>729</v>
      </c>
      <c r="N861" s="74">
        <v>43150</v>
      </c>
      <c r="O861" s="75">
        <f t="shared" si="302"/>
        <v>43150</v>
      </c>
      <c r="P861" s="2765" t="s">
        <v>2883</v>
      </c>
      <c r="Q861" s="2954"/>
      <c r="R861" s="76">
        <v>279.66000000000003</v>
      </c>
      <c r="S861" s="1945" t="s">
        <v>731</v>
      </c>
      <c r="T861" s="77" t="s">
        <v>2803</v>
      </c>
      <c r="U861" s="1893"/>
      <c r="V861" s="2079">
        <f t="shared" si="293"/>
        <v>0</v>
      </c>
      <c r="W861" s="78">
        <f t="shared" si="294"/>
        <v>329.99880000000002</v>
      </c>
      <c r="X861" s="1878" t="str">
        <f t="shared" si="292"/>
        <v>3.- C Vikrant 0400510-OT_007777  Reencauche 0001-010519 DY3E-220</v>
      </c>
      <c r="Z861" s="19" t="str">
        <f t="shared" si="303"/>
        <v>Vulcanizado (curación)Reenc. MASTERCAUCHO</v>
      </c>
    </row>
    <row r="862" spans="2:26" ht="15.2" customHeight="1">
      <c r="B862" s="37"/>
      <c r="E862" s="124">
        <v>4</v>
      </c>
      <c r="F862" s="2719" t="s">
        <v>732</v>
      </c>
      <c r="G862" s="126" t="s">
        <v>733</v>
      </c>
      <c r="H862" s="127" t="s">
        <v>2173</v>
      </c>
      <c r="I862" s="126" t="s">
        <v>744</v>
      </c>
      <c r="J862" s="120" t="s">
        <v>727</v>
      </c>
      <c r="K862" s="2720" t="s">
        <v>2873</v>
      </c>
      <c r="L862" s="129">
        <v>43137</v>
      </c>
      <c r="M862" s="2721" t="s">
        <v>729</v>
      </c>
      <c r="N862" s="131">
        <v>43150</v>
      </c>
      <c r="O862" s="132">
        <f t="shared" si="302"/>
        <v>43150</v>
      </c>
      <c r="P862" s="2767" t="s">
        <v>2883</v>
      </c>
      <c r="Q862" s="2962"/>
      <c r="R862" s="133">
        <v>0</v>
      </c>
      <c r="S862" s="1942" t="s">
        <v>731</v>
      </c>
      <c r="T862" s="77" t="s">
        <v>91</v>
      </c>
      <c r="U862" s="1893"/>
      <c r="V862" s="2079">
        <f t="shared" si="293"/>
        <v>0</v>
      </c>
      <c r="W862" s="78">
        <f t="shared" si="294"/>
        <v>0</v>
      </c>
      <c r="X862" s="1878" t="str">
        <f t="shared" si="292"/>
        <v>4.- C Lima Caucho 0520708-OT_007643  Sacar_Banda 0001-010519 Rechazado</v>
      </c>
      <c r="Z862" s="19" t="str">
        <f t="shared" si="303"/>
        <v>ReencaucheReenc. MASTERCAUCHO</v>
      </c>
    </row>
    <row r="863" spans="2:26" ht="15.2" customHeight="1">
      <c r="B863" s="37"/>
      <c r="E863" s="2697">
        <v>5</v>
      </c>
      <c r="F863" s="2297" t="s">
        <v>732</v>
      </c>
      <c r="G863" s="68" t="s">
        <v>737</v>
      </c>
      <c r="H863" s="69" t="s">
        <v>1001</v>
      </c>
      <c r="I863" s="68" t="s">
        <v>811</v>
      </c>
      <c r="J863" s="70" t="s">
        <v>727</v>
      </c>
      <c r="K863" s="2305" t="s">
        <v>2868</v>
      </c>
      <c r="L863" s="72">
        <v>43136</v>
      </c>
      <c r="M863" s="2306" t="s">
        <v>729</v>
      </c>
      <c r="N863" s="74">
        <v>43150</v>
      </c>
      <c r="O863" s="75">
        <f t="shared" si="302"/>
        <v>43150</v>
      </c>
      <c r="P863" s="2765" t="s">
        <v>2883</v>
      </c>
      <c r="Q863" s="2954"/>
      <c r="R863" s="76">
        <v>0</v>
      </c>
      <c r="S863" s="1945" t="s">
        <v>731</v>
      </c>
      <c r="T863" s="77" t="s">
        <v>91</v>
      </c>
      <c r="U863" s="1893"/>
      <c r="V863" s="2079">
        <f t="shared" si="293"/>
        <v>0</v>
      </c>
      <c r="W863" s="78">
        <f t="shared" si="294"/>
        <v>0</v>
      </c>
      <c r="X863" s="1878" t="str">
        <f t="shared" si="292"/>
        <v>5.- C Vikrant 0460411-OT_007640  Vulcanizado (curación) 0001-010519 Rechazado</v>
      </c>
      <c r="Z863" s="19" t="str">
        <f t="shared" si="303"/>
        <v>ReencaucheReenc. MASTERCAUCHO</v>
      </c>
    </row>
    <row r="864" spans="2:26" ht="15.2" customHeight="1">
      <c r="B864" s="37"/>
      <c r="E864" s="79">
        <v>6</v>
      </c>
      <c r="F864" s="2294" t="s">
        <v>732</v>
      </c>
      <c r="G864" s="81" t="s">
        <v>733</v>
      </c>
      <c r="H864" s="82" t="s">
        <v>806</v>
      </c>
      <c r="I864" s="81" t="s">
        <v>811</v>
      </c>
      <c r="J864" s="83" t="s">
        <v>727</v>
      </c>
      <c r="K864" s="84" t="s">
        <v>2868</v>
      </c>
      <c r="L864" s="85">
        <v>43136</v>
      </c>
      <c r="M864" s="2296" t="s">
        <v>729</v>
      </c>
      <c r="N864" s="87">
        <v>43150</v>
      </c>
      <c r="O864" s="88">
        <f t="shared" si="302"/>
        <v>43150</v>
      </c>
      <c r="P864" s="2766" t="s">
        <v>2883</v>
      </c>
      <c r="Q864" s="2955"/>
      <c r="R864" s="89">
        <v>0</v>
      </c>
      <c r="S864" s="1946" t="s">
        <v>731</v>
      </c>
      <c r="T864" s="77" t="s">
        <v>91</v>
      </c>
      <c r="U864" s="1893"/>
      <c r="V864" s="2079">
        <f t="shared" si="293"/>
        <v>0</v>
      </c>
      <c r="W864" s="78">
        <f t="shared" si="294"/>
        <v>0</v>
      </c>
      <c r="X864" s="1878" t="str">
        <f t="shared" si="292"/>
        <v>6.- C Lima Caucho 0840908-OT_007640  Vulcanizado (curación) 0001-010519 Rechazado</v>
      </c>
      <c r="Z864" s="19" t="str">
        <f t="shared" si="303"/>
        <v>ReencaucheReenc. MASTERCAUCHO</v>
      </c>
    </row>
    <row r="865" spans="2:26" ht="15.2" customHeight="1">
      <c r="B865" s="37"/>
      <c r="E865" s="2708">
        <v>1</v>
      </c>
      <c r="F865" s="2297" t="s">
        <v>732</v>
      </c>
      <c r="G865" s="68" t="s">
        <v>737</v>
      </c>
      <c r="H865" s="69" t="s">
        <v>1528</v>
      </c>
      <c r="I865" s="68" t="s">
        <v>726</v>
      </c>
      <c r="J865" s="70" t="s">
        <v>727</v>
      </c>
      <c r="K865" s="71" t="s">
        <v>2875</v>
      </c>
      <c r="L865" s="72">
        <v>43139</v>
      </c>
      <c r="M865" s="2306" t="s">
        <v>729</v>
      </c>
      <c r="N865" s="74">
        <v>43146</v>
      </c>
      <c r="O865" s="75">
        <f t="shared" si="302"/>
        <v>43146</v>
      </c>
      <c r="P865" s="2765" t="s">
        <v>2881</v>
      </c>
      <c r="Q865" s="2954"/>
      <c r="R865" s="76">
        <v>279.66000000000003</v>
      </c>
      <c r="S865" s="1945" t="s">
        <v>731</v>
      </c>
      <c r="T865" s="77" t="s">
        <v>2803</v>
      </c>
      <c r="U865" s="1893"/>
      <c r="V865" s="2079">
        <f t="shared" si="293"/>
        <v>0</v>
      </c>
      <c r="W865" s="78">
        <f t="shared" si="294"/>
        <v>329.99880000000002</v>
      </c>
      <c r="X865" s="1878" t="str">
        <f t="shared" si="292"/>
        <v>1.- C Vikrant 0500411-OT_007777  Reencauche 0001-010491 DY3E-220</v>
      </c>
      <c r="Z865" s="19" t="str">
        <f t="shared" si="303"/>
        <v>ReencaucheReenc. MASTERCAUCHO</v>
      </c>
    </row>
    <row r="866" spans="2:26" ht="15.2" customHeight="1">
      <c r="B866" s="37"/>
      <c r="E866" s="79">
        <v>2</v>
      </c>
      <c r="F866" s="2294" t="s">
        <v>732</v>
      </c>
      <c r="G866" s="81" t="s">
        <v>733</v>
      </c>
      <c r="H866" s="82" t="s">
        <v>2882</v>
      </c>
      <c r="I866" s="81" t="s">
        <v>726</v>
      </c>
      <c r="J866" s="83" t="s">
        <v>727</v>
      </c>
      <c r="K866" s="84" t="s">
        <v>2875</v>
      </c>
      <c r="L866" s="85">
        <v>43139</v>
      </c>
      <c r="M866" s="2296" t="s">
        <v>729</v>
      </c>
      <c r="N866" s="87">
        <v>43115</v>
      </c>
      <c r="O866" s="88">
        <f t="shared" si="302"/>
        <v>43115</v>
      </c>
      <c r="P866" s="2766" t="s">
        <v>2881</v>
      </c>
      <c r="Q866" s="2955"/>
      <c r="R866" s="89">
        <v>279.66000000000003</v>
      </c>
      <c r="S866" s="1946" t="s">
        <v>731</v>
      </c>
      <c r="T866" s="77" t="s">
        <v>2803</v>
      </c>
      <c r="U866" s="1893"/>
      <c r="V866" s="2079">
        <f t="shared" si="293"/>
        <v>0</v>
      </c>
      <c r="W866" s="78">
        <f t="shared" si="294"/>
        <v>329.99880000000002</v>
      </c>
      <c r="X866" s="1878" t="str">
        <f t="shared" ref="X866:X929" si="304">CONCATENATE(E866,".- ",F866," ",G866," ",H866,"-OT_",K866," "," ",I866," ",P866," ",T866)</f>
        <v>2.- C Lima Caucho 0181210-OT_007777  Reencauche 0001-010491 DY3E-220</v>
      </c>
      <c r="Z866" s="19" t="str">
        <f t="shared" si="303"/>
        <v>ReencaucheReenc. MASTERCAUCHO</v>
      </c>
    </row>
    <row r="867" spans="2:26" ht="15.2" customHeight="1">
      <c r="B867" s="37"/>
      <c r="E867" s="2697">
        <v>1</v>
      </c>
      <c r="F867" s="2297" t="s">
        <v>732</v>
      </c>
      <c r="G867" s="68" t="s">
        <v>733</v>
      </c>
      <c r="H867" s="69" t="s">
        <v>2872</v>
      </c>
      <c r="I867" s="68" t="s">
        <v>726</v>
      </c>
      <c r="J867" s="70" t="s">
        <v>727</v>
      </c>
      <c r="K867" s="71" t="s">
        <v>2873</v>
      </c>
      <c r="L867" s="72">
        <v>43137</v>
      </c>
      <c r="M867" s="2306" t="s">
        <v>729</v>
      </c>
      <c r="N867" s="74">
        <v>43143</v>
      </c>
      <c r="O867" s="75">
        <f t="shared" si="302"/>
        <v>43143</v>
      </c>
      <c r="P867" s="2765" t="s">
        <v>2876</v>
      </c>
      <c r="Q867" s="2954"/>
      <c r="R867" s="76">
        <v>279.66000000000003</v>
      </c>
      <c r="S867" s="1945" t="s">
        <v>731</v>
      </c>
      <c r="T867" s="77" t="s">
        <v>2803</v>
      </c>
      <c r="U867" s="1893"/>
      <c r="V867" s="2079">
        <f t="shared" ref="V867:V930" si="305">+Q867*(1.18)</f>
        <v>0</v>
      </c>
      <c r="W867" s="78">
        <f t="shared" ref="W867:W930" si="306">+R867*(1.18)</f>
        <v>329.99880000000002</v>
      </c>
      <c r="X867" s="1878" t="str">
        <f t="shared" si="304"/>
        <v>1.- C Lima Caucho 0080108-OT_007643  Reencauche 0001-010468 DY3E-220</v>
      </c>
      <c r="Z867" s="19" t="str">
        <f t="shared" si="303"/>
        <v>ReencaucheReenc. MASTERCAUCHO</v>
      </c>
    </row>
    <row r="868" spans="2:26" ht="15.2" customHeight="1">
      <c r="B868" s="37"/>
      <c r="E868" s="2697">
        <v>2</v>
      </c>
      <c r="F868" s="2297" t="s">
        <v>723</v>
      </c>
      <c r="G868" s="68" t="s">
        <v>724</v>
      </c>
      <c r="H868" s="69" t="s">
        <v>2871</v>
      </c>
      <c r="I868" s="68" t="s">
        <v>726</v>
      </c>
      <c r="J868" s="70" t="s">
        <v>727</v>
      </c>
      <c r="K868" s="71" t="s">
        <v>2873</v>
      </c>
      <c r="L868" s="72">
        <v>43137</v>
      </c>
      <c r="M868" s="2306" t="s">
        <v>729</v>
      </c>
      <c r="N868" s="74">
        <v>43143</v>
      </c>
      <c r="O868" s="75">
        <f t="shared" si="302"/>
        <v>43143</v>
      </c>
      <c r="P868" s="2765" t="s">
        <v>2876</v>
      </c>
      <c r="Q868" s="2954"/>
      <c r="R868" s="76">
        <v>279.66000000000003</v>
      </c>
      <c r="S868" s="1945" t="s">
        <v>731</v>
      </c>
      <c r="T868" s="77" t="s">
        <v>2803</v>
      </c>
      <c r="U868" s="1893"/>
      <c r="V868" s="2079">
        <f t="shared" si="305"/>
        <v>0</v>
      </c>
      <c r="W868" s="78">
        <f t="shared" si="306"/>
        <v>329.99880000000002</v>
      </c>
      <c r="X868" s="1878" t="str">
        <f t="shared" si="304"/>
        <v>2.- R Aeolus 0320615-OT_007643  Reencauche 0001-010468 DY3E-220</v>
      </c>
      <c r="Z868" s="19" t="str">
        <f t="shared" si="303"/>
        <v>Vulcanizado (curación)Reenc. MASTERCAUCHO</v>
      </c>
    </row>
    <row r="869" spans="2:26" ht="15.2" customHeight="1">
      <c r="B869" s="37"/>
      <c r="E869" s="2697">
        <v>3</v>
      </c>
      <c r="F869" s="2297" t="s">
        <v>723</v>
      </c>
      <c r="G869" s="68" t="s">
        <v>737</v>
      </c>
      <c r="H869" s="69" t="s">
        <v>2870</v>
      </c>
      <c r="I869" s="68" t="s">
        <v>726</v>
      </c>
      <c r="J869" s="70" t="s">
        <v>727</v>
      </c>
      <c r="K869" s="71" t="s">
        <v>2873</v>
      </c>
      <c r="L869" s="72">
        <v>43137</v>
      </c>
      <c r="M869" s="2306" t="s">
        <v>729</v>
      </c>
      <c r="N869" s="74">
        <v>43143</v>
      </c>
      <c r="O869" s="75">
        <f t="shared" si="302"/>
        <v>43143</v>
      </c>
      <c r="P869" s="2765" t="s">
        <v>2876</v>
      </c>
      <c r="Q869" s="2954"/>
      <c r="R869" s="76">
        <v>279.66000000000003</v>
      </c>
      <c r="S869" s="1945" t="s">
        <v>731</v>
      </c>
      <c r="T869" s="77" t="s">
        <v>2803</v>
      </c>
      <c r="U869" s="1893"/>
      <c r="V869" s="2079">
        <f t="shared" si="305"/>
        <v>0</v>
      </c>
      <c r="W869" s="78">
        <f t="shared" si="306"/>
        <v>329.99880000000002</v>
      </c>
      <c r="X869" s="1878" t="str">
        <f t="shared" si="304"/>
        <v>3.- R Vikrant 0971216-OT_007643  Reencauche 0001-010468 DY3E-220</v>
      </c>
      <c r="Z869" s="19" t="str">
        <f t="shared" si="303"/>
        <v>Vulcanizado (curación)Reenc. MASTERCAUCHO</v>
      </c>
    </row>
    <row r="870" spans="2:26" ht="15.2" customHeight="1">
      <c r="B870" s="37"/>
      <c r="E870" s="79">
        <v>4</v>
      </c>
      <c r="F870" s="2294" t="s">
        <v>723</v>
      </c>
      <c r="G870" s="81" t="s">
        <v>737</v>
      </c>
      <c r="H870" s="82" t="s">
        <v>2869</v>
      </c>
      <c r="I870" s="81" t="s">
        <v>726</v>
      </c>
      <c r="J870" s="83" t="s">
        <v>727</v>
      </c>
      <c r="K870" s="84" t="s">
        <v>2873</v>
      </c>
      <c r="L870" s="85">
        <v>43137</v>
      </c>
      <c r="M870" s="2296" t="s">
        <v>729</v>
      </c>
      <c r="N870" s="87">
        <v>43143</v>
      </c>
      <c r="O870" s="88">
        <f t="shared" si="302"/>
        <v>43143</v>
      </c>
      <c r="P870" s="2766" t="s">
        <v>2876</v>
      </c>
      <c r="Q870" s="2955"/>
      <c r="R870" s="89">
        <v>279.66000000000003</v>
      </c>
      <c r="S870" s="1946" t="s">
        <v>731</v>
      </c>
      <c r="T870" s="77" t="s">
        <v>2803</v>
      </c>
      <c r="U870" s="1893"/>
      <c r="V870" s="2079">
        <f t="shared" si="305"/>
        <v>0</v>
      </c>
      <c r="W870" s="78">
        <f t="shared" si="306"/>
        <v>329.99880000000002</v>
      </c>
      <c r="X870" s="1878" t="str">
        <f t="shared" si="304"/>
        <v>4.- R Vikrant 0961216-OT_007643  Reencauche 0001-010468 DY3E-220</v>
      </c>
      <c r="Z870" s="19" t="str">
        <f t="shared" si="303"/>
        <v>Vulcanizado (curación)Reenc. MASTERCAUCHO</v>
      </c>
    </row>
    <row r="871" spans="2:26" ht="15.2" customHeight="1">
      <c r="B871" s="37"/>
      <c r="E871" s="2708">
        <v>5</v>
      </c>
      <c r="F871" s="2297" t="s">
        <v>723</v>
      </c>
      <c r="G871" s="68" t="s">
        <v>724</v>
      </c>
      <c r="H871" s="69" t="s">
        <v>1293</v>
      </c>
      <c r="I871" s="68" t="s">
        <v>811</v>
      </c>
      <c r="J871" s="70" t="s">
        <v>727</v>
      </c>
      <c r="K871" s="71" t="s">
        <v>2875</v>
      </c>
      <c r="L871" s="72">
        <v>43139</v>
      </c>
      <c r="M871" s="2306" t="s">
        <v>729</v>
      </c>
      <c r="N871" s="74">
        <v>43143</v>
      </c>
      <c r="O871" s="75">
        <f t="shared" si="302"/>
        <v>43143</v>
      </c>
      <c r="P871" s="2765" t="s">
        <v>2876</v>
      </c>
      <c r="Q871" s="2954"/>
      <c r="R871" s="76">
        <v>84.745699999999999</v>
      </c>
      <c r="S871" s="1945" t="s">
        <v>731</v>
      </c>
      <c r="T871" s="77"/>
      <c r="U871" s="1893"/>
      <c r="V871" s="2079">
        <f t="shared" si="305"/>
        <v>0</v>
      </c>
      <c r="W871" s="78">
        <f t="shared" si="306"/>
        <v>99.999925999999988</v>
      </c>
      <c r="X871" s="1878" t="str">
        <f t="shared" si="304"/>
        <v xml:space="preserve">5.- R Aeolus 0120215-OT_007777  Vulcanizado (curación) 0001-010468 </v>
      </c>
      <c r="Z871" s="19" t="str">
        <f t="shared" si="303"/>
        <v>Casc 2a trnsplReenc. MASTERCAUCHO</v>
      </c>
    </row>
    <row r="872" spans="2:26" ht="15.2" customHeight="1">
      <c r="B872" s="37"/>
      <c r="E872" s="79">
        <v>6</v>
      </c>
      <c r="F872" s="2294" t="s">
        <v>723</v>
      </c>
      <c r="G872" s="81" t="s">
        <v>724</v>
      </c>
      <c r="H872" s="82" t="s">
        <v>2874</v>
      </c>
      <c r="I872" s="81" t="s">
        <v>811</v>
      </c>
      <c r="J872" s="83" t="s">
        <v>727</v>
      </c>
      <c r="K872" s="84" t="s">
        <v>2875</v>
      </c>
      <c r="L872" s="85">
        <v>43139</v>
      </c>
      <c r="M872" s="2296" t="s">
        <v>729</v>
      </c>
      <c r="N872" s="87">
        <v>43143</v>
      </c>
      <c r="O872" s="88">
        <f t="shared" si="302"/>
        <v>43143</v>
      </c>
      <c r="P872" s="2766" t="s">
        <v>2876</v>
      </c>
      <c r="Q872" s="2955"/>
      <c r="R872" s="89">
        <v>84.745699999999999</v>
      </c>
      <c r="S872" s="1946" t="s">
        <v>731</v>
      </c>
      <c r="T872" s="77"/>
      <c r="U872" s="1893"/>
      <c r="V872" s="2079">
        <f t="shared" si="305"/>
        <v>0</v>
      </c>
      <c r="W872" s="78">
        <f t="shared" si="306"/>
        <v>99.999925999999988</v>
      </c>
      <c r="X872" s="1878" t="str">
        <f t="shared" si="304"/>
        <v xml:space="preserve">6.- R Aeolus 0310615-OT_007777  Vulcanizado (curación) 0001-010468 </v>
      </c>
      <c r="Z872" s="19" t="str">
        <f t="shared" si="303"/>
        <v>Casc 2a trnsplReenc. MASTERCAUCHO</v>
      </c>
    </row>
    <row r="873" spans="2:26" ht="15.2" customHeight="1">
      <c r="B873" s="37"/>
      <c r="E873" s="79">
        <v>7</v>
      </c>
      <c r="F873" s="2294" t="s">
        <v>723</v>
      </c>
      <c r="G873" s="81" t="s">
        <v>151</v>
      </c>
      <c r="H873" s="82" t="s">
        <v>2866</v>
      </c>
      <c r="I873" s="81" t="s">
        <v>811</v>
      </c>
      <c r="J873" s="83" t="s">
        <v>727</v>
      </c>
      <c r="K873" s="84" t="s">
        <v>2868</v>
      </c>
      <c r="L873" s="85">
        <v>43136</v>
      </c>
      <c r="M873" s="2296" t="s">
        <v>729</v>
      </c>
      <c r="N873" s="87">
        <v>43139</v>
      </c>
      <c r="O873" s="88">
        <f t="shared" si="302"/>
        <v>43139</v>
      </c>
      <c r="P873" s="2766" t="s">
        <v>2876</v>
      </c>
      <c r="Q873" s="2955"/>
      <c r="R873" s="89">
        <v>84.745699999999999</v>
      </c>
      <c r="S873" s="1946" t="s">
        <v>731</v>
      </c>
      <c r="T873" s="77" t="s">
        <v>2867</v>
      </c>
      <c r="U873" s="1893"/>
      <c r="V873" s="2079">
        <f t="shared" si="305"/>
        <v>0</v>
      </c>
      <c r="W873" s="78">
        <f t="shared" si="306"/>
        <v>99.999925999999988</v>
      </c>
      <c r="X873" s="1878" t="str">
        <f t="shared" si="304"/>
        <v>7.- R WindPower 0370915-OT_007640  Vulcanizado (curación) 0001-010468 G0001-003543</v>
      </c>
      <c r="Z873" s="19" t="str">
        <f t="shared" si="303"/>
        <v>ReencaucheReenc. MASTERCAUCHO</v>
      </c>
    </row>
    <row r="874" spans="2:26" ht="15.2" customHeight="1">
      <c r="B874" s="37"/>
      <c r="E874" s="2716">
        <v>8</v>
      </c>
      <c r="F874" s="2722" t="s">
        <v>732</v>
      </c>
      <c r="G874" s="2396" t="s">
        <v>1108</v>
      </c>
      <c r="H874" s="2397" t="s">
        <v>2879</v>
      </c>
      <c r="I874" s="2396" t="s">
        <v>3224</v>
      </c>
      <c r="J874" s="2398" t="s">
        <v>727</v>
      </c>
      <c r="K874" s="2399" t="s">
        <v>857</v>
      </c>
      <c r="L874" s="2400">
        <v>43143</v>
      </c>
      <c r="M874" s="2723" t="s">
        <v>729</v>
      </c>
      <c r="N874" s="2724">
        <v>43143</v>
      </c>
      <c r="O874" s="2725">
        <f t="shared" si="302"/>
        <v>43143</v>
      </c>
      <c r="P874" s="2768" t="s">
        <v>2876</v>
      </c>
      <c r="Q874" s="2954"/>
      <c r="R874" s="2726">
        <v>211.86439999999999</v>
      </c>
      <c r="S874" s="2727" t="s">
        <v>731</v>
      </c>
      <c r="T874" s="2728" t="s">
        <v>2880</v>
      </c>
      <c r="U874" s="1893"/>
      <c r="V874" s="2079">
        <f t="shared" si="305"/>
        <v>0</v>
      </c>
      <c r="W874" s="78">
        <f t="shared" si="306"/>
        <v>249.99999199999996</v>
      </c>
      <c r="X874" s="1878" t="str">
        <f t="shared" si="304"/>
        <v>8.- C Hankook 297-OT_S/D  Casc 2a trnspl 0001-010468 Transpl+Casco2da</v>
      </c>
      <c r="Z874" s="19" t="str">
        <f t="shared" si="303"/>
        <v>ReencaucheReenc. MASTERCAUCHO</v>
      </c>
    </row>
    <row r="875" spans="2:26" ht="15.2" customHeight="1">
      <c r="B875" s="37"/>
      <c r="E875" s="79">
        <v>9</v>
      </c>
      <c r="F875" s="2729" t="s">
        <v>732</v>
      </c>
      <c r="G875" s="2401" t="s">
        <v>2877</v>
      </c>
      <c r="H875" s="2402" t="s">
        <v>2878</v>
      </c>
      <c r="I875" s="2401" t="s">
        <v>3224</v>
      </c>
      <c r="J875" s="2403" t="s">
        <v>727</v>
      </c>
      <c r="K875" s="2404" t="s">
        <v>857</v>
      </c>
      <c r="L875" s="2405">
        <v>43143</v>
      </c>
      <c r="M875" s="2730" t="s">
        <v>729</v>
      </c>
      <c r="N875" s="2731">
        <v>43446</v>
      </c>
      <c r="O875" s="2732">
        <f t="shared" si="302"/>
        <v>43446</v>
      </c>
      <c r="P875" s="2769" t="s">
        <v>2876</v>
      </c>
      <c r="Q875" s="2955"/>
      <c r="R875" s="2733">
        <v>211.86439999999999</v>
      </c>
      <c r="S875" s="2734" t="s">
        <v>731</v>
      </c>
      <c r="T875" s="2728" t="s">
        <v>2880</v>
      </c>
      <c r="U875" s="1893"/>
      <c r="V875" s="2079">
        <f t="shared" si="305"/>
        <v>0</v>
      </c>
      <c r="W875" s="78">
        <f t="shared" si="306"/>
        <v>249.99999199999996</v>
      </c>
      <c r="X875" s="1878" t="str">
        <f t="shared" si="304"/>
        <v>9.- C Pirelli 0710-OT_S/D  Casc 2a trnspl 0001-010468 Transpl+Casco2da</v>
      </c>
      <c r="Z875" s="19" t="str">
        <f t="shared" si="303"/>
        <v>Vulcanizado (curación)Reenc. MASTERCAUCHO</v>
      </c>
    </row>
    <row r="876" spans="2:26" ht="15.2" customHeight="1">
      <c r="B876" s="37"/>
      <c r="E876" s="2697">
        <v>1</v>
      </c>
      <c r="F876" s="2297" t="s">
        <v>723</v>
      </c>
      <c r="G876" s="68" t="s">
        <v>2460</v>
      </c>
      <c r="H876" s="69" t="s">
        <v>2860</v>
      </c>
      <c r="I876" s="68" t="s">
        <v>726</v>
      </c>
      <c r="J876" s="70" t="s">
        <v>727</v>
      </c>
      <c r="K876" s="71" t="s">
        <v>2855</v>
      </c>
      <c r="L876" s="72">
        <v>43126</v>
      </c>
      <c r="M876" s="2306" t="s">
        <v>729</v>
      </c>
      <c r="N876" s="74">
        <v>43132</v>
      </c>
      <c r="O876" s="75">
        <f t="shared" si="302"/>
        <v>43132</v>
      </c>
      <c r="P876" s="2765" t="s">
        <v>2862</v>
      </c>
      <c r="Q876" s="2954"/>
      <c r="R876" s="76">
        <v>279.66000000000003</v>
      </c>
      <c r="S876" s="1945" t="s">
        <v>731</v>
      </c>
      <c r="T876" s="77" t="s">
        <v>2863</v>
      </c>
      <c r="U876" s="1893"/>
      <c r="V876" s="2079">
        <f t="shared" si="305"/>
        <v>0</v>
      </c>
      <c r="W876" s="78">
        <f t="shared" si="306"/>
        <v>329.99880000000002</v>
      </c>
      <c r="X876" s="1878" t="str">
        <f t="shared" si="304"/>
        <v>1.- R MICHELLIN 8371217-OT_007635  Reencauche 0001-010339 DY3E-235</v>
      </c>
      <c r="Z876" s="19" t="str">
        <f t="shared" si="303"/>
        <v>ReencaucheReenc. MASTERCAUCHO</v>
      </c>
    </row>
    <row r="877" spans="2:26" ht="15.2" customHeight="1">
      <c r="B877" s="37"/>
      <c r="E877" s="2697">
        <v>2</v>
      </c>
      <c r="F877" s="2297" t="s">
        <v>723</v>
      </c>
      <c r="G877" s="68" t="s">
        <v>2460</v>
      </c>
      <c r="H877" s="69" t="s">
        <v>2861</v>
      </c>
      <c r="I877" s="68" t="s">
        <v>726</v>
      </c>
      <c r="J877" s="70" t="s">
        <v>727</v>
      </c>
      <c r="K877" s="71" t="s">
        <v>2855</v>
      </c>
      <c r="L877" s="72">
        <v>43126</v>
      </c>
      <c r="M877" s="2306" t="s">
        <v>729</v>
      </c>
      <c r="N877" s="74">
        <v>43132</v>
      </c>
      <c r="O877" s="75">
        <f t="shared" si="302"/>
        <v>43132</v>
      </c>
      <c r="P877" s="2765" t="s">
        <v>2862</v>
      </c>
      <c r="Q877" s="2954"/>
      <c r="R877" s="76">
        <v>279.66000000000003</v>
      </c>
      <c r="S877" s="1945" t="s">
        <v>731</v>
      </c>
      <c r="T877" s="77" t="s">
        <v>2863</v>
      </c>
      <c r="U877" s="1893"/>
      <c r="V877" s="2079">
        <f t="shared" si="305"/>
        <v>0</v>
      </c>
      <c r="W877" s="78">
        <f t="shared" si="306"/>
        <v>329.99880000000002</v>
      </c>
      <c r="X877" s="1878" t="str">
        <f t="shared" si="304"/>
        <v>2.- R MICHELLIN 8381217-OT_007635  Reencauche 0001-010339 DY3E-235</v>
      </c>
      <c r="Z877" s="19" t="str">
        <f t="shared" si="303"/>
        <v>ReencaucheReenc. MASTERCAUCHO</v>
      </c>
    </row>
    <row r="878" spans="2:26" ht="15.2" customHeight="1">
      <c r="B878" s="37"/>
      <c r="E878" s="2697">
        <v>3</v>
      </c>
      <c r="F878" s="2297" t="s">
        <v>2825</v>
      </c>
      <c r="G878" s="68" t="s">
        <v>2858</v>
      </c>
      <c r="H878" s="69" t="s">
        <v>2859</v>
      </c>
      <c r="I878" s="68" t="s">
        <v>811</v>
      </c>
      <c r="J878" s="70" t="s">
        <v>727</v>
      </c>
      <c r="K878" s="71" t="s">
        <v>2855</v>
      </c>
      <c r="L878" s="72">
        <v>43126</v>
      </c>
      <c r="M878" s="2306" t="s">
        <v>729</v>
      </c>
      <c r="N878" s="74">
        <v>43132</v>
      </c>
      <c r="O878" s="75">
        <f t="shared" si="302"/>
        <v>43132</v>
      </c>
      <c r="P878" s="2765" t="s">
        <v>2862</v>
      </c>
      <c r="Q878" s="2954"/>
      <c r="R878" s="76">
        <v>127.1186</v>
      </c>
      <c r="S878" s="1945" t="s">
        <v>731</v>
      </c>
      <c r="T878" s="77" t="s">
        <v>2864</v>
      </c>
      <c r="U878" s="1893"/>
      <c r="V878" s="2079">
        <f t="shared" si="305"/>
        <v>0</v>
      </c>
      <c r="W878" s="78">
        <f t="shared" si="306"/>
        <v>149.99994799999999</v>
      </c>
      <c r="X878" s="1878" t="str">
        <f t="shared" si="304"/>
        <v>3.- B TOYO 260-OT_007635  Vulcanizado (curación) 0001-010339 Rep - 425/65R22.5(super single)</v>
      </c>
      <c r="Z878" s="19" t="str">
        <f t="shared" si="303"/>
        <v>Vulcanizado (curación)Reenc. MASTERCAUCHO</v>
      </c>
    </row>
    <row r="879" spans="2:26" ht="15.2" customHeight="1">
      <c r="B879" s="37"/>
      <c r="E879" s="2407">
        <v>1</v>
      </c>
      <c r="F879" s="2297" t="s">
        <v>723</v>
      </c>
      <c r="G879" s="68" t="s">
        <v>151</v>
      </c>
      <c r="H879" s="69" t="s">
        <v>2853</v>
      </c>
      <c r="I879" s="68" t="s">
        <v>726</v>
      </c>
      <c r="J879" s="70" t="s">
        <v>727</v>
      </c>
      <c r="K879" s="71" t="s">
        <v>2855</v>
      </c>
      <c r="L879" s="72">
        <v>43126</v>
      </c>
      <c r="M879" s="2306" t="s">
        <v>729</v>
      </c>
      <c r="N879" s="74">
        <v>43130</v>
      </c>
      <c r="O879" s="75">
        <f t="shared" si="302"/>
        <v>43130</v>
      </c>
      <c r="P879" s="2765" t="s">
        <v>2857</v>
      </c>
      <c r="Q879" s="2954"/>
      <c r="R879" s="76">
        <v>279.66000000000003</v>
      </c>
      <c r="S879" s="1945" t="s">
        <v>731</v>
      </c>
      <c r="T879" s="77" t="s">
        <v>2803</v>
      </c>
      <c r="U879" s="1893"/>
      <c r="V879" s="2079">
        <f t="shared" si="305"/>
        <v>0</v>
      </c>
      <c r="W879" s="78">
        <f t="shared" si="306"/>
        <v>329.99880000000002</v>
      </c>
      <c r="X879" s="1878" t="str">
        <f t="shared" si="304"/>
        <v>1.- R WindPower 0881215-OT_007635  Reencauche 0001-010311 DY3E-220</v>
      </c>
      <c r="Z879" s="19" t="str">
        <f t="shared" si="303"/>
        <v>ReencaucheReenc. MASTERCAUCHO</v>
      </c>
    </row>
    <row r="880" spans="2:26" ht="15.2" customHeight="1">
      <c r="B880" s="37"/>
      <c r="E880" s="2663">
        <v>2</v>
      </c>
      <c r="F880" s="2297" t="s">
        <v>723</v>
      </c>
      <c r="G880" s="68" t="s">
        <v>724</v>
      </c>
      <c r="H880" s="69" t="s">
        <v>2854</v>
      </c>
      <c r="I880" s="68" t="s">
        <v>726</v>
      </c>
      <c r="J880" s="70" t="s">
        <v>727</v>
      </c>
      <c r="K880" s="71" t="s">
        <v>2855</v>
      </c>
      <c r="L880" s="72">
        <v>43126</v>
      </c>
      <c r="M880" s="2306" t="s">
        <v>729</v>
      </c>
      <c r="N880" s="74">
        <v>43130</v>
      </c>
      <c r="O880" s="75">
        <f t="shared" si="302"/>
        <v>43130</v>
      </c>
      <c r="P880" s="2765" t="s">
        <v>2857</v>
      </c>
      <c r="Q880" s="2954"/>
      <c r="R880" s="76">
        <v>279.33</v>
      </c>
      <c r="S880" s="1945" t="s">
        <v>731</v>
      </c>
      <c r="T880" s="77" t="s">
        <v>2803</v>
      </c>
      <c r="U880" s="1893"/>
      <c r="V880" s="2079">
        <f t="shared" si="305"/>
        <v>0</v>
      </c>
      <c r="W880" s="78">
        <f t="shared" si="306"/>
        <v>329.60939999999994</v>
      </c>
      <c r="X880" s="1878" t="str">
        <f t="shared" si="304"/>
        <v>2.- R Aeolus 0180114-OT_007635  Reencauche 0001-010311 DY3E-220</v>
      </c>
      <c r="Z880" s="19" t="str">
        <f t="shared" si="303"/>
        <v>ReencaucheReenc. MASTERCAUCHO</v>
      </c>
    </row>
    <row r="881" spans="2:26" ht="15.2" customHeight="1">
      <c r="B881" s="37"/>
      <c r="E881" s="79">
        <v>3</v>
      </c>
      <c r="F881" s="2294" t="s">
        <v>723</v>
      </c>
      <c r="G881" s="81" t="s">
        <v>2460</v>
      </c>
      <c r="H881" s="82" t="s">
        <v>2852</v>
      </c>
      <c r="I881" s="81" t="s">
        <v>811</v>
      </c>
      <c r="J881" s="83" t="s">
        <v>727</v>
      </c>
      <c r="K881" s="2295" t="s">
        <v>2855</v>
      </c>
      <c r="L881" s="85">
        <v>43126</v>
      </c>
      <c r="M881" s="2296" t="s">
        <v>729</v>
      </c>
      <c r="N881" s="87">
        <v>43129</v>
      </c>
      <c r="O881" s="88">
        <f t="shared" si="302"/>
        <v>43129</v>
      </c>
      <c r="P881" s="2766" t="s">
        <v>2856</v>
      </c>
      <c r="Q881" s="2955"/>
      <c r="R881" s="89">
        <v>84.745699999999999</v>
      </c>
      <c r="S881" s="1946" t="s">
        <v>731</v>
      </c>
      <c r="T881" s="77"/>
      <c r="U881" s="1893"/>
      <c r="V881" s="2079">
        <f t="shared" si="305"/>
        <v>0</v>
      </c>
      <c r="W881" s="78">
        <f t="shared" si="306"/>
        <v>99.999925999999988</v>
      </c>
      <c r="X881" s="1878" t="str">
        <f t="shared" si="304"/>
        <v xml:space="preserve">3.- R MICHELLIN 46880114-OT_007635  Vulcanizado (curación) 0001-010308 </v>
      </c>
      <c r="Z881" s="19" t="str">
        <f t="shared" si="303"/>
        <v>ReencaucheReenc. MASTERCAUCHO</v>
      </c>
    </row>
    <row r="882" spans="2:26" ht="15.2" customHeight="1">
      <c r="B882" s="37"/>
      <c r="E882" s="2702">
        <v>1</v>
      </c>
      <c r="F882" s="2297" t="s">
        <v>723</v>
      </c>
      <c r="G882" s="68" t="s">
        <v>757</v>
      </c>
      <c r="H882" s="69" t="s">
        <v>6</v>
      </c>
      <c r="I882" s="68" t="s">
        <v>726</v>
      </c>
      <c r="J882" s="70" t="s">
        <v>727</v>
      </c>
      <c r="K882" s="2305" t="s">
        <v>2838</v>
      </c>
      <c r="L882" s="72">
        <v>43115</v>
      </c>
      <c r="M882" s="2306" t="s">
        <v>729</v>
      </c>
      <c r="N882" s="74">
        <v>43120</v>
      </c>
      <c r="O882" s="75">
        <f t="shared" si="302"/>
        <v>43120</v>
      </c>
      <c r="P882" s="2765" t="s">
        <v>2839</v>
      </c>
      <c r="Q882" s="2954"/>
      <c r="R882" s="76">
        <v>279.66000000000003</v>
      </c>
      <c r="S882" s="1945" t="s">
        <v>731</v>
      </c>
      <c r="T882" s="77" t="s">
        <v>2803</v>
      </c>
      <c r="U882" s="1893"/>
      <c r="V882" s="2079">
        <f t="shared" si="305"/>
        <v>0</v>
      </c>
      <c r="W882" s="78">
        <f t="shared" si="306"/>
        <v>329.99880000000002</v>
      </c>
      <c r="X882" s="1878" t="str">
        <f t="shared" si="304"/>
        <v>1.- R Goodyear 00240614-OT_007619  Reencauche 000-010240 DY3E-220</v>
      </c>
      <c r="Z882" s="19" t="str">
        <f t="shared" si="303"/>
        <v>ReencaucheReenc. MASTERCAUCHO</v>
      </c>
    </row>
    <row r="883" spans="2:26" ht="15.2" customHeight="1">
      <c r="B883" s="37"/>
      <c r="E883" s="2702">
        <v>2</v>
      </c>
      <c r="F883" s="2297" t="s">
        <v>723</v>
      </c>
      <c r="G883" s="68" t="s">
        <v>151</v>
      </c>
      <c r="H883" s="69" t="s">
        <v>2836</v>
      </c>
      <c r="I883" s="68" t="s">
        <v>726</v>
      </c>
      <c r="J883" s="70" t="s">
        <v>727</v>
      </c>
      <c r="K883" s="71" t="s">
        <v>2838</v>
      </c>
      <c r="L883" s="72">
        <v>43115</v>
      </c>
      <c r="M883" s="73" t="s">
        <v>729</v>
      </c>
      <c r="N883" s="74">
        <v>43120</v>
      </c>
      <c r="O883" s="75">
        <v>43120</v>
      </c>
      <c r="P883" s="2765" t="s">
        <v>2839</v>
      </c>
      <c r="Q883" s="2954"/>
      <c r="R883" s="76">
        <v>279.66000000000003</v>
      </c>
      <c r="S883" s="1945" t="s">
        <v>731</v>
      </c>
      <c r="T883" s="77" t="s">
        <v>2803</v>
      </c>
      <c r="U883" s="1893"/>
      <c r="V883" s="2079">
        <f t="shared" si="305"/>
        <v>0</v>
      </c>
      <c r="W883" s="78">
        <f t="shared" si="306"/>
        <v>329.99880000000002</v>
      </c>
      <c r="X883" s="1878" t="str">
        <f t="shared" si="304"/>
        <v>2.- R WindPower 0851213-OT_007619  Reencauche 000-010240 DY3E-220</v>
      </c>
      <c r="Z883" s="19" t="str">
        <f t="shared" si="303"/>
        <v>ReencaucheReenc. MASTERCAUCHO</v>
      </c>
    </row>
    <row r="884" spans="2:26" ht="15.2" customHeight="1">
      <c r="B884" s="37"/>
      <c r="E884" s="2703">
        <v>3</v>
      </c>
      <c r="F884" s="2294" t="s">
        <v>723</v>
      </c>
      <c r="G884" s="81" t="s">
        <v>724</v>
      </c>
      <c r="H884" s="82" t="s">
        <v>2837</v>
      </c>
      <c r="I884" s="81" t="s">
        <v>726</v>
      </c>
      <c r="J884" s="83" t="s">
        <v>727</v>
      </c>
      <c r="K884" s="84" t="s">
        <v>2838</v>
      </c>
      <c r="L884" s="85">
        <v>43115</v>
      </c>
      <c r="M884" s="86" t="s">
        <v>729</v>
      </c>
      <c r="N884" s="87">
        <v>43120</v>
      </c>
      <c r="O884" s="88">
        <v>43120</v>
      </c>
      <c r="P884" s="2766" t="s">
        <v>2839</v>
      </c>
      <c r="Q884" s="2955"/>
      <c r="R884" s="89">
        <v>0</v>
      </c>
      <c r="S884" s="1946" t="s">
        <v>731</v>
      </c>
      <c r="T884" s="1875" t="s">
        <v>2840</v>
      </c>
      <c r="U884" s="1893"/>
      <c r="V884" s="2079">
        <f t="shared" si="305"/>
        <v>0</v>
      </c>
      <c r="W884" s="78">
        <f t="shared" si="306"/>
        <v>0</v>
      </c>
      <c r="X884" s="1878" t="str">
        <f t="shared" si="304"/>
        <v>3.- R Aeolus 035912-OT_007619  Reencauche 000-010240 Rechazado, G0001-003472</v>
      </c>
      <c r="Z884" s="19" t="str">
        <f t="shared" si="303"/>
        <v>Vulcanizado (curación)Reenc. MASTERCAUCHO</v>
      </c>
    </row>
    <row r="885" spans="2:26" ht="15.2" customHeight="1">
      <c r="B885" s="37"/>
      <c r="E885" s="2700">
        <v>1</v>
      </c>
      <c r="F885" s="2297" t="s">
        <v>723</v>
      </c>
      <c r="G885" s="68" t="s">
        <v>2460</v>
      </c>
      <c r="H885" s="69" t="s">
        <v>2832</v>
      </c>
      <c r="I885" s="68" t="s">
        <v>726</v>
      </c>
      <c r="J885" s="70" t="s">
        <v>727</v>
      </c>
      <c r="K885" s="71" t="s">
        <v>2834</v>
      </c>
      <c r="L885" s="72">
        <v>43109</v>
      </c>
      <c r="M885" s="2306" t="s">
        <v>729</v>
      </c>
      <c r="N885" s="74">
        <v>43113</v>
      </c>
      <c r="O885" s="75">
        <f>+N885</f>
        <v>43113</v>
      </c>
      <c r="P885" s="2765" t="s">
        <v>2835</v>
      </c>
      <c r="Q885" s="2954"/>
      <c r="R885" s="76">
        <v>279.66000000000003</v>
      </c>
      <c r="S885" s="1945" t="s">
        <v>731</v>
      </c>
      <c r="T885" s="77" t="s">
        <v>2841</v>
      </c>
      <c r="U885" s="1893"/>
      <c r="V885" s="2079">
        <f t="shared" si="305"/>
        <v>0</v>
      </c>
      <c r="W885" s="78">
        <f t="shared" si="306"/>
        <v>329.99880000000002</v>
      </c>
      <c r="X885" s="1878" t="str">
        <f t="shared" si="304"/>
        <v>1.- R MICHELLIN 8351117-OT_007520  Reencauche 0001-010183  DY3E 220</v>
      </c>
      <c r="Z885" s="19" t="str">
        <f t="shared" si="303"/>
        <v>ReencaucheReenc. MASTERCAUCHO</v>
      </c>
    </row>
    <row r="886" spans="2:26" ht="15.2" customHeight="1">
      <c r="B886" s="37"/>
      <c r="E886" s="2700">
        <v>2</v>
      </c>
      <c r="F886" s="2297" t="s">
        <v>723</v>
      </c>
      <c r="G886" s="68" t="s">
        <v>2460</v>
      </c>
      <c r="H886" s="69" t="s">
        <v>2833</v>
      </c>
      <c r="I886" s="68" t="s">
        <v>726</v>
      </c>
      <c r="J886" s="70" t="s">
        <v>727</v>
      </c>
      <c r="K886" s="71" t="s">
        <v>2834</v>
      </c>
      <c r="L886" s="72">
        <v>43109</v>
      </c>
      <c r="M886" s="73" t="s">
        <v>729</v>
      </c>
      <c r="N886" s="74">
        <v>43113</v>
      </c>
      <c r="O886" s="75">
        <v>43113</v>
      </c>
      <c r="P886" s="2765" t="s">
        <v>2835</v>
      </c>
      <c r="Q886" s="2954"/>
      <c r="R886" s="76">
        <v>279.66000000000003</v>
      </c>
      <c r="S886" s="1945" t="s">
        <v>731</v>
      </c>
      <c r="T886" s="77" t="s">
        <v>2841</v>
      </c>
      <c r="U886" s="1893"/>
      <c r="V886" s="2079">
        <f t="shared" si="305"/>
        <v>0</v>
      </c>
      <c r="W886" s="78">
        <f t="shared" si="306"/>
        <v>329.99880000000002</v>
      </c>
      <c r="X886" s="1878" t="str">
        <f t="shared" si="304"/>
        <v>2.- R MICHELLIN 8361117-OT_007520  Reencauche 0001-010183  DY3E 220</v>
      </c>
      <c r="Z886" s="19" t="str">
        <f t="shared" si="303"/>
        <v>ReencaucheReenc. MASTERCAUCHO</v>
      </c>
    </row>
    <row r="887" spans="2:26" ht="15.2" customHeight="1">
      <c r="B887" s="37"/>
      <c r="E887" s="2701">
        <v>3</v>
      </c>
      <c r="F887" s="2294" t="s">
        <v>723</v>
      </c>
      <c r="G887" s="81" t="s">
        <v>724</v>
      </c>
      <c r="H887" s="82" t="s">
        <v>2097</v>
      </c>
      <c r="I887" s="81" t="s">
        <v>811</v>
      </c>
      <c r="J887" s="83" t="s">
        <v>727</v>
      </c>
      <c r="K887" s="2295" t="s">
        <v>2834</v>
      </c>
      <c r="L887" s="85">
        <v>43109</v>
      </c>
      <c r="M887" s="86" t="s">
        <v>729</v>
      </c>
      <c r="N887" s="87">
        <v>43113</v>
      </c>
      <c r="O887" s="88">
        <v>43113</v>
      </c>
      <c r="P887" s="2766" t="s">
        <v>2835</v>
      </c>
      <c r="Q887" s="2955"/>
      <c r="R887" s="89">
        <v>84.745699999999999</v>
      </c>
      <c r="S887" s="1946" t="s">
        <v>731</v>
      </c>
      <c r="T887" s="77"/>
      <c r="U887" s="1893"/>
      <c r="V887" s="2079">
        <f t="shared" si="305"/>
        <v>0</v>
      </c>
      <c r="W887" s="78">
        <f t="shared" si="306"/>
        <v>99.999925999999988</v>
      </c>
      <c r="X887" s="1878" t="str">
        <f t="shared" si="304"/>
        <v xml:space="preserve">3.- R Aeolus 0330814-OT_007520  Vulcanizado (curación) 0001-010183 </v>
      </c>
      <c r="Z887" s="19" t="str">
        <f t="shared" si="303"/>
        <v>ReencaucheReenc. MASTERCAUCHO</v>
      </c>
    </row>
    <row r="888" spans="2:26" ht="15.2" customHeight="1">
      <c r="B888" s="37"/>
      <c r="E888" s="2701">
        <v>1</v>
      </c>
      <c r="F888" s="2294" t="s">
        <v>723</v>
      </c>
      <c r="G888" s="81" t="s">
        <v>724</v>
      </c>
      <c r="H888" s="82" t="s">
        <v>976</v>
      </c>
      <c r="I888" s="81" t="s">
        <v>726</v>
      </c>
      <c r="J888" s="83" t="s">
        <v>727</v>
      </c>
      <c r="K888" s="2295" t="s">
        <v>2831</v>
      </c>
      <c r="L888" s="85">
        <v>43108</v>
      </c>
      <c r="M888" s="86" t="s">
        <v>729</v>
      </c>
      <c r="N888" s="87">
        <v>43113</v>
      </c>
      <c r="O888" s="88">
        <v>43113</v>
      </c>
      <c r="P888" s="2766" t="s">
        <v>2835</v>
      </c>
      <c r="Q888" s="2955"/>
      <c r="R888" s="89">
        <v>279.66000000000003</v>
      </c>
      <c r="S888" s="1946" t="s">
        <v>731</v>
      </c>
      <c r="T888" s="77" t="s">
        <v>2841</v>
      </c>
      <c r="U888" s="1893"/>
      <c r="V888" s="2079">
        <f t="shared" si="305"/>
        <v>0</v>
      </c>
      <c r="W888" s="78">
        <f t="shared" si="306"/>
        <v>329.99880000000002</v>
      </c>
      <c r="X888" s="1878" t="str">
        <f t="shared" si="304"/>
        <v>1.- R Aeolus 0090113-OT_007608  Reencauche 0001-010183  DY3E 220</v>
      </c>
      <c r="Z888" s="19" t="str">
        <f t="shared" si="303"/>
        <v>Vulcanizado (curación)Reenc. MASTERCAUCHO</v>
      </c>
    </row>
    <row r="889" spans="2:26" ht="15.2" customHeight="1">
      <c r="B889" s="37"/>
      <c r="E889" s="2700">
        <v>1</v>
      </c>
      <c r="F889" s="2297" t="s">
        <v>2825</v>
      </c>
      <c r="G889" s="68" t="s">
        <v>757</v>
      </c>
      <c r="H889" s="69" t="s">
        <v>2829</v>
      </c>
      <c r="I889" s="68" t="s">
        <v>726</v>
      </c>
      <c r="J889" s="70" t="s">
        <v>727</v>
      </c>
      <c r="K889" s="2305" t="s">
        <v>2830</v>
      </c>
      <c r="L889" s="72">
        <v>43106</v>
      </c>
      <c r="M889" s="73" t="s">
        <v>729</v>
      </c>
      <c r="N889" s="74">
        <v>43113</v>
      </c>
      <c r="O889" s="75">
        <v>43113</v>
      </c>
      <c r="P889" s="2765" t="s">
        <v>2835</v>
      </c>
      <c r="Q889" s="2954"/>
      <c r="R889" s="76">
        <v>542.37289999999996</v>
      </c>
      <c r="S889" s="1945" t="s">
        <v>731</v>
      </c>
      <c r="T889" s="77" t="s">
        <v>2843</v>
      </c>
      <c r="U889" s="1893"/>
      <c r="V889" s="2079">
        <f t="shared" si="305"/>
        <v>0</v>
      </c>
      <c r="W889" s="78">
        <f t="shared" si="306"/>
        <v>640.00002199999994</v>
      </c>
      <c r="X889" s="1878" t="str">
        <f t="shared" si="304"/>
        <v>1.- B Goodyear 0660816-OT_007604  Reencauche 0001-010183 TZY3-330 171 p3  425/65/22.5</v>
      </c>
      <c r="Z889" s="19" t="str">
        <f t="shared" si="303"/>
        <v>ReencaucheReenc. MASTERCAUCHO</v>
      </c>
    </row>
    <row r="890" spans="2:26" ht="15.2" customHeight="1">
      <c r="B890" s="37"/>
      <c r="E890" s="2700">
        <v>2</v>
      </c>
      <c r="F890" s="2297" t="s">
        <v>2825</v>
      </c>
      <c r="G890" s="68" t="s">
        <v>757</v>
      </c>
      <c r="H890" s="69" t="s">
        <v>2828</v>
      </c>
      <c r="I890" s="68" t="s">
        <v>726</v>
      </c>
      <c r="J890" s="70" t="s">
        <v>727</v>
      </c>
      <c r="K890" s="71" t="s">
        <v>2830</v>
      </c>
      <c r="L890" s="72">
        <v>43106</v>
      </c>
      <c r="M890" s="73" t="s">
        <v>729</v>
      </c>
      <c r="N890" s="74">
        <v>43113</v>
      </c>
      <c r="O890" s="75">
        <v>43113</v>
      </c>
      <c r="P890" s="2765" t="s">
        <v>2835</v>
      </c>
      <c r="Q890" s="2954"/>
      <c r="R890" s="76">
        <v>542.37289999999996</v>
      </c>
      <c r="S890" s="1945" t="s">
        <v>731</v>
      </c>
      <c r="T890" s="77" t="s">
        <v>2842</v>
      </c>
      <c r="U890" s="1893"/>
      <c r="V890" s="2079">
        <f t="shared" si="305"/>
        <v>0</v>
      </c>
      <c r="W890" s="78">
        <f t="shared" si="306"/>
        <v>640.00002199999994</v>
      </c>
      <c r="X890" s="1878" t="str">
        <f t="shared" si="304"/>
        <v>2.- B Goodyear 0670816-OT_007604  Reencauche 0001-010183 TZY3-330 171 p4  425/65/22.5</v>
      </c>
      <c r="Z890" s="19" t="str">
        <f t="shared" si="303"/>
        <v>ReencaucheReenc. MASTERCAUCHO</v>
      </c>
    </row>
    <row r="891" spans="2:26" ht="15.2" customHeight="1">
      <c r="B891" s="37"/>
      <c r="E891" s="2701">
        <v>3</v>
      </c>
      <c r="F891" s="2294" t="s">
        <v>723</v>
      </c>
      <c r="G891" s="81" t="s">
        <v>724</v>
      </c>
      <c r="H891" s="82" t="s">
        <v>2827</v>
      </c>
      <c r="I891" s="81" t="s">
        <v>811</v>
      </c>
      <c r="J891" s="83" t="s">
        <v>727</v>
      </c>
      <c r="K891" s="84" t="s">
        <v>2830</v>
      </c>
      <c r="L891" s="85">
        <v>43106</v>
      </c>
      <c r="M891" s="86" t="s">
        <v>729</v>
      </c>
      <c r="N891" s="87">
        <v>43113</v>
      </c>
      <c r="O891" s="88">
        <v>43113</v>
      </c>
      <c r="P891" s="2766" t="s">
        <v>2835</v>
      </c>
      <c r="Q891" s="2955"/>
      <c r="R891" s="89">
        <v>84.745699999999999</v>
      </c>
      <c r="S891" s="1946" t="s">
        <v>731</v>
      </c>
      <c r="T891" s="77"/>
      <c r="U891" s="1893"/>
      <c r="V891" s="2079">
        <f t="shared" si="305"/>
        <v>0</v>
      </c>
      <c r="W891" s="78">
        <f t="shared" si="306"/>
        <v>99.999925999999988</v>
      </c>
      <c r="X891" s="1878" t="str">
        <f t="shared" si="304"/>
        <v xml:space="preserve">3.- R Aeolus 0310516-OT_007604  Vulcanizado (curación) 0001-010183 </v>
      </c>
      <c r="Z891" s="19" t="str">
        <f t="shared" si="303"/>
        <v>ReencaucheReenc. MASTERCAUCHO</v>
      </c>
    </row>
    <row r="892" spans="2:26" ht="15.2" customHeight="1">
      <c r="B892" s="37"/>
      <c r="E892" s="2698">
        <v>1</v>
      </c>
      <c r="F892" s="2297" t="s">
        <v>2825</v>
      </c>
      <c r="G892" s="68" t="s">
        <v>757</v>
      </c>
      <c r="H892" s="69" t="s">
        <v>2821</v>
      </c>
      <c r="I892" s="68" t="s">
        <v>726</v>
      </c>
      <c r="J892" s="70" t="s">
        <v>727</v>
      </c>
      <c r="K892" s="2305" t="s">
        <v>2823</v>
      </c>
      <c r="L892" s="72">
        <v>43099</v>
      </c>
      <c r="M892" s="2306" t="s">
        <v>729</v>
      </c>
      <c r="N892" s="74">
        <v>43106</v>
      </c>
      <c r="O892" s="75">
        <f>+N892</f>
        <v>43106</v>
      </c>
      <c r="P892" s="2765" t="s">
        <v>2824</v>
      </c>
      <c r="Q892" s="2954"/>
      <c r="R892" s="76">
        <v>542.37289999999996</v>
      </c>
      <c r="S892" s="1945" t="s">
        <v>731</v>
      </c>
      <c r="T892" s="77" t="s">
        <v>2844</v>
      </c>
      <c r="U892" s="1893"/>
      <c r="V892" s="2079">
        <f t="shared" si="305"/>
        <v>0</v>
      </c>
      <c r="W892" s="78">
        <f t="shared" si="306"/>
        <v>640.00002199999994</v>
      </c>
      <c r="X892" s="1878" t="str">
        <f t="shared" si="304"/>
        <v>1.- B Goodyear 0640816-OT_007294  Reencauche 0001-010135 TZY3-330 171 p5  425/65/22.5</v>
      </c>
      <c r="Z892" s="19" t="str">
        <f t="shared" si="303"/>
        <v>ReencaucheReenc. MASTERCAUCHO</v>
      </c>
    </row>
    <row r="893" spans="2:26" ht="15.2" customHeight="1">
      <c r="B893" s="37"/>
      <c r="E893" s="2699">
        <v>2</v>
      </c>
      <c r="F893" s="2294" t="s">
        <v>2825</v>
      </c>
      <c r="G893" s="81" t="s">
        <v>757</v>
      </c>
      <c r="H893" s="82" t="s">
        <v>2822</v>
      </c>
      <c r="I893" s="81" t="s">
        <v>726</v>
      </c>
      <c r="J893" s="83" t="s">
        <v>727</v>
      </c>
      <c r="K893" s="2295" t="s">
        <v>2823</v>
      </c>
      <c r="L893" s="85">
        <v>43099</v>
      </c>
      <c r="M893" s="2296" t="s">
        <v>729</v>
      </c>
      <c r="N893" s="87">
        <v>43108</v>
      </c>
      <c r="O893" s="88">
        <f>+N893</f>
        <v>43108</v>
      </c>
      <c r="P893" s="2766" t="s">
        <v>2824</v>
      </c>
      <c r="Q893" s="2955"/>
      <c r="R893" s="89">
        <v>542.37289999999996</v>
      </c>
      <c r="S893" s="1946" t="s">
        <v>731</v>
      </c>
      <c r="T893" s="77" t="s">
        <v>2845</v>
      </c>
      <c r="U893" s="1893"/>
      <c r="V893" s="2079">
        <f t="shared" si="305"/>
        <v>0</v>
      </c>
      <c r="W893" s="78">
        <f t="shared" si="306"/>
        <v>640.00002199999994</v>
      </c>
      <c r="X893" s="1878" t="str">
        <f t="shared" si="304"/>
        <v>2.- B Goodyear 0650816-OT_007294  Reencauche 0001-010135 TZY3-330 171 p6  425/65/22.5</v>
      </c>
      <c r="Z893" s="19" t="str">
        <f t="shared" si="303"/>
        <v>ReencaucheReenc. MASTERCAUCHO</v>
      </c>
    </row>
    <row r="894" spans="2:26" ht="15.2" customHeight="1">
      <c r="B894" s="37"/>
      <c r="E894" s="2663">
        <v>1</v>
      </c>
      <c r="F894" s="2297" t="s">
        <v>723</v>
      </c>
      <c r="G894" s="68" t="s">
        <v>151</v>
      </c>
      <c r="H894" s="69" t="s">
        <v>2817</v>
      </c>
      <c r="I894" s="68" t="s">
        <v>726</v>
      </c>
      <c r="J894" s="70" t="s">
        <v>727</v>
      </c>
      <c r="K894" s="2305" t="s">
        <v>2818</v>
      </c>
      <c r="L894" s="72">
        <v>43095</v>
      </c>
      <c r="M894" s="2306" t="s">
        <v>729</v>
      </c>
      <c r="N894" s="74">
        <v>43098</v>
      </c>
      <c r="O894" s="75">
        <f>+N894</f>
        <v>43098</v>
      </c>
      <c r="P894" s="2765" t="s">
        <v>2819</v>
      </c>
      <c r="Q894" s="2954"/>
      <c r="R894" s="76">
        <v>279.66000000000003</v>
      </c>
      <c r="S894" s="1945" t="s">
        <v>731</v>
      </c>
      <c r="T894" s="77" t="s">
        <v>2820</v>
      </c>
      <c r="U894" s="1893"/>
      <c r="V894" s="2079">
        <f t="shared" si="305"/>
        <v>0</v>
      </c>
      <c r="W894" s="78">
        <f t="shared" si="306"/>
        <v>329.99880000000002</v>
      </c>
      <c r="X894" s="1878" t="str">
        <f t="shared" si="304"/>
        <v>1.- R WindPower 0791115-OT_007440  Reencauche 001-010071 BDY3-220</v>
      </c>
      <c r="Z894" s="19" t="str">
        <f t="shared" si="303"/>
        <v>Vulcanizado (curación)Reenc. MASTERCAUCHO</v>
      </c>
    </row>
    <row r="895" spans="2:26" ht="15.2" customHeight="1">
      <c r="B895" s="37"/>
      <c r="E895" s="2663">
        <v>2</v>
      </c>
      <c r="F895" s="2297" t="s">
        <v>723</v>
      </c>
      <c r="G895" s="68" t="s">
        <v>151</v>
      </c>
      <c r="H895" s="69" t="s">
        <v>2816</v>
      </c>
      <c r="I895" s="68" t="s">
        <v>726</v>
      </c>
      <c r="J895" s="70" t="s">
        <v>727</v>
      </c>
      <c r="K895" s="71" t="s">
        <v>2818</v>
      </c>
      <c r="L895" s="72">
        <v>43095</v>
      </c>
      <c r="M895" s="73" t="s">
        <v>729</v>
      </c>
      <c r="N895" s="74">
        <v>43098</v>
      </c>
      <c r="O895" s="75">
        <v>43098</v>
      </c>
      <c r="P895" s="2765" t="s">
        <v>2819</v>
      </c>
      <c r="Q895" s="2954"/>
      <c r="R895" s="76">
        <v>279.66000000000003</v>
      </c>
      <c r="S895" s="1945" t="s">
        <v>731</v>
      </c>
      <c r="T895" s="77" t="s">
        <v>2820</v>
      </c>
      <c r="U895" s="1893"/>
      <c r="V895" s="2079">
        <f t="shared" si="305"/>
        <v>0</v>
      </c>
      <c r="W895" s="78">
        <f t="shared" si="306"/>
        <v>329.99880000000002</v>
      </c>
      <c r="X895" s="1878" t="str">
        <f t="shared" si="304"/>
        <v>2.- R WindPower 0741115-OT_007440  Reencauche 001-010071 BDY3-220</v>
      </c>
      <c r="Z895" s="19" t="str">
        <f t="shared" si="303"/>
        <v>ReencaucheReenc. MASTERCAUCHO</v>
      </c>
    </row>
    <row r="896" spans="2:26" ht="15.2" customHeight="1">
      <c r="B896" s="37"/>
      <c r="E896" s="2663">
        <v>3</v>
      </c>
      <c r="F896" s="2297" t="s">
        <v>723</v>
      </c>
      <c r="G896" s="68" t="s">
        <v>2460</v>
      </c>
      <c r="H896" s="69" t="s">
        <v>2815</v>
      </c>
      <c r="I896" s="68" t="s">
        <v>726</v>
      </c>
      <c r="J896" s="70" t="s">
        <v>727</v>
      </c>
      <c r="K896" s="71" t="s">
        <v>2818</v>
      </c>
      <c r="L896" s="72">
        <v>43095</v>
      </c>
      <c r="M896" s="73" t="s">
        <v>729</v>
      </c>
      <c r="N896" s="74">
        <v>43098</v>
      </c>
      <c r="O896" s="75">
        <v>43098</v>
      </c>
      <c r="P896" s="2765" t="s">
        <v>2819</v>
      </c>
      <c r="Q896" s="2954"/>
      <c r="R896" s="76">
        <v>279.66000000000003</v>
      </c>
      <c r="S896" s="1945" t="s">
        <v>731</v>
      </c>
      <c r="T896" s="77" t="s">
        <v>2820</v>
      </c>
      <c r="U896" s="1893"/>
      <c r="V896" s="2079">
        <f t="shared" si="305"/>
        <v>0</v>
      </c>
      <c r="W896" s="78">
        <f t="shared" si="306"/>
        <v>329.99880000000002</v>
      </c>
      <c r="X896" s="1878" t="str">
        <f t="shared" si="304"/>
        <v>3.- R MICHELLIN 8321017-OT_007440  Reencauche 001-010071 BDY3-220</v>
      </c>
      <c r="Z896" s="19" t="str">
        <f t="shared" si="303"/>
        <v>ReencaucheReenc. MASTERCAUCHO</v>
      </c>
    </row>
    <row r="897" spans="2:26" ht="15.2" customHeight="1">
      <c r="B897" s="37"/>
      <c r="E897" s="79">
        <v>4</v>
      </c>
      <c r="F897" s="2294" t="s">
        <v>723</v>
      </c>
      <c r="G897" s="81" t="s">
        <v>737</v>
      </c>
      <c r="H897" s="82" t="s">
        <v>2814</v>
      </c>
      <c r="I897" s="81" t="s">
        <v>811</v>
      </c>
      <c r="J897" s="83" t="s">
        <v>727</v>
      </c>
      <c r="K897" s="84" t="s">
        <v>2818</v>
      </c>
      <c r="L897" s="85">
        <v>43095</v>
      </c>
      <c r="M897" s="86" t="s">
        <v>729</v>
      </c>
      <c r="N897" s="87">
        <v>43098</v>
      </c>
      <c r="O897" s="88">
        <v>43098</v>
      </c>
      <c r="P897" s="2766" t="s">
        <v>2819</v>
      </c>
      <c r="Q897" s="2955"/>
      <c r="R897" s="89">
        <v>84.745699999999999</v>
      </c>
      <c r="S897" s="1946" t="s">
        <v>731</v>
      </c>
      <c r="T897" s="77"/>
      <c r="U897" s="1893"/>
      <c r="V897" s="2079">
        <f t="shared" si="305"/>
        <v>0</v>
      </c>
      <c r="W897" s="78">
        <f t="shared" si="306"/>
        <v>99.999925999999988</v>
      </c>
      <c r="X897" s="1878" t="str">
        <f t="shared" si="304"/>
        <v xml:space="preserve">4.- R Vikrant 0961017-OT_007440  Vulcanizado (curación) 001-010071 </v>
      </c>
      <c r="Z897" s="19" t="str">
        <f t="shared" si="303"/>
        <v>Vulcanizado (curación)Reenc. MASTERCAUCHO</v>
      </c>
    </row>
    <row r="898" spans="2:26" ht="15.2" customHeight="1">
      <c r="B898" s="37"/>
      <c r="E898" s="2663">
        <v>1</v>
      </c>
      <c r="F898" s="2297" t="s">
        <v>723</v>
      </c>
      <c r="G898" s="68" t="s">
        <v>737</v>
      </c>
      <c r="H898" s="69" t="s">
        <v>2796</v>
      </c>
      <c r="I898" s="68" t="s">
        <v>726</v>
      </c>
      <c r="J898" s="70" t="s">
        <v>727</v>
      </c>
      <c r="K898" s="2305" t="s">
        <v>2798</v>
      </c>
      <c r="L898" s="72">
        <v>43070</v>
      </c>
      <c r="M898" s="2306" t="s">
        <v>729</v>
      </c>
      <c r="N898" s="74">
        <v>43076</v>
      </c>
      <c r="O898" s="75">
        <f t="shared" ref="O898:O906" si="307">+N898</f>
        <v>43076</v>
      </c>
      <c r="P898" s="2765" t="s">
        <v>2802</v>
      </c>
      <c r="Q898" s="2954"/>
      <c r="R898" s="76">
        <v>279.66000000000003</v>
      </c>
      <c r="S898" s="1945" t="s">
        <v>731</v>
      </c>
      <c r="T898" s="77" t="s">
        <v>2803</v>
      </c>
      <c r="U898" s="1893"/>
      <c r="V898" s="2079">
        <f t="shared" si="305"/>
        <v>0</v>
      </c>
      <c r="W898" s="78">
        <f t="shared" si="306"/>
        <v>329.99880000000002</v>
      </c>
      <c r="X898" s="1878" t="str">
        <f t="shared" si="304"/>
        <v>1.- R Vikrant 0020117-OT_007285  Reencauche 0001-009860 DY3E-220</v>
      </c>
      <c r="Z898" s="19" t="str">
        <f t="shared" si="303"/>
        <v>Vulcanizado (curación)Reenc. MASTERCAUCHO</v>
      </c>
    </row>
    <row r="899" spans="2:26" ht="15.2" customHeight="1">
      <c r="B899" s="37"/>
      <c r="E899" s="79">
        <v>2</v>
      </c>
      <c r="F899" s="2294" t="s">
        <v>723</v>
      </c>
      <c r="G899" s="81" t="s">
        <v>737</v>
      </c>
      <c r="H899" s="82" t="s">
        <v>2797</v>
      </c>
      <c r="I899" s="81" t="s">
        <v>726</v>
      </c>
      <c r="J899" s="83" t="s">
        <v>727</v>
      </c>
      <c r="K899" s="2295" t="s">
        <v>2798</v>
      </c>
      <c r="L899" s="85">
        <v>43070</v>
      </c>
      <c r="M899" s="2296" t="s">
        <v>729</v>
      </c>
      <c r="N899" s="87">
        <v>43076</v>
      </c>
      <c r="O899" s="88">
        <f t="shared" si="307"/>
        <v>43076</v>
      </c>
      <c r="P899" s="2766" t="s">
        <v>2802</v>
      </c>
      <c r="Q899" s="2955"/>
      <c r="R899" s="89">
        <v>279.66000000000003</v>
      </c>
      <c r="S899" s="1946" t="s">
        <v>731</v>
      </c>
      <c r="T899" s="77" t="s">
        <v>2803</v>
      </c>
      <c r="U899" s="1893"/>
      <c r="V899" s="2079">
        <f t="shared" si="305"/>
        <v>0</v>
      </c>
      <c r="W899" s="78">
        <f t="shared" si="306"/>
        <v>329.99880000000002</v>
      </c>
      <c r="X899" s="1878" t="str">
        <f t="shared" si="304"/>
        <v>2.- R Vikrant 0881216-OT_007285  Reencauche 0001-009860 DY3E-220</v>
      </c>
      <c r="Z899" s="19" t="str">
        <f t="shared" si="303"/>
        <v>ReencaucheReenc. MASTERCAUCHO</v>
      </c>
    </row>
    <row r="900" spans="2:26" ht="15.2" customHeight="1">
      <c r="B900" s="37"/>
      <c r="E900" s="2663">
        <v>1</v>
      </c>
      <c r="F900" s="2297" t="s">
        <v>723</v>
      </c>
      <c r="G900" s="68" t="s">
        <v>724</v>
      </c>
      <c r="H900" s="69" t="s">
        <v>2793</v>
      </c>
      <c r="I900" s="68" t="s">
        <v>811</v>
      </c>
      <c r="J900" s="70" t="s">
        <v>727</v>
      </c>
      <c r="K900" s="2305" t="s">
        <v>2794</v>
      </c>
      <c r="L900" s="72">
        <v>43061</v>
      </c>
      <c r="M900" s="2306" t="s">
        <v>729</v>
      </c>
      <c r="N900" s="74">
        <v>43066</v>
      </c>
      <c r="O900" s="75">
        <f t="shared" si="307"/>
        <v>43066</v>
      </c>
      <c r="P900" s="2765" t="s">
        <v>2799</v>
      </c>
      <c r="Q900" s="2954"/>
      <c r="R900" s="76">
        <f>100/(1.18)</f>
        <v>84.745762711864415</v>
      </c>
      <c r="S900" s="1945" t="s">
        <v>731</v>
      </c>
      <c r="T900" s="77"/>
      <c r="U900" s="1893"/>
      <c r="V900" s="2079">
        <f t="shared" si="305"/>
        <v>0</v>
      </c>
      <c r="W900" s="78">
        <f t="shared" si="306"/>
        <v>100</v>
      </c>
      <c r="X900" s="1878" t="str">
        <f t="shared" si="304"/>
        <v xml:space="preserve">1.- R Aeolus 0010813-OT_007270  Vulcanizado (curación) 0001-009786 </v>
      </c>
      <c r="Z900" s="19" t="str">
        <f t="shared" si="303"/>
        <v>ReencaucheReenc. MASTERCAUCHO</v>
      </c>
    </row>
    <row r="901" spans="2:26" ht="15.2" customHeight="1">
      <c r="B901" s="37"/>
      <c r="E901" s="79">
        <v>1</v>
      </c>
      <c r="F901" s="2294" t="s">
        <v>732</v>
      </c>
      <c r="G901" s="81" t="s">
        <v>737</v>
      </c>
      <c r="H901" s="82" t="s">
        <v>1289</v>
      </c>
      <c r="I901" s="81" t="s">
        <v>811</v>
      </c>
      <c r="J901" s="83" t="s">
        <v>727</v>
      </c>
      <c r="K901" s="2295" t="s">
        <v>2795</v>
      </c>
      <c r="L901" s="85">
        <v>43050</v>
      </c>
      <c r="M901" s="2296" t="s">
        <v>729</v>
      </c>
      <c r="N901" s="87">
        <v>43061</v>
      </c>
      <c r="O901" s="88">
        <f t="shared" si="307"/>
        <v>43061</v>
      </c>
      <c r="P901" s="2766" t="s">
        <v>2799</v>
      </c>
      <c r="Q901" s="2955"/>
      <c r="R901" s="89">
        <f>60/(1.18)</f>
        <v>50.847457627118644</v>
      </c>
      <c r="S901" s="1946" t="s">
        <v>731</v>
      </c>
      <c r="T901" s="77">
        <v>1120506</v>
      </c>
      <c r="U901" s="1893"/>
      <c r="V901" s="2079">
        <f t="shared" si="305"/>
        <v>0</v>
      </c>
      <c r="W901" s="78">
        <f t="shared" si="306"/>
        <v>59.999999999999993</v>
      </c>
      <c r="X901" s="1878" t="str">
        <f t="shared" si="304"/>
        <v>1.- C Vikrant 0420506-OT_007254  Vulcanizado (curación) 0001-009786 1120506</v>
      </c>
      <c r="Z901" s="19" t="str">
        <f t="shared" si="303"/>
        <v>ReencaucheReenc. MASTERCAUCHO</v>
      </c>
    </row>
    <row r="902" spans="2:26" ht="15.2" customHeight="1">
      <c r="B902" s="37"/>
      <c r="E902" s="2663">
        <v>1</v>
      </c>
      <c r="F902" s="2297" t="s">
        <v>732</v>
      </c>
      <c r="G902" s="68" t="s">
        <v>757</v>
      </c>
      <c r="H902" s="69" t="s">
        <v>2778</v>
      </c>
      <c r="I902" s="68" t="s">
        <v>726</v>
      </c>
      <c r="J902" s="70" t="s">
        <v>727</v>
      </c>
      <c r="K902" s="71" t="s">
        <v>2766</v>
      </c>
      <c r="L902" s="72">
        <v>43048</v>
      </c>
      <c r="M902" s="2306" t="s">
        <v>729</v>
      </c>
      <c r="N902" s="74">
        <v>43054</v>
      </c>
      <c r="O902" s="75">
        <f t="shared" si="307"/>
        <v>43054</v>
      </c>
      <c r="P902" s="2765" t="s">
        <v>2783</v>
      </c>
      <c r="Q902" s="2954"/>
      <c r="R902" s="76">
        <v>262.71190000000001</v>
      </c>
      <c r="S902" s="1945" t="s">
        <v>731</v>
      </c>
      <c r="T902" s="77" t="s">
        <v>2784</v>
      </c>
      <c r="U902" s="1893"/>
      <c r="V902" s="2079">
        <f t="shared" si="305"/>
        <v>0</v>
      </c>
      <c r="W902" s="78">
        <f t="shared" si="306"/>
        <v>310.00004200000001</v>
      </c>
      <c r="X902" s="1878" t="str">
        <f t="shared" si="304"/>
        <v>1.- C Goodyear 8090517-OT_07049  Reencauche 0001-009622 ZY-220</v>
      </c>
      <c r="Z902" s="19" t="str">
        <f t="shared" ref="Z902:Z918" si="308">CONCATENATE(I905,J905)</f>
        <v>ReencaucheReenc. MASTERCAUCHO</v>
      </c>
    </row>
    <row r="903" spans="2:26" ht="15.2" customHeight="1">
      <c r="B903" s="37"/>
      <c r="E903" s="2663">
        <v>2</v>
      </c>
      <c r="F903" s="2297" t="s">
        <v>732</v>
      </c>
      <c r="G903" s="68" t="s">
        <v>551</v>
      </c>
      <c r="H903" s="69" t="s">
        <v>2779</v>
      </c>
      <c r="I903" s="68" t="s">
        <v>726</v>
      </c>
      <c r="J903" s="70" t="s">
        <v>727</v>
      </c>
      <c r="K903" s="71" t="s">
        <v>2766</v>
      </c>
      <c r="L903" s="72">
        <v>43048</v>
      </c>
      <c r="M903" s="73" t="s">
        <v>729</v>
      </c>
      <c r="N903" s="74">
        <v>43054</v>
      </c>
      <c r="O903" s="75">
        <f t="shared" si="307"/>
        <v>43054</v>
      </c>
      <c r="P903" s="2765" t="s">
        <v>2783</v>
      </c>
      <c r="Q903" s="2954"/>
      <c r="R903" s="76">
        <v>262.71190000000001</v>
      </c>
      <c r="S903" s="1945" t="s">
        <v>731</v>
      </c>
      <c r="T903" s="77" t="s">
        <v>2784</v>
      </c>
      <c r="U903" s="1893"/>
      <c r="V903" s="2079">
        <f t="shared" si="305"/>
        <v>0</v>
      </c>
      <c r="W903" s="78">
        <f t="shared" si="306"/>
        <v>310.00004200000001</v>
      </c>
      <c r="X903" s="1878" t="str">
        <f t="shared" si="304"/>
        <v>2.- C MRF 8040517-OT_07049  Reencauche 0001-009622 ZY-220</v>
      </c>
      <c r="Z903" s="19" t="str">
        <f t="shared" si="308"/>
        <v>ReencaucheReenc. MASTERCAUCHO</v>
      </c>
    </row>
    <row r="904" spans="2:26" ht="15.2" customHeight="1">
      <c r="B904" s="37"/>
      <c r="E904" s="2663">
        <v>3</v>
      </c>
      <c r="F904" s="2297" t="s">
        <v>732</v>
      </c>
      <c r="G904" s="68" t="s">
        <v>757</v>
      </c>
      <c r="H904" s="69" t="s">
        <v>2780</v>
      </c>
      <c r="I904" s="68" t="s">
        <v>726</v>
      </c>
      <c r="J904" s="70" t="s">
        <v>727</v>
      </c>
      <c r="K904" s="71" t="s">
        <v>2766</v>
      </c>
      <c r="L904" s="72">
        <v>43048</v>
      </c>
      <c r="M904" s="73" t="s">
        <v>729</v>
      </c>
      <c r="N904" s="74">
        <v>43054</v>
      </c>
      <c r="O904" s="75">
        <f t="shared" si="307"/>
        <v>43054</v>
      </c>
      <c r="P904" s="2765" t="s">
        <v>2783</v>
      </c>
      <c r="Q904" s="2954"/>
      <c r="R904" s="76">
        <v>262.71190000000001</v>
      </c>
      <c r="S904" s="1945" t="s">
        <v>731</v>
      </c>
      <c r="T904" s="77" t="s">
        <v>2784</v>
      </c>
      <c r="U904" s="1893"/>
      <c r="V904" s="2079">
        <f t="shared" si="305"/>
        <v>0</v>
      </c>
      <c r="W904" s="78">
        <f t="shared" si="306"/>
        <v>310.00004200000001</v>
      </c>
      <c r="X904" s="1878" t="str">
        <f t="shared" si="304"/>
        <v>3.- C Goodyear 8120517-OT_07049  Reencauche 0001-009622 ZY-220</v>
      </c>
      <c r="Z904" s="19" t="str">
        <f t="shared" si="308"/>
        <v>ReencaucheReenc. MASTERCAUCHO</v>
      </c>
    </row>
    <row r="905" spans="2:26" ht="15.2" customHeight="1">
      <c r="B905" s="37"/>
      <c r="E905" s="2645">
        <v>4</v>
      </c>
      <c r="F905" s="2297" t="s">
        <v>732</v>
      </c>
      <c r="G905" s="68" t="s">
        <v>551</v>
      </c>
      <c r="H905" s="69" t="s">
        <v>2781</v>
      </c>
      <c r="I905" s="68" t="s">
        <v>726</v>
      </c>
      <c r="J905" s="70" t="s">
        <v>727</v>
      </c>
      <c r="K905" s="71" t="s">
        <v>2766</v>
      </c>
      <c r="L905" s="72">
        <v>43048</v>
      </c>
      <c r="M905" s="73" t="s">
        <v>729</v>
      </c>
      <c r="N905" s="74">
        <v>43054</v>
      </c>
      <c r="O905" s="75">
        <f t="shared" si="307"/>
        <v>43054</v>
      </c>
      <c r="P905" s="2765" t="s">
        <v>2783</v>
      </c>
      <c r="Q905" s="2954"/>
      <c r="R905" s="76">
        <v>262.71190000000001</v>
      </c>
      <c r="S905" s="1945" t="s">
        <v>731</v>
      </c>
      <c r="T905" s="77" t="s">
        <v>2784</v>
      </c>
      <c r="U905" s="1893"/>
      <c r="V905" s="2079">
        <f t="shared" si="305"/>
        <v>0</v>
      </c>
      <c r="W905" s="78">
        <f t="shared" si="306"/>
        <v>310.00004200000001</v>
      </c>
      <c r="X905" s="1878" t="str">
        <f t="shared" si="304"/>
        <v>4.- C MRF 8110517-OT_07049  Reencauche 0001-009622 ZY-220</v>
      </c>
      <c r="Z905" s="19" t="str">
        <f t="shared" si="308"/>
        <v>ReencaucheReenc. MASTERCAUCHO</v>
      </c>
    </row>
    <row r="906" spans="2:26" ht="15.2" customHeight="1">
      <c r="B906" s="37"/>
      <c r="E906" s="79">
        <v>5</v>
      </c>
      <c r="F906" s="2294" t="s">
        <v>732</v>
      </c>
      <c r="G906" s="81" t="s">
        <v>757</v>
      </c>
      <c r="H906" s="82" t="s">
        <v>2782</v>
      </c>
      <c r="I906" s="81" t="s">
        <v>726</v>
      </c>
      <c r="J906" s="83" t="s">
        <v>727</v>
      </c>
      <c r="K906" s="84" t="s">
        <v>2766</v>
      </c>
      <c r="L906" s="85">
        <v>43048</v>
      </c>
      <c r="M906" s="86" t="s">
        <v>729</v>
      </c>
      <c r="N906" s="87">
        <v>43054</v>
      </c>
      <c r="O906" s="88">
        <f t="shared" si="307"/>
        <v>43054</v>
      </c>
      <c r="P906" s="2766" t="s">
        <v>2783</v>
      </c>
      <c r="Q906" s="2955"/>
      <c r="R906" s="89">
        <v>262.71190000000001</v>
      </c>
      <c r="S906" s="1946" t="s">
        <v>731</v>
      </c>
      <c r="T906" s="77" t="s">
        <v>2784</v>
      </c>
      <c r="U906" s="1893"/>
      <c r="V906" s="2079">
        <f t="shared" si="305"/>
        <v>0</v>
      </c>
      <c r="W906" s="78">
        <f t="shared" si="306"/>
        <v>310.00004200000001</v>
      </c>
      <c r="X906" s="1878" t="str">
        <f t="shared" si="304"/>
        <v>5.- C Goodyear 8140517-OT_07049  Reencauche 0001-009622 ZY-220</v>
      </c>
      <c r="Z906" s="19" t="str">
        <f t="shared" si="308"/>
        <v>ReencaucheReenc. MASTERCAUCHO</v>
      </c>
    </row>
    <row r="907" spans="2:26" ht="15.2" customHeight="1">
      <c r="B907" s="37"/>
      <c r="E907" s="2645">
        <v>1</v>
      </c>
      <c r="F907" s="2297" t="s">
        <v>732</v>
      </c>
      <c r="G907" s="68" t="s">
        <v>551</v>
      </c>
      <c r="H907" s="69" t="s">
        <v>2762</v>
      </c>
      <c r="I907" s="68" t="s">
        <v>726</v>
      </c>
      <c r="J907" s="70" t="s">
        <v>727</v>
      </c>
      <c r="K907" s="71" t="s">
        <v>2766</v>
      </c>
      <c r="L907" s="72">
        <v>43048</v>
      </c>
      <c r="M907" s="2306" t="s">
        <v>729</v>
      </c>
      <c r="N907" s="74">
        <v>43052</v>
      </c>
      <c r="O907" s="75">
        <f t="shared" ref="O907:O921" si="309">+N907</f>
        <v>43052</v>
      </c>
      <c r="P907" s="2765" t="s">
        <v>2768</v>
      </c>
      <c r="Q907" s="2954"/>
      <c r="R907" s="76">
        <v>262.71190000000001</v>
      </c>
      <c r="S907" s="1945" t="s">
        <v>731</v>
      </c>
      <c r="T907" s="77" t="s">
        <v>2777</v>
      </c>
      <c r="U907" s="1893"/>
      <c r="V907" s="2079">
        <f t="shared" si="305"/>
        <v>0</v>
      </c>
      <c r="W907" s="78">
        <f t="shared" si="306"/>
        <v>310.00004200000001</v>
      </c>
      <c r="X907" s="1878" t="str">
        <f t="shared" si="304"/>
        <v>1.- C MRF 8130517-OT_07049  Reencauche 0001-009602 ZY-210</v>
      </c>
      <c r="Z907" s="19" t="str">
        <f t="shared" si="308"/>
        <v>ReencaucheReenc. MASTERCAUCHO</v>
      </c>
    </row>
    <row r="908" spans="2:26" ht="15.2" customHeight="1">
      <c r="B908" s="37"/>
      <c r="E908" s="2645">
        <v>2</v>
      </c>
      <c r="F908" s="2297" t="s">
        <v>732</v>
      </c>
      <c r="G908" s="68" t="s">
        <v>757</v>
      </c>
      <c r="H908" s="69" t="s">
        <v>2763</v>
      </c>
      <c r="I908" s="68" t="s">
        <v>726</v>
      </c>
      <c r="J908" s="70" t="s">
        <v>727</v>
      </c>
      <c r="K908" s="71" t="s">
        <v>2766</v>
      </c>
      <c r="L908" s="72">
        <v>43048</v>
      </c>
      <c r="M908" s="2306" t="s">
        <v>729</v>
      </c>
      <c r="N908" s="74">
        <v>43052</v>
      </c>
      <c r="O908" s="75">
        <f t="shared" si="309"/>
        <v>43052</v>
      </c>
      <c r="P908" s="2765" t="s">
        <v>2768</v>
      </c>
      <c r="Q908" s="2954"/>
      <c r="R908" s="76">
        <v>262.71190000000001</v>
      </c>
      <c r="S908" s="1945" t="s">
        <v>731</v>
      </c>
      <c r="T908" s="77" t="s">
        <v>2777</v>
      </c>
      <c r="U908" s="1893"/>
      <c r="V908" s="2079">
        <f t="shared" si="305"/>
        <v>0</v>
      </c>
      <c r="W908" s="78">
        <f t="shared" si="306"/>
        <v>310.00004200000001</v>
      </c>
      <c r="X908" s="1878" t="str">
        <f t="shared" si="304"/>
        <v>2.- C Goodyear 8100517-OT_07049  Reencauche 0001-009602 ZY-210</v>
      </c>
      <c r="Z908" s="19" t="str">
        <f t="shared" si="308"/>
        <v>Vulcanizado (curación)Reenc. MASTERCAUCHO</v>
      </c>
    </row>
    <row r="909" spans="2:26" ht="15.2" customHeight="1">
      <c r="B909" s="37"/>
      <c r="E909" s="2645">
        <v>3</v>
      </c>
      <c r="F909" s="2297" t="s">
        <v>732</v>
      </c>
      <c r="G909" s="68" t="s">
        <v>757</v>
      </c>
      <c r="H909" s="69" t="s">
        <v>2764</v>
      </c>
      <c r="I909" s="68" t="s">
        <v>726</v>
      </c>
      <c r="J909" s="70" t="s">
        <v>727</v>
      </c>
      <c r="K909" s="71" t="s">
        <v>2766</v>
      </c>
      <c r="L909" s="72">
        <v>43048</v>
      </c>
      <c r="M909" s="2306" t="s">
        <v>729</v>
      </c>
      <c r="N909" s="74">
        <v>43052</v>
      </c>
      <c r="O909" s="75">
        <f t="shared" si="309"/>
        <v>43052</v>
      </c>
      <c r="P909" s="2765" t="s">
        <v>2768</v>
      </c>
      <c r="Q909" s="2954"/>
      <c r="R909" s="76">
        <v>262.71190000000001</v>
      </c>
      <c r="S909" s="1945" t="s">
        <v>731</v>
      </c>
      <c r="T909" s="77" t="s">
        <v>2777</v>
      </c>
      <c r="U909" s="1893"/>
      <c r="V909" s="2079">
        <f t="shared" si="305"/>
        <v>0</v>
      </c>
      <c r="W909" s="78">
        <f t="shared" si="306"/>
        <v>310.00004200000001</v>
      </c>
      <c r="X909" s="1878" t="str">
        <f t="shared" si="304"/>
        <v>3.- C Goodyear 8050517-OT_07049  Reencauche 0001-009602 ZY-210</v>
      </c>
      <c r="Z909" s="19" t="str">
        <f t="shared" si="308"/>
        <v>Vulcanizado (curación)Reenc. MASTERCAUCHO</v>
      </c>
    </row>
    <row r="910" spans="2:26" ht="15.2" customHeight="1">
      <c r="B910" s="37"/>
      <c r="E910" s="2645">
        <v>4</v>
      </c>
      <c r="F910" s="2297" t="s">
        <v>732</v>
      </c>
      <c r="G910" s="68" t="s">
        <v>551</v>
      </c>
      <c r="H910" s="69" t="s">
        <v>2765</v>
      </c>
      <c r="I910" s="68" t="s">
        <v>726</v>
      </c>
      <c r="J910" s="70" t="s">
        <v>727</v>
      </c>
      <c r="K910" s="71" t="s">
        <v>2766</v>
      </c>
      <c r="L910" s="72">
        <v>43048</v>
      </c>
      <c r="M910" s="2306" t="s">
        <v>729</v>
      </c>
      <c r="N910" s="74">
        <v>43052</v>
      </c>
      <c r="O910" s="75">
        <f t="shared" si="309"/>
        <v>43052</v>
      </c>
      <c r="P910" s="2765" t="s">
        <v>2768</v>
      </c>
      <c r="Q910" s="2954"/>
      <c r="R910" s="76">
        <v>262.71190000000001</v>
      </c>
      <c r="S910" s="1945" t="s">
        <v>731</v>
      </c>
      <c r="T910" s="77" t="s">
        <v>2777</v>
      </c>
      <c r="U910" s="1893"/>
      <c r="V910" s="2079">
        <f t="shared" si="305"/>
        <v>0</v>
      </c>
      <c r="W910" s="78">
        <f t="shared" si="306"/>
        <v>310.00004200000001</v>
      </c>
      <c r="X910" s="1878" t="str">
        <f t="shared" si="304"/>
        <v>4.- C MRF 8030517-OT_07049  Reencauche 0001-009602 ZY-210</v>
      </c>
      <c r="Z910" s="19" t="str">
        <f t="shared" si="308"/>
        <v>Vulcanizado (curación)Reenc. MASTERCAUCHO</v>
      </c>
    </row>
    <row r="911" spans="2:26" ht="15.2" customHeight="1">
      <c r="B911" s="37"/>
      <c r="E911" s="79">
        <v>5</v>
      </c>
      <c r="F911" s="2294" t="s">
        <v>723</v>
      </c>
      <c r="G911" s="81" t="s">
        <v>724</v>
      </c>
      <c r="H911" s="82" t="s">
        <v>1540</v>
      </c>
      <c r="I911" s="81" t="s">
        <v>811</v>
      </c>
      <c r="J911" s="83" t="s">
        <v>727</v>
      </c>
      <c r="K911" s="2295" t="s">
        <v>2767</v>
      </c>
      <c r="L911" s="85">
        <v>42746</v>
      </c>
      <c r="M911" s="2296" t="s">
        <v>729</v>
      </c>
      <c r="N911" s="87">
        <v>43052</v>
      </c>
      <c r="O911" s="88">
        <f t="shared" si="309"/>
        <v>43052</v>
      </c>
      <c r="P911" s="2766" t="s">
        <v>2676</v>
      </c>
      <c r="Q911" s="2955"/>
      <c r="R911" s="89">
        <v>0</v>
      </c>
      <c r="S911" s="1945" t="s">
        <v>731</v>
      </c>
      <c r="T911" s="77" t="s">
        <v>2761</v>
      </c>
      <c r="U911" s="1893"/>
      <c r="V911" s="2079">
        <f t="shared" si="305"/>
        <v>0</v>
      </c>
      <c r="W911" s="78">
        <f t="shared" si="306"/>
        <v>0</v>
      </c>
      <c r="X911" s="1878" t="str">
        <f t="shared" si="304"/>
        <v>5.- R Aeolus 0120612-OT_07254  Vulcanizado (curación) Sin Guia Rechazado (SOPLADO)</v>
      </c>
      <c r="Z911" s="19" t="str">
        <f t="shared" si="308"/>
        <v>Vulcanizado (curación)Reenc. MASTERCAUCHO</v>
      </c>
    </row>
    <row r="912" spans="2:26" ht="15.2" customHeight="1">
      <c r="B912" s="37"/>
      <c r="E912" s="2645">
        <v>1</v>
      </c>
      <c r="F912" s="2297" t="s">
        <v>732</v>
      </c>
      <c r="G912" s="68" t="s">
        <v>737</v>
      </c>
      <c r="H912" s="69" t="s">
        <v>1557</v>
      </c>
      <c r="I912" s="68" t="s">
        <v>811</v>
      </c>
      <c r="J912" s="70" t="s">
        <v>727</v>
      </c>
      <c r="K912" s="2305" t="s">
        <v>2758</v>
      </c>
      <c r="L912" s="72">
        <v>43048</v>
      </c>
      <c r="M912" s="2306" t="s">
        <v>729</v>
      </c>
      <c r="N912" s="74">
        <v>43050</v>
      </c>
      <c r="O912" s="75">
        <f t="shared" si="309"/>
        <v>43050</v>
      </c>
      <c r="P912" s="2765" t="s">
        <v>2759</v>
      </c>
      <c r="Q912" s="2954"/>
      <c r="R912" s="76">
        <v>84.745699999999999</v>
      </c>
      <c r="S912" s="1945" t="s">
        <v>731</v>
      </c>
      <c r="T912" s="77"/>
      <c r="U912" s="1893"/>
      <c r="V912" s="2079">
        <f t="shared" si="305"/>
        <v>0</v>
      </c>
      <c r="W912" s="78">
        <f t="shared" si="306"/>
        <v>99.999925999999988</v>
      </c>
      <c r="X912" s="1878" t="str">
        <f t="shared" si="304"/>
        <v xml:space="preserve">1.- C Vikrant 0300211-OT_07050  Vulcanizado (curación) 0001-009599 </v>
      </c>
      <c r="Z912" s="19" t="str">
        <f t="shared" si="308"/>
        <v>Vulcanizado (curación)Reenc. MASTERCAUCHO</v>
      </c>
    </row>
    <row r="913" spans="2:26" ht="15.2" customHeight="1">
      <c r="B913" s="37"/>
      <c r="E913" s="2645">
        <v>2</v>
      </c>
      <c r="F913" s="2297" t="s">
        <v>732</v>
      </c>
      <c r="G913" s="68" t="s">
        <v>551</v>
      </c>
      <c r="H913" s="69" t="s">
        <v>2757</v>
      </c>
      <c r="I913" s="68" t="s">
        <v>811</v>
      </c>
      <c r="J913" s="70" t="s">
        <v>727</v>
      </c>
      <c r="K913" s="2305" t="s">
        <v>2766</v>
      </c>
      <c r="L913" s="72">
        <v>43048</v>
      </c>
      <c r="M913" s="2306" t="s">
        <v>729</v>
      </c>
      <c r="N913" s="74">
        <v>43050</v>
      </c>
      <c r="O913" s="75">
        <v>43050</v>
      </c>
      <c r="P913" s="2765" t="s">
        <v>2759</v>
      </c>
      <c r="Q913" s="2954"/>
      <c r="R913" s="76">
        <v>84.745699999999999</v>
      </c>
      <c r="S913" s="1945" t="s">
        <v>731</v>
      </c>
      <c r="T913" s="77"/>
      <c r="U913" s="1893"/>
      <c r="V913" s="2079">
        <f t="shared" si="305"/>
        <v>0</v>
      </c>
      <c r="W913" s="78">
        <f t="shared" si="306"/>
        <v>99.999925999999988</v>
      </c>
      <c r="X913" s="1878" t="str">
        <f t="shared" si="304"/>
        <v xml:space="preserve">2.- C MRF 8070817-OT_07049  Vulcanizado (curación) 0001-009599 </v>
      </c>
      <c r="Z913" s="19" t="str">
        <f t="shared" si="308"/>
        <v>Vulcanizado (curación)Reenc. MASTERCAUCHO</v>
      </c>
    </row>
    <row r="914" spans="2:26" ht="15.2" customHeight="1">
      <c r="B914" s="37"/>
      <c r="E914" s="2645">
        <v>3</v>
      </c>
      <c r="F914" s="2297" t="s">
        <v>723</v>
      </c>
      <c r="G914" s="68" t="s">
        <v>825</v>
      </c>
      <c r="H914" s="69" t="s">
        <v>861</v>
      </c>
      <c r="I914" s="68" t="s">
        <v>811</v>
      </c>
      <c r="J914" s="70" t="s">
        <v>727</v>
      </c>
      <c r="K914" s="2305" t="s">
        <v>2758</v>
      </c>
      <c r="L914" s="72">
        <v>43048</v>
      </c>
      <c r="M914" s="2306" t="s">
        <v>729</v>
      </c>
      <c r="N914" s="74">
        <v>43050</v>
      </c>
      <c r="O914" s="75">
        <v>43050</v>
      </c>
      <c r="P914" s="2765" t="s">
        <v>2759</v>
      </c>
      <c r="Q914" s="2954"/>
      <c r="R914" s="76">
        <v>84.745699999999999</v>
      </c>
      <c r="S914" s="1945" t="s">
        <v>731</v>
      </c>
      <c r="T914" s="77"/>
      <c r="U914" s="1893"/>
      <c r="V914" s="2079">
        <f t="shared" si="305"/>
        <v>0</v>
      </c>
      <c r="W914" s="78">
        <f t="shared" si="306"/>
        <v>99.999925999999988</v>
      </c>
      <c r="X914" s="1878" t="str">
        <f t="shared" si="304"/>
        <v xml:space="preserve">3.- R Falken 0560611-OT_07050  Vulcanizado (curación) 0001-009599 </v>
      </c>
      <c r="Z914" s="19" t="str">
        <f t="shared" si="308"/>
        <v>ReencaucheReenc. MASTERCAUCHO</v>
      </c>
    </row>
    <row r="915" spans="2:26" ht="15.2" customHeight="1">
      <c r="B915" s="37"/>
      <c r="E915" s="79">
        <v>4</v>
      </c>
      <c r="F915" s="2294" t="s">
        <v>723</v>
      </c>
      <c r="G915" s="81" t="s">
        <v>151</v>
      </c>
      <c r="H915" s="82" t="s">
        <v>2756</v>
      </c>
      <c r="I915" s="81" t="s">
        <v>811</v>
      </c>
      <c r="J915" s="83" t="s">
        <v>727</v>
      </c>
      <c r="K915" s="2295" t="s">
        <v>2758</v>
      </c>
      <c r="L915" s="85">
        <v>43048</v>
      </c>
      <c r="M915" s="2296" t="s">
        <v>729</v>
      </c>
      <c r="N915" s="87">
        <v>43050</v>
      </c>
      <c r="O915" s="88">
        <v>43050</v>
      </c>
      <c r="P915" s="2766" t="s">
        <v>2759</v>
      </c>
      <c r="Q915" s="2955"/>
      <c r="R915" s="89">
        <v>84.745699999999999</v>
      </c>
      <c r="S915" s="1946" t="s">
        <v>731</v>
      </c>
      <c r="T915" s="77"/>
      <c r="U915" s="1893"/>
      <c r="V915" s="2079">
        <f t="shared" si="305"/>
        <v>0</v>
      </c>
      <c r="W915" s="78">
        <f t="shared" si="306"/>
        <v>99.999925999999988</v>
      </c>
      <c r="X915" s="1878" t="str">
        <f t="shared" si="304"/>
        <v xml:space="preserve">4.- R WindPower 0851215-OT_07050  Vulcanizado (curación) 0001-009599 </v>
      </c>
      <c r="Z915" s="19" t="str">
        <f t="shared" si="308"/>
        <v>Transpl BandaReenc. MASTERCAUCHO</v>
      </c>
    </row>
    <row r="916" spans="2:26" ht="15.2" customHeight="1">
      <c r="B916" s="37"/>
      <c r="E916" s="79">
        <v>1</v>
      </c>
      <c r="F916" s="2294" t="s">
        <v>723</v>
      </c>
      <c r="G916" s="81" t="s">
        <v>724</v>
      </c>
      <c r="H916" s="82" t="s">
        <v>2746</v>
      </c>
      <c r="I916" s="81" t="s">
        <v>811</v>
      </c>
      <c r="J916" s="120" t="s">
        <v>727</v>
      </c>
      <c r="K916" s="2295" t="s">
        <v>2747</v>
      </c>
      <c r="L916" s="85">
        <v>43039</v>
      </c>
      <c r="M916" s="2296" t="s">
        <v>729</v>
      </c>
      <c r="N916" s="87">
        <v>43047</v>
      </c>
      <c r="O916" s="88">
        <f t="shared" si="309"/>
        <v>43047</v>
      </c>
      <c r="P916" s="2766" t="s">
        <v>2751</v>
      </c>
      <c r="Q916" s="2955"/>
      <c r="R916" s="89">
        <v>84.745699999999999</v>
      </c>
      <c r="S916" s="1946" t="s">
        <v>731</v>
      </c>
      <c r="T916" s="77"/>
      <c r="U916" s="1893"/>
      <c r="V916" s="2079">
        <f t="shared" si="305"/>
        <v>0</v>
      </c>
      <c r="W916" s="78">
        <f t="shared" si="306"/>
        <v>99.999925999999988</v>
      </c>
      <c r="X916" s="1878" t="str">
        <f t="shared" si="304"/>
        <v xml:space="preserve">1.- R Aeolus 8180517-OT_007032  Vulcanizado (curación) 0001-009574 </v>
      </c>
      <c r="Z916" s="19" t="str">
        <f t="shared" si="308"/>
        <v>Sacar_BandaReenc. MASTERCAUCHO</v>
      </c>
    </row>
    <row r="917" spans="2:26" ht="15.2" customHeight="1">
      <c r="B917" s="37"/>
      <c r="E917" s="2645">
        <v>1</v>
      </c>
      <c r="F917" s="2297" t="s">
        <v>723</v>
      </c>
      <c r="G917" s="68" t="s">
        <v>724</v>
      </c>
      <c r="H917" s="69" t="s">
        <v>2736</v>
      </c>
      <c r="I917" s="68" t="s">
        <v>726</v>
      </c>
      <c r="J917" s="70" t="s">
        <v>727</v>
      </c>
      <c r="K917" s="2305" t="s">
        <v>2738</v>
      </c>
      <c r="L917" s="72">
        <v>43034</v>
      </c>
      <c r="M917" s="73" t="s">
        <v>729</v>
      </c>
      <c r="N917" s="74">
        <v>43047</v>
      </c>
      <c r="O917" s="75">
        <v>43047</v>
      </c>
      <c r="P917" s="2765" t="s">
        <v>2751</v>
      </c>
      <c r="Q917" s="2954"/>
      <c r="R917" s="76">
        <v>279.66000000000003</v>
      </c>
      <c r="S917" s="1945" t="s">
        <v>731</v>
      </c>
      <c r="T917" s="77" t="s">
        <v>2712</v>
      </c>
      <c r="U917" s="1893"/>
      <c r="V917" s="2079">
        <f t="shared" si="305"/>
        <v>0</v>
      </c>
      <c r="W917" s="78">
        <f t="shared" si="306"/>
        <v>329.99880000000002</v>
      </c>
      <c r="X917" s="1878" t="str">
        <f t="shared" si="304"/>
        <v>1.- R Aeolus 0871216-OT_007023  Reencauche 0001-009574 MDY-220</v>
      </c>
      <c r="Z917" s="19" t="str">
        <f t="shared" si="308"/>
        <v>ReencaucheReencauchadora RENOVA</v>
      </c>
    </row>
    <row r="918" spans="2:26" ht="15.2" customHeight="1">
      <c r="B918" s="37"/>
      <c r="E918" s="2645">
        <v>2</v>
      </c>
      <c r="F918" s="2297" t="s">
        <v>723</v>
      </c>
      <c r="G918" s="68" t="s">
        <v>724</v>
      </c>
      <c r="H918" s="69" t="s">
        <v>2737</v>
      </c>
      <c r="I918" s="68" t="s">
        <v>740</v>
      </c>
      <c r="J918" s="70" t="s">
        <v>727</v>
      </c>
      <c r="K918" s="71" t="s">
        <v>2738</v>
      </c>
      <c r="L918" s="72">
        <v>43034</v>
      </c>
      <c r="M918" s="73" t="s">
        <v>729</v>
      </c>
      <c r="N918" s="74">
        <v>43047</v>
      </c>
      <c r="O918" s="75">
        <v>43047</v>
      </c>
      <c r="P918" s="2765" t="s">
        <v>2751</v>
      </c>
      <c r="Q918" s="2954"/>
      <c r="R918" s="76">
        <v>127.12</v>
      </c>
      <c r="S918" s="1945" t="s">
        <v>731</v>
      </c>
      <c r="T918" s="77"/>
      <c r="U918" s="1893"/>
      <c r="V918" s="2079">
        <f t="shared" si="305"/>
        <v>0</v>
      </c>
      <c r="W918" s="78">
        <f t="shared" si="306"/>
        <v>150.0016</v>
      </c>
      <c r="X918" s="1878" t="str">
        <f t="shared" si="304"/>
        <v xml:space="preserve">2.- R Aeolus 0861217-OT_007023  Transpl Banda 0001-009574 </v>
      </c>
      <c r="Z918" s="19" t="str">
        <f t="shared" si="308"/>
        <v>ReencaucheReencauchadora RENOVA</v>
      </c>
    </row>
    <row r="919" spans="2:26" ht="15.2" customHeight="1">
      <c r="B919" s="37"/>
      <c r="E919" s="79">
        <v>3</v>
      </c>
      <c r="F919" s="2294" t="s">
        <v>723</v>
      </c>
      <c r="G919" s="81" t="s">
        <v>724</v>
      </c>
      <c r="H919" s="82" t="s">
        <v>2558</v>
      </c>
      <c r="I919" s="81" t="s">
        <v>744</v>
      </c>
      <c r="J919" s="83" t="s">
        <v>727</v>
      </c>
      <c r="K919" s="84" t="s">
        <v>2738</v>
      </c>
      <c r="L919" s="85">
        <v>43034</v>
      </c>
      <c r="M919" s="2296" t="s">
        <v>729</v>
      </c>
      <c r="N919" s="87">
        <v>43047</v>
      </c>
      <c r="O919" s="88">
        <f t="shared" si="309"/>
        <v>43047</v>
      </c>
      <c r="P919" s="2766" t="s">
        <v>2752</v>
      </c>
      <c r="Q919" s="2955"/>
      <c r="R919" s="89">
        <v>0</v>
      </c>
      <c r="S919" s="1946" t="s">
        <v>731</v>
      </c>
      <c r="T919" s="77" t="s">
        <v>2753</v>
      </c>
      <c r="U919" s="1893"/>
      <c r="V919" s="2079">
        <f t="shared" si="305"/>
        <v>0</v>
      </c>
      <c r="W919" s="78">
        <f t="shared" si="306"/>
        <v>0</v>
      </c>
      <c r="X919" s="1878" t="str">
        <f t="shared" si="304"/>
        <v>3.- R Aeolus 0310317-OT_007023  Sacar_Banda G0001-003225 Casco pelado</v>
      </c>
      <c r="Z919" s="19" t="str">
        <f>CONCATENATE(I922,J922)</f>
        <v>Vulcanizado (curación)Reenc. MASTERCAUCHO</v>
      </c>
    </row>
    <row r="920" spans="2:26" ht="15.2" customHeight="1">
      <c r="B920" s="37"/>
      <c r="E920" s="2645">
        <v>1</v>
      </c>
      <c r="F920" s="2297" t="s">
        <v>2825</v>
      </c>
      <c r="G920" s="68" t="s">
        <v>724</v>
      </c>
      <c r="H920" s="69" t="s">
        <v>2724</v>
      </c>
      <c r="I920" s="68" t="s">
        <v>726</v>
      </c>
      <c r="J920" s="70" t="s">
        <v>760</v>
      </c>
      <c r="K920" s="2305" t="s">
        <v>2726</v>
      </c>
      <c r="L920" s="72">
        <v>43024</v>
      </c>
      <c r="M920" s="2306" t="s">
        <v>729</v>
      </c>
      <c r="N920" s="74">
        <v>43028</v>
      </c>
      <c r="O920" s="75">
        <f t="shared" si="309"/>
        <v>43028</v>
      </c>
      <c r="P920" s="2765" t="s">
        <v>2727</v>
      </c>
      <c r="Q920" s="2954">
        <v>164.06</v>
      </c>
      <c r="R920" s="76"/>
      <c r="S920" s="1945" t="s">
        <v>731</v>
      </c>
      <c r="T920" s="77" t="s">
        <v>2728</v>
      </c>
      <c r="U920" s="1893"/>
      <c r="V920" s="2079">
        <f t="shared" si="305"/>
        <v>193.5908</v>
      </c>
      <c r="W920" s="78">
        <f t="shared" si="306"/>
        <v>0</v>
      </c>
      <c r="X920" s="1878" t="str">
        <f t="shared" si="304"/>
        <v>1.- B Aeolus 0560716-OT_239342  Reencauche F101-00011709 LZY3-325 425/65/22.5</v>
      </c>
      <c r="Z920" s="19" t="str">
        <f>CONCATENATE(I923,J923)</f>
        <v>ReencaucheReenc. MASTERCAUCHO</v>
      </c>
    </row>
    <row r="921" spans="2:26" ht="15.2" customHeight="1">
      <c r="B921" s="37"/>
      <c r="E921" s="2290">
        <v>2</v>
      </c>
      <c r="F921" s="2294" t="s">
        <v>2825</v>
      </c>
      <c r="G921" s="81" t="s">
        <v>724</v>
      </c>
      <c r="H921" s="82" t="s">
        <v>2725</v>
      </c>
      <c r="I921" s="81" t="s">
        <v>726</v>
      </c>
      <c r="J921" s="83" t="s">
        <v>760</v>
      </c>
      <c r="K921" s="2295" t="s">
        <v>2726</v>
      </c>
      <c r="L921" s="85">
        <v>43024</v>
      </c>
      <c r="M921" s="2296" t="s">
        <v>729</v>
      </c>
      <c r="N921" s="87">
        <v>42755</v>
      </c>
      <c r="O921" s="88">
        <f t="shared" si="309"/>
        <v>42755</v>
      </c>
      <c r="P921" s="2766" t="s">
        <v>2727</v>
      </c>
      <c r="Q921" s="2955">
        <v>164.06</v>
      </c>
      <c r="R921" s="89"/>
      <c r="S921" s="1946" t="s">
        <v>731</v>
      </c>
      <c r="T921" s="77" t="s">
        <v>2728</v>
      </c>
      <c r="U921" s="1893"/>
      <c r="V921" s="2079">
        <f t="shared" si="305"/>
        <v>193.5908</v>
      </c>
      <c r="W921" s="78">
        <f t="shared" si="306"/>
        <v>0</v>
      </c>
      <c r="X921" s="1878" t="str">
        <f t="shared" si="304"/>
        <v>2.- B Aeolus 0600716-OT_239342  Reencauche F101-00011709 LZY3-325 425/65/22.5</v>
      </c>
      <c r="Z921" s="19" t="str">
        <f>CONCATENATE(I924,J924)</f>
        <v>ReencaucheReenc. MASTERCAUCHO</v>
      </c>
    </row>
    <row r="922" spans="2:26" ht="15.2" customHeight="1">
      <c r="B922" s="37"/>
      <c r="E922" s="79">
        <v>1</v>
      </c>
      <c r="F922" s="2294" t="s">
        <v>723</v>
      </c>
      <c r="G922" s="81" t="s">
        <v>724</v>
      </c>
      <c r="H922" s="82" t="s">
        <v>2722</v>
      </c>
      <c r="I922" s="81" t="s">
        <v>811</v>
      </c>
      <c r="J922" s="83" t="s">
        <v>727</v>
      </c>
      <c r="K922" s="2295" t="s">
        <v>2723</v>
      </c>
      <c r="L922" s="85">
        <v>43021</v>
      </c>
      <c r="M922" s="2296" t="s">
        <v>729</v>
      </c>
      <c r="N922" s="87">
        <v>43029</v>
      </c>
      <c r="O922" s="88">
        <f>+N922</f>
        <v>43029</v>
      </c>
      <c r="P922" s="2766" t="s">
        <v>2729</v>
      </c>
      <c r="Q922" s="2955"/>
      <c r="R922" s="89">
        <v>84.745699999999999</v>
      </c>
      <c r="S922" s="1946" t="s">
        <v>731</v>
      </c>
      <c r="T922" s="77" t="s">
        <v>2730</v>
      </c>
      <c r="U922" s="1893"/>
      <c r="V922" s="2079">
        <f t="shared" si="305"/>
        <v>0</v>
      </c>
      <c r="W922" s="78">
        <f t="shared" si="306"/>
        <v>99.999925999999988</v>
      </c>
      <c r="X922" s="1878" t="str">
        <f t="shared" si="304"/>
        <v>1.- R Aeolus 0190215-OT_006950  Vulcanizado (curación) 0001-009389 y Enderezado de aro(ok)</v>
      </c>
      <c r="Z922" s="19" t="str">
        <f t="shared" ref="Z922:Z942" si="310">CONCATENATE(I925,J925)</f>
        <v>ReencaucheReenc. MASTERCAUCHO</v>
      </c>
    </row>
    <row r="923" spans="2:26" ht="15.2" customHeight="1">
      <c r="B923" s="37"/>
      <c r="E923" s="2586">
        <v>1</v>
      </c>
      <c r="F923" s="2297" t="s">
        <v>723</v>
      </c>
      <c r="G923" s="68" t="s">
        <v>724</v>
      </c>
      <c r="H923" s="69" t="s">
        <v>2706</v>
      </c>
      <c r="I923" s="68" t="s">
        <v>726</v>
      </c>
      <c r="J923" s="70" t="s">
        <v>727</v>
      </c>
      <c r="K923" s="2305" t="s">
        <v>2720</v>
      </c>
      <c r="L923" s="72">
        <v>43018</v>
      </c>
      <c r="M923" s="2306" t="s">
        <v>729</v>
      </c>
      <c r="N923" s="74">
        <v>43021</v>
      </c>
      <c r="O923" s="75">
        <f>+N923</f>
        <v>43021</v>
      </c>
      <c r="P923" s="2765" t="s">
        <v>2721</v>
      </c>
      <c r="Q923" s="2954"/>
      <c r="R923" s="76">
        <v>279.66000000000003</v>
      </c>
      <c r="S923" s="1945" t="s">
        <v>731</v>
      </c>
      <c r="T923" s="77" t="s">
        <v>2712</v>
      </c>
      <c r="U923" s="1893"/>
      <c r="V923" s="2079">
        <f t="shared" si="305"/>
        <v>0</v>
      </c>
      <c r="W923" s="78">
        <f t="shared" si="306"/>
        <v>329.99880000000002</v>
      </c>
      <c r="X923" s="1878" t="str">
        <f t="shared" si="304"/>
        <v>1.- R Aeolus 0010115-OT_006941  Reencauche 0001-009307 MDY-220</v>
      </c>
      <c r="Z923" s="19" t="str">
        <f t="shared" si="310"/>
        <v>ReencaucheReenc. MASTERCAUCHO</v>
      </c>
    </row>
    <row r="924" spans="2:26" ht="15.2" customHeight="1">
      <c r="B924" s="37"/>
      <c r="E924" s="79">
        <v>2</v>
      </c>
      <c r="F924" s="2294" t="s">
        <v>723</v>
      </c>
      <c r="G924" s="81" t="s">
        <v>151</v>
      </c>
      <c r="H924" s="82" t="s">
        <v>2394</v>
      </c>
      <c r="I924" s="81" t="s">
        <v>726</v>
      </c>
      <c r="J924" s="83" t="s">
        <v>727</v>
      </c>
      <c r="K924" s="2295" t="s">
        <v>2720</v>
      </c>
      <c r="L924" s="85">
        <v>43018</v>
      </c>
      <c r="M924" s="2296" t="s">
        <v>729</v>
      </c>
      <c r="N924" s="87">
        <v>43021</v>
      </c>
      <c r="O924" s="88">
        <f>+N924</f>
        <v>43021</v>
      </c>
      <c r="P924" s="2766" t="s">
        <v>2721</v>
      </c>
      <c r="Q924" s="2955"/>
      <c r="R924" s="89">
        <v>279.66000000000003</v>
      </c>
      <c r="S924" s="1946" t="s">
        <v>731</v>
      </c>
      <c r="T924" s="77" t="s">
        <v>2712</v>
      </c>
      <c r="U924" s="1893"/>
      <c r="V924" s="2079">
        <f t="shared" si="305"/>
        <v>0</v>
      </c>
      <c r="W924" s="78">
        <f t="shared" si="306"/>
        <v>329.99880000000002</v>
      </c>
      <c r="X924" s="1878" t="str">
        <f t="shared" si="304"/>
        <v>2.- R WindPower 0811215-OT_006941  Reencauche 0001-009307 MDY-220</v>
      </c>
      <c r="Z924" s="19" t="str">
        <f t="shared" si="310"/>
        <v>ReencaucheReencauchadora RENOVA</v>
      </c>
    </row>
    <row r="925" spans="2:26" ht="15.2" customHeight="1">
      <c r="B925" s="37"/>
      <c r="E925" s="2603">
        <v>1</v>
      </c>
      <c r="F925" s="2297" t="s">
        <v>723</v>
      </c>
      <c r="G925" s="68" t="s">
        <v>737</v>
      </c>
      <c r="H925" s="69" t="s">
        <v>2715</v>
      </c>
      <c r="I925" s="68" t="s">
        <v>726</v>
      </c>
      <c r="J925" s="70" t="s">
        <v>727</v>
      </c>
      <c r="K925" s="2305" t="s">
        <v>2716</v>
      </c>
      <c r="L925" s="72">
        <v>43013</v>
      </c>
      <c r="M925" s="2306" t="s">
        <v>729</v>
      </c>
      <c r="N925" s="74">
        <v>43021</v>
      </c>
      <c r="O925" s="75">
        <f>+N925</f>
        <v>43021</v>
      </c>
      <c r="P925" s="2765" t="s">
        <v>2721</v>
      </c>
      <c r="Q925" s="2954"/>
      <c r="R925" s="76">
        <v>279.66000000000003</v>
      </c>
      <c r="S925" s="1945" t="s">
        <v>731</v>
      </c>
      <c r="T925" s="77" t="s">
        <v>2712</v>
      </c>
      <c r="U925" s="1893"/>
      <c r="V925" s="2079">
        <f t="shared" si="305"/>
        <v>0</v>
      </c>
      <c r="W925" s="78">
        <f t="shared" si="306"/>
        <v>329.99880000000002</v>
      </c>
      <c r="X925" s="1878" t="str">
        <f t="shared" si="304"/>
        <v>1.- R Vikrant 0340317-OT_006195  Reencauche 0001-009307 MDY-220</v>
      </c>
      <c r="Z925" s="19" t="str">
        <f t="shared" si="310"/>
        <v>ReencaucheReencauchadora RENOVA</v>
      </c>
    </row>
    <row r="926" spans="2:26" ht="15.2" customHeight="1">
      <c r="B926" s="37"/>
      <c r="E926" s="79">
        <v>2</v>
      </c>
      <c r="F926" s="2294" t="s">
        <v>723</v>
      </c>
      <c r="G926" s="81" t="s">
        <v>825</v>
      </c>
      <c r="H926" s="82" t="s">
        <v>859</v>
      </c>
      <c r="I926" s="81" t="s">
        <v>726</v>
      </c>
      <c r="J926" s="83" t="s">
        <v>727</v>
      </c>
      <c r="K926" s="84" t="s">
        <v>2716</v>
      </c>
      <c r="L926" s="85">
        <v>43013</v>
      </c>
      <c r="M926" s="2296" t="s">
        <v>729</v>
      </c>
      <c r="N926" s="87">
        <v>43021</v>
      </c>
      <c r="O926" s="88">
        <f>+N926</f>
        <v>43021</v>
      </c>
      <c r="P926" s="2766" t="s">
        <v>2721</v>
      </c>
      <c r="Q926" s="2955"/>
      <c r="R926" s="89">
        <v>279.66000000000003</v>
      </c>
      <c r="S926" s="1946" t="s">
        <v>731</v>
      </c>
      <c r="T926" s="77" t="s">
        <v>2712</v>
      </c>
      <c r="U926" s="1893"/>
      <c r="V926" s="2079">
        <f t="shared" si="305"/>
        <v>0</v>
      </c>
      <c r="W926" s="78">
        <f t="shared" si="306"/>
        <v>329.99880000000002</v>
      </c>
      <c r="X926" s="1878" t="str">
        <f t="shared" si="304"/>
        <v>2.- R Falken 0510611-OT_006195  Reencauche 0001-009307 MDY-220</v>
      </c>
      <c r="Z926" s="19" t="str">
        <f t="shared" ref="Z926:Z931" si="311">CONCATENATE(I929,J929)</f>
        <v>ReencaucheReencauchadora RENOVA</v>
      </c>
    </row>
    <row r="927" spans="2:26" ht="15.2" customHeight="1">
      <c r="B927" s="37"/>
      <c r="E927" s="2603">
        <v>1</v>
      </c>
      <c r="F927" s="2297" t="s">
        <v>723</v>
      </c>
      <c r="G927" s="68" t="s">
        <v>737</v>
      </c>
      <c r="H927" s="69" t="s">
        <v>2705</v>
      </c>
      <c r="I927" s="68" t="s">
        <v>726</v>
      </c>
      <c r="J927" s="70" t="s">
        <v>760</v>
      </c>
      <c r="K927" s="2305" t="s">
        <v>2708</v>
      </c>
      <c r="L927" s="72">
        <v>43006</v>
      </c>
      <c r="M927" s="2306" t="s">
        <v>729</v>
      </c>
      <c r="N927" s="74">
        <v>43017</v>
      </c>
      <c r="O927" s="75">
        <f t="shared" ref="O927:O933" si="312">+N927</f>
        <v>43017</v>
      </c>
      <c r="P927" s="2765" t="s">
        <v>2717</v>
      </c>
      <c r="Q927" s="2954">
        <v>95.29</v>
      </c>
      <c r="R927" s="76"/>
      <c r="S927" s="1945" t="s">
        <v>731</v>
      </c>
      <c r="T927" s="77"/>
      <c r="U927" s="1893"/>
      <c r="V927" s="2079">
        <f t="shared" si="305"/>
        <v>112.4422</v>
      </c>
      <c r="W927" s="78">
        <f t="shared" si="306"/>
        <v>0</v>
      </c>
      <c r="X927" s="1878" t="str">
        <f t="shared" si="304"/>
        <v xml:space="preserve">1.- R Vikrant 0270217-OT_239322  Reencauche F101-00011492 </v>
      </c>
      <c r="Z927" s="19" t="str">
        <f t="shared" si="311"/>
        <v>ReencaucheReencauchadora RENOVA</v>
      </c>
    </row>
    <row r="928" spans="2:26" ht="15.2" customHeight="1">
      <c r="B928" s="37"/>
      <c r="E928" s="2603">
        <v>2</v>
      </c>
      <c r="F928" s="2297" t="s">
        <v>723</v>
      </c>
      <c r="G928" s="68" t="s">
        <v>724</v>
      </c>
      <c r="H928" s="69" t="s">
        <v>856</v>
      </c>
      <c r="I928" s="68" t="s">
        <v>726</v>
      </c>
      <c r="J928" s="70" t="s">
        <v>760</v>
      </c>
      <c r="K928" s="71" t="s">
        <v>2708</v>
      </c>
      <c r="L928" s="72">
        <v>43006</v>
      </c>
      <c r="M928" s="2306" t="s">
        <v>729</v>
      </c>
      <c r="N928" s="74">
        <v>43017</v>
      </c>
      <c r="O928" s="75">
        <f t="shared" si="312"/>
        <v>43017</v>
      </c>
      <c r="P928" s="2765" t="s">
        <v>2717</v>
      </c>
      <c r="Q928" s="2954">
        <v>95.29</v>
      </c>
      <c r="R928" s="76"/>
      <c r="S928" s="1945" t="s">
        <v>731</v>
      </c>
      <c r="T928" s="77"/>
      <c r="U928" s="1893"/>
      <c r="V928" s="2079">
        <f t="shared" si="305"/>
        <v>112.4422</v>
      </c>
      <c r="W928" s="78">
        <f t="shared" si="306"/>
        <v>0</v>
      </c>
      <c r="X928" s="1878" t="str">
        <f t="shared" si="304"/>
        <v xml:space="preserve">2.- R Aeolus 0020115-OT_239322  Reencauche F101-00011492 </v>
      </c>
      <c r="Z928" s="19" t="str">
        <f t="shared" si="311"/>
        <v>ReencaucheReencauchadora RENOVA</v>
      </c>
    </row>
    <row r="929" spans="2:26" ht="15.2" customHeight="1">
      <c r="B929" s="37"/>
      <c r="E929" s="2640">
        <v>3</v>
      </c>
      <c r="F929" s="2297" t="s">
        <v>723</v>
      </c>
      <c r="G929" s="68" t="s">
        <v>724</v>
      </c>
      <c r="H929" s="69" t="s">
        <v>866</v>
      </c>
      <c r="I929" s="68" t="s">
        <v>726</v>
      </c>
      <c r="J929" s="70" t="s">
        <v>760</v>
      </c>
      <c r="K929" s="71" t="s">
        <v>2708</v>
      </c>
      <c r="L929" s="72">
        <v>43006</v>
      </c>
      <c r="M929" s="2306" t="s">
        <v>729</v>
      </c>
      <c r="N929" s="74">
        <v>43017</v>
      </c>
      <c r="O929" s="75">
        <f t="shared" si="312"/>
        <v>43017</v>
      </c>
      <c r="P929" s="2765" t="s">
        <v>2717</v>
      </c>
      <c r="Q929" s="2954">
        <v>95.29</v>
      </c>
      <c r="R929" s="76"/>
      <c r="S929" s="1945" t="s">
        <v>731</v>
      </c>
      <c r="T929" s="77"/>
      <c r="U929" s="1893"/>
      <c r="V929" s="2079">
        <f t="shared" si="305"/>
        <v>112.4422</v>
      </c>
      <c r="W929" s="78">
        <f t="shared" si="306"/>
        <v>0</v>
      </c>
      <c r="X929" s="1878" t="str">
        <f t="shared" si="304"/>
        <v xml:space="preserve">3.- R Aeolus 0270413-OT_239322  Reencauche F101-00011492 </v>
      </c>
      <c r="Z929" s="19" t="str">
        <f t="shared" si="311"/>
        <v>ReencaucheReencauchadora RENOVA</v>
      </c>
    </row>
    <row r="930" spans="2:26" ht="15.2" customHeight="1">
      <c r="B930" s="37"/>
      <c r="E930" s="2640">
        <v>4</v>
      </c>
      <c r="F930" s="2297" t="s">
        <v>723</v>
      </c>
      <c r="G930" s="7" t="s">
        <v>151</v>
      </c>
      <c r="H930" s="6" t="s">
        <v>2707</v>
      </c>
      <c r="I930" s="7" t="s">
        <v>726</v>
      </c>
      <c r="J930" s="70" t="s">
        <v>760</v>
      </c>
      <c r="K930" s="71" t="s">
        <v>2708</v>
      </c>
      <c r="L930" s="72">
        <v>43006</v>
      </c>
      <c r="M930" s="2306" t="s">
        <v>729</v>
      </c>
      <c r="N930" s="74">
        <v>43017</v>
      </c>
      <c r="O930" s="75">
        <f t="shared" si="312"/>
        <v>43017</v>
      </c>
      <c r="P930" s="2765" t="s">
        <v>2717</v>
      </c>
      <c r="Q930" s="2954">
        <v>95.29</v>
      </c>
      <c r="R930" s="76"/>
      <c r="S930" s="1945" t="s">
        <v>731</v>
      </c>
      <c r="T930" s="77"/>
      <c r="U930" s="1893"/>
      <c r="V930" s="2079">
        <f t="shared" si="305"/>
        <v>112.4422</v>
      </c>
      <c r="W930" s="78">
        <f t="shared" si="306"/>
        <v>0</v>
      </c>
      <c r="X930" s="1878" t="str">
        <f t="shared" ref="X930:X993" si="313">CONCATENATE(E930,".- ",F930," ",G930," ",H930,"-OT_",K930," "," ",I930," ",P930," ",T930)</f>
        <v xml:space="preserve">4.- R WindPower 0861215-OT_239322  Reencauche F101-00011492 </v>
      </c>
      <c r="Z930" s="19" t="str">
        <f t="shared" si="311"/>
        <v>ReencaucheReencauchadora RENOVA</v>
      </c>
    </row>
    <row r="931" spans="2:26" ht="15.2" customHeight="1">
      <c r="B931" s="37"/>
      <c r="E931" s="2640">
        <v>5</v>
      </c>
      <c r="F931" s="2297" t="s">
        <v>723</v>
      </c>
      <c r="G931" s="68" t="s">
        <v>724</v>
      </c>
      <c r="H931" s="69" t="s">
        <v>2706</v>
      </c>
      <c r="I931" s="68" t="s">
        <v>726</v>
      </c>
      <c r="J931" s="70" t="s">
        <v>760</v>
      </c>
      <c r="K931" s="71" t="s">
        <v>2708</v>
      </c>
      <c r="L931" s="72">
        <v>43006</v>
      </c>
      <c r="M931" s="2306" t="s">
        <v>729</v>
      </c>
      <c r="N931" s="74">
        <v>43017</v>
      </c>
      <c r="O931" s="75">
        <f t="shared" si="312"/>
        <v>43017</v>
      </c>
      <c r="P931" s="2765" t="s">
        <v>2719</v>
      </c>
      <c r="Q931" s="2954">
        <v>0</v>
      </c>
      <c r="R931" s="76"/>
      <c r="S931" s="1945" t="s">
        <v>731</v>
      </c>
      <c r="T931" s="77" t="s">
        <v>91</v>
      </c>
      <c r="U931" s="1893"/>
      <c r="V931" s="2079">
        <f t="shared" ref="V931:V994" si="314">+Q931*(1.18)</f>
        <v>0</v>
      </c>
      <c r="W931" s="78">
        <f t="shared" ref="W931:W994" si="315">+R931*(1.18)</f>
        <v>0</v>
      </c>
      <c r="X931" s="1878" t="str">
        <f t="shared" si="313"/>
        <v>5.- R Aeolus 0010115-OT_239322  Reencauche G030-0068529 Rechazado</v>
      </c>
      <c r="Z931" s="19" t="str">
        <f t="shared" si="311"/>
        <v>ReencaucheReenc. MASTERCAUCHO</v>
      </c>
    </row>
    <row r="932" spans="2:26" ht="15.2" customHeight="1">
      <c r="B932" s="37"/>
      <c r="E932" s="2640">
        <v>6</v>
      </c>
      <c r="F932" s="2297" t="s">
        <v>723</v>
      </c>
      <c r="G932" s="68" t="s">
        <v>151</v>
      </c>
      <c r="H932" s="69" t="s">
        <v>2394</v>
      </c>
      <c r="I932" s="68" t="s">
        <v>726</v>
      </c>
      <c r="J932" s="70" t="s">
        <v>760</v>
      </c>
      <c r="K932" s="71" t="s">
        <v>2708</v>
      </c>
      <c r="L932" s="72">
        <v>43006</v>
      </c>
      <c r="M932" s="2306" t="s">
        <v>729</v>
      </c>
      <c r="N932" s="74">
        <v>43017</v>
      </c>
      <c r="O932" s="75">
        <f t="shared" si="312"/>
        <v>43017</v>
      </c>
      <c r="P932" s="2765" t="s">
        <v>2719</v>
      </c>
      <c r="Q932" s="2954">
        <v>0</v>
      </c>
      <c r="R932" s="76"/>
      <c r="S932" s="1945" t="s">
        <v>731</v>
      </c>
      <c r="T932" s="77" t="s">
        <v>91</v>
      </c>
      <c r="U932" s="1893"/>
      <c r="V932" s="2079">
        <f t="shared" si="314"/>
        <v>0</v>
      </c>
      <c r="W932" s="78">
        <f t="shared" si="315"/>
        <v>0</v>
      </c>
      <c r="X932" s="1878" t="str">
        <f t="shared" si="313"/>
        <v>6.- R WindPower 0811215-OT_239322  Reencauche G030-0068529 Rechazado</v>
      </c>
      <c r="Z932" s="19" t="str">
        <f>CONCATENATE(I933,J935)</f>
        <v>ReencaucheReenc. MASTERCAUCHO</v>
      </c>
    </row>
    <row r="933" spans="2:26" ht="15.2" customHeight="1">
      <c r="B933" s="37"/>
      <c r="E933" s="79">
        <v>7</v>
      </c>
      <c r="F933" s="2575" t="s">
        <v>723</v>
      </c>
      <c r="G933" s="2576" t="s">
        <v>724</v>
      </c>
      <c r="H933" s="3136" t="s">
        <v>2458</v>
      </c>
      <c r="I933" s="2576" t="s">
        <v>726</v>
      </c>
      <c r="J933" s="2578" t="s">
        <v>760</v>
      </c>
      <c r="K933" s="3137" t="s">
        <v>2708</v>
      </c>
      <c r="L933" s="2580">
        <v>43006</v>
      </c>
      <c r="M933" s="2581" t="s">
        <v>729</v>
      </c>
      <c r="N933" s="3138">
        <v>43028</v>
      </c>
      <c r="O933" s="2583">
        <f t="shared" si="312"/>
        <v>43028</v>
      </c>
      <c r="P933" s="3139" t="s">
        <v>2727</v>
      </c>
      <c r="Q933" s="2957">
        <v>95.29</v>
      </c>
      <c r="R933" s="2584"/>
      <c r="S933" s="3140" t="s">
        <v>731</v>
      </c>
      <c r="T933" s="77" t="s">
        <v>2625</v>
      </c>
      <c r="U933" s="1893"/>
      <c r="V933" s="2079">
        <f t="shared" si="314"/>
        <v>112.4422</v>
      </c>
      <c r="W933" s="78">
        <f t="shared" si="315"/>
        <v>0</v>
      </c>
      <c r="X933" s="1878" t="str">
        <f t="shared" si="313"/>
        <v>7.- R Aeolus 0270215-OT_239322  Reencauche F101-00011709 IDY-210</v>
      </c>
      <c r="Z933" s="19" t="str">
        <f>CONCATENATE(I934,J936)</f>
        <v>ReencaucheReenc. MASTERCAUCHO</v>
      </c>
    </row>
    <row r="934" spans="2:26" ht="15.2" customHeight="1">
      <c r="B934" s="37"/>
      <c r="E934" s="2640">
        <v>1</v>
      </c>
      <c r="F934" s="2297" t="s">
        <v>732</v>
      </c>
      <c r="G934" s="7" t="s">
        <v>757</v>
      </c>
      <c r="H934" s="6" t="s">
        <v>2702</v>
      </c>
      <c r="I934" s="7" t="s">
        <v>726</v>
      </c>
      <c r="J934" s="70" t="s">
        <v>727</v>
      </c>
      <c r="K934" s="2305" t="s">
        <v>2704</v>
      </c>
      <c r="L934" s="72">
        <v>43006</v>
      </c>
      <c r="M934" s="2306" t="s">
        <v>729</v>
      </c>
      <c r="N934" s="74">
        <v>43011</v>
      </c>
      <c r="O934" s="75">
        <f>+N934</f>
        <v>43011</v>
      </c>
      <c r="P934" s="2765" t="s">
        <v>2709</v>
      </c>
      <c r="Q934" s="2954"/>
      <c r="R934" s="76">
        <v>262.71190000000001</v>
      </c>
      <c r="S934" s="1945" t="s">
        <v>731</v>
      </c>
      <c r="T934" s="77" t="s">
        <v>2711</v>
      </c>
      <c r="U934" s="1893" t="s">
        <v>695</v>
      </c>
      <c r="V934" s="2079">
        <f t="shared" si="314"/>
        <v>0</v>
      </c>
      <c r="W934" s="78">
        <f t="shared" si="315"/>
        <v>310.00004200000001</v>
      </c>
      <c r="X934" s="1878" t="str">
        <f t="shared" si="313"/>
        <v>1.- C Goodyear 8010116-OT_006183  Reencauche 001-009233 1200-20 B:DY3E-235</v>
      </c>
      <c r="Z934" s="19" t="str">
        <f>CONCATENATE(I935,J937)</f>
        <v>ReencaucheReenc. MASTERCAUCHO</v>
      </c>
    </row>
    <row r="935" spans="2:26" ht="15.2" customHeight="1">
      <c r="B935" s="37"/>
      <c r="E935" s="2640">
        <v>2</v>
      </c>
      <c r="F935" s="2297" t="s">
        <v>732</v>
      </c>
      <c r="G935" s="7" t="s">
        <v>737</v>
      </c>
      <c r="H935" s="6" t="s">
        <v>2703</v>
      </c>
      <c r="I935" s="7" t="s">
        <v>726</v>
      </c>
      <c r="J935" s="70" t="s">
        <v>727</v>
      </c>
      <c r="K935" s="71" t="s">
        <v>2704</v>
      </c>
      <c r="L935" s="72">
        <v>43006</v>
      </c>
      <c r="M935" s="73" t="s">
        <v>729</v>
      </c>
      <c r="N935" s="74">
        <v>43011</v>
      </c>
      <c r="O935" s="75">
        <f t="shared" ref="O935:O940" si="316">+N935</f>
        <v>43011</v>
      </c>
      <c r="P935" s="2765" t="s">
        <v>2709</v>
      </c>
      <c r="Q935" s="2954"/>
      <c r="R935" s="76">
        <v>262.71190000000001</v>
      </c>
      <c r="S935" s="1945" t="s">
        <v>731</v>
      </c>
      <c r="T935" s="77" t="s">
        <v>2711</v>
      </c>
      <c r="U935" s="1893" t="s">
        <v>695</v>
      </c>
      <c r="V935" s="2079">
        <f t="shared" si="314"/>
        <v>0</v>
      </c>
      <c r="W935" s="78">
        <f t="shared" si="315"/>
        <v>310.00004200000001</v>
      </c>
      <c r="X935" s="1878" t="str">
        <f t="shared" si="313"/>
        <v>2.- C Vikrant 8070116-OT_006183  Reencauche 001-009233 1200-20 B:DY3E-235</v>
      </c>
      <c r="Z935" s="19" t="str">
        <f>CONCATENATE(I936,J938)</f>
        <v>ReencaucheReenc. MASTERCAUCHO</v>
      </c>
    </row>
    <row r="936" spans="2:26" ht="15.2" customHeight="1">
      <c r="B936" s="37"/>
      <c r="E936" s="79">
        <v>3</v>
      </c>
      <c r="F936" s="2294" t="s">
        <v>732</v>
      </c>
      <c r="G936" s="81" t="s">
        <v>733</v>
      </c>
      <c r="H936" s="82" t="s">
        <v>1098</v>
      </c>
      <c r="I936" s="81" t="s">
        <v>726</v>
      </c>
      <c r="J936" s="83" t="s">
        <v>727</v>
      </c>
      <c r="K936" s="84" t="s">
        <v>2704</v>
      </c>
      <c r="L936" s="85">
        <v>43006</v>
      </c>
      <c r="M936" s="86" t="s">
        <v>729</v>
      </c>
      <c r="N936" s="87">
        <v>43011</v>
      </c>
      <c r="O936" s="88">
        <f t="shared" si="316"/>
        <v>43011</v>
      </c>
      <c r="P936" s="2766" t="s">
        <v>2709</v>
      </c>
      <c r="Q936" s="2955"/>
      <c r="R936" s="89">
        <v>262.71190000000001</v>
      </c>
      <c r="S936" s="1946" t="s">
        <v>731</v>
      </c>
      <c r="T936" s="77" t="s">
        <v>2712</v>
      </c>
      <c r="U936" s="1893" t="s">
        <v>693</v>
      </c>
      <c r="V936" s="2079">
        <f t="shared" si="314"/>
        <v>0</v>
      </c>
      <c r="W936" s="78">
        <f t="shared" si="315"/>
        <v>310.00004200000001</v>
      </c>
      <c r="X936" s="1878" t="str">
        <f t="shared" si="313"/>
        <v>3.- C Lima Caucho 0030113-OT_006183  Reencauche 001-009233 MDY-220</v>
      </c>
      <c r="Z936" s="19" t="str">
        <f t="shared" si="310"/>
        <v>ReencaucheReenc. MASTERCAUCHO</v>
      </c>
    </row>
    <row r="937" spans="2:26" ht="15.2" customHeight="1">
      <c r="B937" s="37"/>
      <c r="E937" s="2640">
        <v>1</v>
      </c>
      <c r="F937" s="2297" t="s">
        <v>732</v>
      </c>
      <c r="G937" s="7" t="s">
        <v>551</v>
      </c>
      <c r="H937" s="6" t="s">
        <v>2698</v>
      </c>
      <c r="I937" s="7" t="s">
        <v>726</v>
      </c>
      <c r="J937" s="70" t="s">
        <v>727</v>
      </c>
      <c r="K937" s="2305" t="s">
        <v>2699</v>
      </c>
      <c r="L937" s="72">
        <v>43003</v>
      </c>
      <c r="M937" s="73" t="s">
        <v>729</v>
      </c>
      <c r="N937" s="74">
        <v>43011</v>
      </c>
      <c r="O937" s="75">
        <f t="shared" si="316"/>
        <v>43011</v>
      </c>
      <c r="P937" s="2765" t="s">
        <v>2709</v>
      </c>
      <c r="Q937" s="2954"/>
      <c r="R937" s="76">
        <v>262.71190000000001</v>
      </c>
      <c r="S937" s="1945" t="s">
        <v>731</v>
      </c>
      <c r="T937" s="77" t="s">
        <v>2711</v>
      </c>
      <c r="U937" s="1893" t="s">
        <v>695</v>
      </c>
      <c r="V937" s="2079">
        <f t="shared" si="314"/>
        <v>0</v>
      </c>
      <c r="W937" s="78">
        <f t="shared" si="315"/>
        <v>310.00004200000001</v>
      </c>
      <c r="X937" s="1878" t="str">
        <f t="shared" si="313"/>
        <v>1.- C MRF 8100316-OT_006172  Reencauche 001-009233 1200-20 B:DY3E-235</v>
      </c>
      <c r="Z937" s="19" t="str">
        <f t="shared" si="310"/>
        <v>ReencaucheReenc. MASTERCAUCHO</v>
      </c>
    </row>
    <row r="938" spans="2:26" ht="15.2" customHeight="1">
      <c r="B938" s="37"/>
      <c r="E938" s="2640">
        <v>2</v>
      </c>
      <c r="F938" s="2297" t="s">
        <v>732</v>
      </c>
      <c r="G938" s="7" t="s">
        <v>757</v>
      </c>
      <c r="H938" s="6" t="s">
        <v>2697</v>
      </c>
      <c r="I938" s="7" t="s">
        <v>726</v>
      </c>
      <c r="J938" s="70" t="s">
        <v>727</v>
      </c>
      <c r="K938" s="71" t="s">
        <v>2699</v>
      </c>
      <c r="L938" s="72">
        <v>43003</v>
      </c>
      <c r="M938" s="73" t="s">
        <v>729</v>
      </c>
      <c r="N938" s="74">
        <v>43011</v>
      </c>
      <c r="O938" s="75">
        <f t="shared" si="316"/>
        <v>43011</v>
      </c>
      <c r="P938" s="2765" t="s">
        <v>2709</v>
      </c>
      <c r="Q938" s="2954"/>
      <c r="R938" s="76">
        <v>262.71190000000001</v>
      </c>
      <c r="S938" s="1945" t="s">
        <v>731</v>
      </c>
      <c r="T938" s="77" t="s">
        <v>2711</v>
      </c>
      <c r="U938" s="1893" t="s">
        <v>695</v>
      </c>
      <c r="V938" s="2079">
        <f t="shared" si="314"/>
        <v>0</v>
      </c>
      <c r="W938" s="78">
        <f t="shared" si="315"/>
        <v>310.00004200000001</v>
      </c>
      <c r="X938" s="1878" t="str">
        <f t="shared" si="313"/>
        <v>2.- C Goodyear 8020116-OT_006172  Reencauche 001-009233 1200-20 B:DY3E-235</v>
      </c>
      <c r="Z938" s="19" t="str">
        <f t="shared" si="310"/>
        <v>ReencaucheReencauchadora RENOVA</v>
      </c>
    </row>
    <row r="939" spans="2:26" ht="15.2" customHeight="1">
      <c r="B939" s="37"/>
      <c r="E939" s="2603">
        <v>3</v>
      </c>
      <c r="F939" s="2297" t="s">
        <v>732</v>
      </c>
      <c r="G939" s="68" t="s">
        <v>831</v>
      </c>
      <c r="H939" s="69" t="s">
        <v>2696</v>
      </c>
      <c r="I939" s="68" t="s">
        <v>726</v>
      </c>
      <c r="J939" s="70" t="s">
        <v>727</v>
      </c>
      <c r="K939" s="71" t="s">
        <v>2699</v>
      </c>
      <c r="L939" s="72">
        <v>43003</v>
      </c>
      <c r="M939" s="73" t="s">
        <v>729</v>
      </c>
      <c r="N939" s="74">
        <v>43011</v>
      </c>
      <c r="O939" s="75">
        <f t="shared" si="316"/>
        <v>43011</v>
      </c>
      <c r="P939" s="2766" t="s">
        <v>2713</v>
      </c>
      <c r="Q939" s="2954"/>
      <c r="R939" s="76">
        <v>0</v>
      </c>
      <c r="S939" s="1945" t="s">
        <v>731</v>
      </c>
      <c r="T939" s="77" t="s">
        <v>2710</v>
      </c>
      <c r="U939" s="1893" t="s">
        <v>695</v>
      </c>
      <c r="V939" s="2079">
        <f t="shared" si="314"/>
        <v>0</v>
      </c>
      <c r="W939" s="78">
        <f t="shared" si="315"/>
        <v>0</v>
      </c>
      <c r="X939" s="1878" t="str">
        <f t="shared" si="313"/>
        <v>3.- C Kumho 8030116-OT_006172  Reencauche G0001-003091 Rechazado-pelado</v>
      </c>
      <c r="Z939" s="19" t="str">
        <f t="shared" si="310"/>
        <v>ReencaucheReencauchadora RENOVA</v>
      </c>
    </row>
    <row r="940" spans="2:26" ht="15.2" customHeight="1">
      <c r="B940" s="37"/>
      <c r="E940" s="79">
        <v>4</v>
      </c>
      <c r="F940" s="2294" t="s">
        <v>732</v>
      </c>
      <c r="G940" s="81" t="s">
        <v>551</v>
      </c>
      <c r="H940" s="82" t="s">
        <v>2695</v>
      </c>
      <c r="I940" s="81" t="s">
        <v>726</v>
      </c>
      <c r="J940" s="83" t="s">
        <v>727</v>
      </c>
      <c r="K940" s="84" t="s">
        <v>2699</v>
      </c>
      <c r="L940" s="85">
        <v>43003</v>
      </c>
      <c r="M940" s="86" t="s">
        <v>729</v>
      </c>
      <c r="N940" s="87">
        <v>43011</v>
      </c>
      <c r="O940" s="88">
        <f t="shared" si="316"/>
        <v>43011</v>
      </c>
      <c r="P940" s="2766" t="s">
        <v>2713</v>
      </c>
      <c r="Q940" s="2955"/>
      <c r="R940" s="89">
        <v>0</v>
      </c>
      <c r="S940" s="1946" t="s">
        <v>731</v>
      </c>
      <c r="T940" s="77" t="s">
        <v>91</v>
      </c>
      <c r="U940" s="1893" t="s">
        <v>695</v>
      </c>
      <c r="V940" s="2079">
        <f t="shared" si="314"/>
        <v>0</v>
      </c>
      <c r="W940" s="78">
        <f t="shared" si="315"/>
        <v>0</v>
      </c>
      <c r="X940" s="1878" t="str">
        <f t="shared" si="313"/>
        <v>4.- C MRF 8080116-OT_006172  Reencauche G0001-003091 Rechazado</v>
      </c>
      <c r="Z940" s="19" t="str">
        <f t="shared" si="310"/>
        <v>ReencaucheReencauchadora RENOVA</v>
      </c>
    </row>
    <row r="941" spans="2:26" ht="15.2" customHeight="1">
      <c r="B941" s="37"/>
      <c r="E941" s="2603">
        <v>1</v>
      </c>
      <c r="F941" s="2297" t="s">
        <v>723</v>
      </c>
      <c r="G941" s="68" t="s">
        <v>737</v>
      </c>
      <c r="H941" s="69" t="s">
        <v>2558</v>
      </c>
      <c r="I941" s="68" t="s">
        <v>726</v>
      </c>
      <c r="J941" s="70" t="s">
        <v>760</v>
      </c>
      <c r="K941" s="2305" t="s">
        <v>2689</v>
      </c>
      <c r="L941" s="72">
        <v>42997</v>
      </c>
      <c r="M941" s="2306" t="s">
        <v>729</v>
      </c>
      <c r="N941" s="74">
        <v>43004</v>
      </c>
      <c r="O941" s="75">
        <f t="shared" ref="O941:O948" si="317">+N941</f>
        <v>43004</v>
      </c>
      <c r="P941" s="2765" t="s">
        <v>2701</v>
      </c>
      <c r="Q941" s="2954">
        <v>95.29</v>
      </c>
      <c r="R941" s="76"/>
      <c r="S941" s="1945" t="s">
        <v>731</v>
      </c>
      <c r="T941" s="77" t="s">
        <v>2625</v>
      </c>
      <c r="U941" s="1893" t="s">
        <v>694</v>
      </c>
      <c r="V941" s="2079">
        <f t="shared" si="314"/>
        <v>112.4422</v>
      </c>
      <c r="W941" s="78">
        <f t="shared" si="315"/>
        <v>0</v>
      </c>
      <c r="X941" s="1878" t="str">
        <f t="shared" si="313"/>
        <v>1.- R Vikrant 0310317-OT_239309  Reencauche F101-00011215 IDY-210</v>
      </c>
      <c r="Z941" s="19" t="str">
        <f t="shared" si="310"/>
        <v>ReencaucheReencauchadora RENOVA</v>
      </c>
    </row>
    <row r="942" spans="2:26" ht="15.2" customHeight="1">
      <c r="B942" s="37"/>
      <c r="E942" s="2603">
        <v>2</v>
      </c>
      <c r="F942" s="2297" t="s">
        <v>723</v>
      </c>
      <c r="G942" s="68" t="s">
        <v>737</v>
      </c>
      <c r="H942" s="69" t="s">
        <v>2684</v>
      </c>
      <c r="I942" s="68" t="s">
        <v>726</v>
      </c>
      <c r="J942" s="70" t="s">
        <v>760</v>
      </c>
      <c r="K942" s="71" t="s">
        <v>2689</v>
      </c>
      <c r="L942" s="72">
        <v>42997</v>
      </c>
      <c r="M942" s="2306" t="s">
        <v>729</v>
      </c>
      <c r="N942" s="74">
        <v>43004</v>
      </c>
      <c r="O942" s="75">
        <f t="shared" si="317"/>
        <v>43004</v>
      </c>
      <c r="P942" s="2765" t="s">
        <v>2701</v>
      </c>
      <c r="Q942" s="2954">
        <v>95.29</v>
      </c>
      <c r="R942" s="76"/>
      <c r="S942" s="1945" t="s">
        <v>731</v>
      </c>
      <c r="T942" s="77" t="s">
        <v>2625</v>
      </c>
      <c r="U942" s="1893" t="s">
        <v>694</v>
      </c>
      <c r="V942" s="2079">
        <f t="shared" si="314"/>
        <v>112.4422</v>
      </c>
      <c r="W942" s="78">
        <f t="shared" si="315"/>
        <v>0</v>
      </c>
      <c r="X942" s="1878" t="str">
        <f t="shared" si="313"/>
        <v>2.- R Vikrant 0320317-OT_239309  Reencauche F101-00011215 IDY-210</v>
      </c>
      <c r="Z942" s="19" t="str">
        <f t="shared" si="310"/>
        <v>ReencaucheReencauchadora RENOVA</v>
      </c>
    </row>
    <row r="943" spans="2:26" ht="15.2" customHeight="1">
      <c r="B943" s="37"/>
      <c r="E943" s="2603">
        <v>3</v>
      </c>
      <c r="F943" s="2297" t="s">
        <v>723</v>
      </c>
      <c r="G943" s="68" t="s">
        <v>737</v>
      </c>
      <c r="H943" s="69" t="s">
        <v>2685</v>
      </c>
      <c r="I943" s="68" t="s">
        <v>726</v>
      </c>
      <c r="J943" s="70" t="s">
        <v>760</v>
      </c>
      <c r="K943" s="71" t="s">
        <v>2689</v>
      </c>
      <c r="L943" s="72">
        <v>42997</v>
      </c>
      <c r="M943" s="2306" t="s">
        <v>729</v>
      </c>
      <c r="N943" s="74">
        <v>43004</v>
      </c>
      <c r="O943" s="75">
        <f t="shared" si="317"/>
        <v>43004</v>
      </c>
      <c r="P943" s="2765" t="s">
        <v>2701</v>
      </c>
      <c r="Q943" s="2954">
        <v>95.29</v>
      </c>
      <c r="R943" s="76"/>
      <c r="S943" s="1945" t="s">
        <v>731</v>
      </c>
      <c r="T943" s="77" t="s">
        <v>2625</v>
      </c>
      <c r="U943" s="1893" t="s">
        <v>694</v>
      </c>
      <c r="V943" s="2079">
        <f t="shared" si="314"/>
        <v>112.4422</v>
      </c>
      <c r="W943" s="78">
        <f t="shared" si="315"/>
        <v>0</v>
      </c>
      <c r="X943" s="1878" t="str">
        <f t="shared" si="313"/>
        <v>3.- R Vikrant 0180217-OT_239309  Reencauche F101-00011215 IDY-210</v>
      </c>
      <c r="Z943" s="19" t="str">
        <f t="shared" ref="Z943:Z958" si="318">CONCATENATE(I946,J946)</f>
        <v>ReencaucheReencauchadora RENOVA</v>
      </c>
    </row>
    <row r="944" spans="2:26" ht="15.2" customHeight="1">
      <c r="B944" s="37"/>
      <c r="E944" s="2603">
        <v>4</v>
      </c>
      <c r="F944" s="2297" t="s">
        <v>723</v>
      </c>
      <c r="G944" s="68" t="s">
        <v>737</v>
      </c>
      <c r="H944" s="69" t="s">
        <v>2686</v>
      </c>
      <c r="I944" s="68" t="s">
        <v>726</v>
      </c>
      <c r="J944" s="70" t="s">
        <v>760</v>
      </c>
      <c r="K944" s="71" t="s">
        <v>2689</v>
      </c>
      <c r="L944" s="72">
        <v>42997</v>
      </c>
      <c r="M944" s="2306" t="s">
        <v>729</v>
      </c>
      <c r="N944" s="74">
        <v>43004</v>
      </c>
      <c r="O944" s="75">
        <f t="shared" si="317"/>
        <v>43004</v>
      </c>
      <c r="P944" s="2765" t="s">
        <v>2701</v>
      </c>
      <c r="Q944" s="2954">
        <v>95.29</v>
      </c>
      <c r="R944" s="76"/>
      <c r="S944" s="1945" t="s">
        <v>731</v>
      </c>
      <c r="T944" s="77" t="s">
        <v>2625</v>
      </c>
      <c r="U944" s="1893" t="s">
        <v>694</v>
      </c>
      <c r="V944" s="2079">
        <f t="shared" si="314"/>
        <v>112.4422</v>
      </c>
      <c r="W944" s="78">
        <f t="shared" si="315"/>
        <v>0</v>
      </c>
      <c r="X944" s="1878" t="str">
        <f t="shared" si="313"/>
        <v>4.- R Vikrant 0170217-OT_239309  Reencauche F101-00011215 IDY-210</v>
      </c>
      <c r="Z944" s="19" t="str">
        <f t="shared" si="318"/>
        <v>ReencaucheReencauchadora RENOVA</v>
      </c>
    </row>
    <row r="945" spans="2:26" ht="15.2" customHeight="1">
      <c r="B945" s="37"/>
      <c r="E945" s="2603">
        <v>5</v>
      </c>
      <c r="F945" s="2297" t="s">
        <v>723</v>
      </c>
      <c r="G945" s="68" t="s">
        <v>724</v>
      </c>
      <c r="H945" s="69" t="s">
        <v>2687</v>
      </c>
      <c r="I945" s="68" t="s">
        <v>726</v>
      </c>
      <c r="J945" s="70" t="s">
        <v>760</v>
      </c>
      <c r="K945" s="71" t="s">
        <v>2689</v>
      </c>
      <c r="L945" s="72">
        <v>42997</v>
      </c>
      <c r="M945" s="2306" t="s">
        <v>729</v>
      </c>
      <c r="N945" s="74">
        <v>43004</v>
      </c>
      <c r="O945" s="75">
        <f t="shared" si="317"/>
        <v>43004</v>
      </c>
      <c r="P945" s="2765" t="s">
        <v>2701</v>
      </c>
      <c r="Q945" s="2954">
        <v>95.29</v>
      </c>
      <c r="R945" s="76"/>
      <c r="S945" s="1945" t="s">
        <v>731</v>
      </c>
      <c r="T945" s="77" t="s">
        <v>2625</v>
      </c>
      <c r="U945" s="1893" t="s">
        <v>694</v>
      </c>
      <c r="V945" s="2079">
        <f t="shared" si="314"/>
        <v>112.4422</v>
      </c>
      <c r="W945" s="78">
        <f t="shared" si="315"/>
        <v>0</v>
      </c>
      <c r="X945" s="1878" t="str">
        <f t="shared" si="313"/>
        <v>5.- R Aeolus 0010116-OT_239309  Reencauche F101-00011215 IDY-210</v>
      </c>
      <c r="Z945" s="19" t="str">
        <f t="shared" si="318"/>
        <v>Transpl BandaReenc. MASTERCAUCHO</v>
      </c>
    </row>
    <row r="946" spans="2:26" ht="15.2" customHeight="1">
      <c r="B946" s="37"/>
      <c r="E946" s="2644">
        <v>6</v>
      </c>
      <c r="F946" s="2297" t="s">
        <v>723</v>
      </c>
      <c r="G946" s="68" t="s">
        <v>724</v>
      </c>
      <c r="H946" s="69" t="s">
        <v>2688</v>
      </c>
      <c r="I946" s="68" t="s">
        <v>726</v>
      </c>
      <c r="J946" s="70" t="s">
        <v>760</v>
      </c>
      <c r="K946" s="71" t="s">
        <v>2689</v>
      </c>
      <c r="L946" s="72">
        <v>42997</v>
      </c>
      <c r="M946" s="2306" t="s">
        <v>729</v>
      </c>
      <c r="N946" s="74">
        <v>43004</v>
      </c>
      <c r="O946" s="75">
        <f t="shared" si="317"/>
        <v>43004</v>
      </c>
      <c r="P946" s="2765" t="s">
        <v>2701</v>
      </c>
      <c r="Q946" s="2954">
        <v>95.29</v>
      </c>
      <c r="R946" s="76"/>
      <c r="S946" s="1945" t="s">
        <v>731</v>
      </c>
      <c r="T946" s="77" t="s">
        <v>2625</v>
      </c>
      <c r="U946" s="1893" t="s">
        <v>694</v>
      </c>
      <c r="V946" s="2079">
        <f t="shared" si="314"/>
        <v>112.4422</v>
      </c>
      <c r="W946" s="78">
        <f t="shared" si="315"/>
        <v>0</v>
      </c>
      <c r="X946" s="1878" t="str">
        <f t="shared" si="313"/>
        <v>6.- R Aeolus 0020116-OT_239309  Reencauche F101-00011215 IDY-210</v>
      </c>
      <c r="Z946" s="19" t="str">
        <f t="shared" si="318"/>
        <v>Transpl BandaReenc. MASTERCAUCHO</v>
      </c>
    </row>
    <row r="947" spans="2:26" ht="15.2" customHeight="1">
      <c r="B947" s="37"/>
      <c r="E947" s="79">
        <v>7</v>
      </c>
      <c r="F947" s="2575" t="s">
        <v>723</v>
      </c>
      <c r="G947" s="2576" t="s">
        <v>737</v>
      </c>
      <c r="H947" s="3136" t="s">
        <v>2683</v>
      </c>
      <c r="I947" s="2576" t="s">
        <v>726</v>
      </c>
      <c r="J947" s="2578" t="s">
        <v>760</v>
      </c>
      <c r="K947" s="3137" t="s">
        <v>2689</v>
      </c>
      <c r="L947" s="2580">
        <v>42997</v>
      </c>
      <c r="M947" s="2581" t="s">
        <v>729</v>
      </c>
      <c r="N947" s="3138">
        <v>43006</v>
      </c>
      <c r="O947" s="2583">
        <f t="shared" si="317"/>
        <v>43006</v>
      </c>
      <c r="P947" s="3139" t="s">
        <v>2718</v>
      </c>
      <c r="Q947" s="2957">
        <v>95.29</v>
      </c>
      <c r="R947" s="2584"/>
      <c r="S947" s="3140" t="s">
        <v>731</v>
      </c>
      <c r="T947" s="77" t="s">
        <v>2625</v>
      </c>
      <c r="U947" s="1893" t="s">
        <v>694</v>
      </c>
      <c r="V947" s="2079">
        <f t="shared" si="314"/>
        <v>112.4422</v>
      </c>
      <c r="W947" s="78">
        <f t="shared" si="315"/>
        <v>0</v>
      </c>
      <c r="X947" s="1878" t="str">
        <f t="shared" si="313"/>
        <v>7.- R Vikrant 0330317-OT_239309  Reencauche F101-00011261 IDY-210</v>
      </c>
      <c r="Z947" s="19" t="str">
        <f t="shared" si="318"/>
        <v>Sacar_BandaReenc. MASTERCAUCHO</v>
      </c>
    </row>
    <row r="948" spans="2:26" ht="15.2" customHeight="1">
      <c r="B948" s="37"/>
      <c r="E948" s="2586">
        <v>1</v>
      </c>
      <c r="F948" s="2297" t="s">
        <v>732</v>
      </c>
      <c r="G948" s="68" t="s">
        <v>733</v>
      </c>
      <c r="H948" s="69" t="s">
        <v>772</v>
      </c>
      <c r="I948" s="68" t="s">
        <v>740</v>
      </c>
      <c r="J948" s="70" t="s">
        <v>727</v>
      </c>
      <c r="K948" s="2305" t="s">
        <v>2682</v>
      </c>
      <c r="L948" s="72">
        <v>42996</v>
      </c>
      <c r="M948" s="2306" t="s">
        <v>729</v>
      </c>
      <c r="N948" s="74">
        <v>43000</v>
      </c>
      <c r="O948" s="75">
        <f t="shared" si="317"/>
        <v>43000</v>
      </c>
      <c r="P948" s="2765" t="s">
        <v>2693</v>
      </c>
      <c r="Q948" s="2954"/>
      <c r="R948" s="76">
        <v>127.12</v>
      </c>
      <c r="S948" s="1945" t="s">
        <v>731</v>
      </c>
      <c r="T948" s="77"/>
      <c r="U948" s="1893" t="s">
        <v>693</v>
      </c>
      <c r="V948" s="2079">
        <f t="shared" si="314"/>
        <v>0</v>
      </c>
      <c r="W948" s="78">
        <f t="shared" si="315"/>
        <v>150.0016</v>
      </c>
      <c r="X948" s="1878" t="str">
        <f t="shared" si="313"/>
        <v xml:space="preserve">1.- C Lima Caucho 1181210-OT_006161  Transpl Banda 0001-009146 </v>
      </c>
      <c r="Z948" s="19" t="str">
        <f t="shared" si="318"/>
        <v>Sacar_BandaReenc. MASTERCAUCHO</v>
      </c>
    </row>
    <row r="949" spans="2:26" ht="15.2" customHeight="1">
      <c r="B949" s="37"/>
      <c r="E949" s="2586">
        <v>2</v>
      </c>
      <c r="F949" s="2297" t="s">
        <v>732</v>
      </c>
      <c r="G949" s="68" t="s">
        <v>737</v>
      </c>
      <c r="H949" s="69" t="s">
        <v>1447</v>
      </c>
      <c r="I949" s="68" t="s">
        <v>740</v>
      </c>
      <c r="J949" s="70" t="s">
        <v>727</v>
      </c>
      <c r="K949" s="71" t="s">
        <v>2682</v>
      </c>
      <c r="L949" s="72">
        <v>42996</v>
      </c>
      <c r="M949" s="2306" t="s">
        <v>729</v>
      </c>
      <c r="N949" s="74">
        <v>43000</v>
      </c>
      <c r="O949" s="75">
        <v>43000</v>
      </c>
      <c r="P949" s="2765" t="s">
        <v>2693</v>
      </c>
      <c r="Q949" s="2954"/>
      <c r="R949" s="76">
        <v>127.12</v>
      </c>
      <c r="S949" s="1945" t="s">
        <v>731</v>
      </c>
      <c r="T949" s="77"/>
      <c r="U949" s="1893" t="s">
        <v>693</v>
      </c>
      <c r="V949" s="2079">
        <f t="shared" si="314"/>
        <v>0</v>
      </c>
      <c r="W949" s="78">
        <f t="shared" si="315"/>
        <v>150.0016</v>
      </c>
      <c r="X949" s="1878" t="str">
        <f t="shared" si="313"/>
        <v xml:space="preserve">2.- C Vikrant 0240712-OT_006161  Transpl Banda 0001-009146 </v>
      </c>
      <c r="Z949" s="19" t="str">
        <f t="shared" si="318"/>
        <v>Vulcanizado (curación)Reenc. MASTERCAUCHO</v>
      </c>
    </row>
    <row r="950" spans="2:26" ht="15.2" customHeight="1">
      <c r="B950" s="37"/>
      <c r="E950" s="2586">
        <v>3</v>
      </c>
      <c r="F950" s="2297" t="s">
        <v>732</v>
      </c>
      <c r="G950" s="68" t="s">
        <v>733</v>
      </c>
      <c r="H950" s="69" t="s">
        <v>796</v>
      </c>
      <c r="I950" s="68" t="s">
        <v>744</v>
      </c>
      <c r="J950" s="70" t="s">
        <v>727</v>
      </c>
      <c r="K950" s="71" t="s">
        <v>2682</v>
      </c>
      <c r="L950" s="72">
        <v>42996</v>
      </c>
      <c r="M950" s="2306" t="s">
        <v>729</v>
      </c>
      <c r="N950" s="74">
        <v>43000</v>
      </c>
      <c r="O950" s="75">
        <f t="shared" ref="O950:O971" si="319">+N950</f>
        <v>43000</v>
      </c>
      <c r="P950" s="2765" t="s">
        <v>2676</v>
      </c>
      <c r="Q950" s="2954"/>
      <c r="R950" s="76">
        <v>0</v>
      </c>
      <c r="S950" s="1945" t="s">
        <v>731</v>
      </c>
      <c r="T950" s="77" t="s">
        <v>2694</v>
      </c>
      <c r="U950" s="1893" t="s">
        <v>693</v>
      </c>
      <c r="V950" s="2079">
        <f t="shared" si="314"/>
        <v>0</v>
      </c>
      <c r="W950" s="78">
        <f t="shared" si="315"/>
        <v>0</v>
      </c>
      <c r="X950" s="1878" t="str">
        <f t="shared" si="313"/>
        <v>3.- C Lima Caucho 0810910-OT_006161  Sacar_Banda Sin Guia Llnt Pelada x Transpl</v>
      </c>
      <c r="Z950" s="19" t="str">
        <f t="shared" si="318"/>
        <v>Transpl BandaReenc. MASTERCAUCHO</v>
      </c>
    </row>
    <row r="951" spans="2:26" ht="15.2" customHeight="1">
      <c r="B951" s="37"/>
      <c r="E951" s="79">
        <v>4</v>
      </c>
      <c r="F951" s="2294" t="s">
        <v>732</v>
      </c>
      <c r="G951" s="81" t="s">
        <v>733</v>
      </c>
      <c r="H951" s="82" t="s">
        <v>1069</v>
      </c>
      <c r="I951" s="81" t="s">
        <v>744</v>
      </c>
      <c r="J951" s="83" t="s">
        <v>727</v>
      </c>
      <c r="K951" s="84" t="s">
        <v>2682</v>
      </c>
      <c r="L951" s="85">
        <v>42996</v>
      </c>
      <c r="M951" s="2296" t="s">
        <v>729</v>
      </c>
      <c r="N951" s="87">
        <v>43000</v>
      </c>
      <c r="O951" s="88">
        <f t="shared" si="319"/>
        <v>43000</v>
      </c>
      <c r="P951" s="2766" t="s">
        <v>2676</v>
      </c>
      <c r="Q951" s="2955"/>
      <c r="R951" s="89">
        <v>0</v>
      </c>
      <c r="S951" s="1946" t="s">
        <v>731</v>
      </c>
      <c r="T951" s="77" t="s">
        <v>2694</v>
      </c>
      <c r="U951" s="1893" t="s">
        <v>693</v>
      </c>
      <c r="V951" s="2079">
        <f t="shared" si="314"/>
        <v>0</v>
      </c>
      <c r="W951" s="78">
        <f t="shared" si="315"/>
        <v>0</v>
      </c>
      <c r="X951" s="1878" t="str">
        <f t="shared" si="313"/>
        <v>4.- C Lima Caucho 1131210-OT_006161  Sacar_Banda Sin Guia Llnt Pelada x Transpl</v>
      </c>
      <c r="Z951" s="19" t="str">
        <f t="shared" si="318"/>
        <v>Sacar_BandaReenc. MASTERCAUCHO</v>
      </c>
    </row>
    <row r="952" spans="2:26" ht="15.2" customHeight="1">
      <c r="B952" s="37"/>
      <c r="E952" s="2586">
        <v>1</v>
      </c>
      <c r="F952" s="2297" t="s">
        <v>732</v>
      </c>
      <c r="G952" s="68" t="s">
        <v>737</v>
      </c>
      <c r="H952" s="69" t="s">
        <v>2666</v>
      </c>
      <c r="I952" s="68" t="s">
        <v>811</v>
      </c>
      <c r="J952" s="70" t="s">
        <v>727</v>
      </c>
      <c r="K952" s="2305" t="s">
        <v>2667</v>
      </c>
      <c r="L952" s="72">
        <v>42982</v>
      </c>
      <c r="M952" s="2306" t="s">
        <v>729</v>
      </c>
      <c r="N952" s="74">
        <v>42993</v>
      </c>
      <c r="O952" s="75">
        <f t="shared" si="319"/>
        <v>42993</v>
      </c>
      <c r="P952" s="2765" t="s">
        <v>2675</v>
      </c>
      <c r="Q952" s="2954"/>
      <c r="R952" s="76">
        <v>84.745699999999999</v>
      </c>
      <c r="S952" s="1945" t="s">
        <v>731</v>
      </c>
      <c r="T952" s="77"/>
      <c r="U952" s="1893" t="s">
        <v>693</v>
      </c>
      <c r="V952" s="2079">
        <f t="shared" si="314"/>
        <v>0</v>
      </c>
      <c r="W952" s="78">
        <f t="shared" si="315"/>
        <v>99.999925999999988</v>
      </c>
      <c r="X952" s="1878" t="str">
        <f t="shared" si="313"/>
        <v xml:space="preserve">1.- C Vikrant 0040411-OT_006430  Vulcanizado (curación) 0001-009096 </v>
      </c>
      <c r="Z952" s="19" t="str">
        <f t="shared" si="318"/>
        <v>ReencaucheReencauchadora RENOVA</v>
      </c>
    </row>
    <row r="953" spans="2:26" ht="15.2" customHeight="1">
      <c r="B953" s="37"/>
      <c r="E953" s="2586">
        <v>2</v>
      </c>
      <c r="F953" s="2297" t="s">
        <v>732</v>
      </c>
      <c r="G953" s="68" t="s">
        <v>737</v>
      </c>
      <c r="H953" s="69" t="s">
        <v>800</v>
      </c>
      <c r="I953" s="68" t="s">
        <v>740</v>
      </c>
      <c r="J953" s="70" t="s">
        <v>727</v>
      </c>
      <c r="K953" s="71" t="s">
        <v>2667</v>
      </c>
      <c r="L953" s="72">
        <v>42982</v>
      </c>
      <c r="M953" s="2306" t="s">
        <v>729</v>
      </c>
      <c r="N953" s="74">
        <v>42993</v>
      </c>
      <c r="O953" s="75">
        <f t="shared" si="319"/>
        <v>42993</v>
      </c>
      <c r="P953" s="2765" t="s">
        <v>2675</v>
      </c>
      <c r="Q953" s="2954"/>
      <c r="R953" s="76">
        <v>127.12</v>
      </c>
      <c r="S953" s="1945" t="s">
        <v>731</v>
      </c>
      <c r="T953" s="77"/>
      <c r="U953" s="1893" t="s">
        <v>693</v>
      </c>
      <c r="V953" s="2079">
        <f t="shared" si="314"/>
        <v>0</v>
      </c>
      <c r="W953" s="78">
        <f t="shared" si="315"/>
        <v>150.0016</v>
      </c>
      <c r="X953" s="1878" t="str">
        <f t="shared" si="313"/>
        <v xml:space="preserve">2.- C Vikrant 0450411-OT_006430  Transpl Banda 0001-009096 </v>
      </c>
      <c r="Z953" s="19" t="str">
        <f t="shared" si="318"/>
        <v>ReencaucheReencauchadora RENOVA</v>
      </c>
    </row>
    <row r="954" spans="2:26" ht="15.2" customHeight="1">
      <c r="B954" s="37"/>
      <c r="E954" s="79">
        <v>3</v>
      </c>
      <c r="F954" s="2294" t="s">
        <v>732</v>
      </c>
      <c r="G954" s="81" t="s">
        <v>733</v>
      </c>
      <c r="H954" s="82" t="s">
        <v>1225</v>
      </c>
      <c r="I954" s="81" t="s">
        <v>744</v>
      </c>
      <c r="J954" s="83" t="s">
        <v>727</v>
      </c>
      <c r="K954" s="84" t="s">
        <v>2667</v>
      </c>
      <c r="L954" s="85">
        <v>42982</v>
      </c>
      <c r="M954" s="2296" t="s">
        <v>729</v>
      </c>
      <c r="N954" s="87">
        <v>42993</v>
      </c>
      <c r="O954" s="88">
        <f t="shared" si="319"/>
        <v>42993</v>
      </c>
      <c r="P954" s="2766" t="s">
        <v>2676</v>
      </c>
      <c r="Q954" s="2963"/>
      <c r="R954" s="89">
        <v>0</v>
      </c>
      <c r="S954" s="1946" t="s">
        <v>731</v>
      </c>
      <c r="T954" s="77" t="s">
        <v>2694</v>
      </c>
      <c r="U954" s="1893" t="s">
        <v>693</v>
      </c>
      <c r="V954" s="2079">
        <f t="shared" si="314"/>
        <v>0</v>
      </c>
      <c r="W954" s="78">
        <f t="shared" si="315"/>
        <v>0</v>
      </c>
      <c r="X954" s="1878" t="str">
        <f t="shared" si="313"/>
        <v>3.- C Lima Caucho 0310508-OT_006430  Sacar_Banda Sin Guia Llnt Pelada x Transpl</v>
      </c>
      <c r="Z954" s="19" t="str">
        <f t="shared" si="318"/>
        <v>ReencaucheReencauchadora RENOVA</v>
      </c>
    </row>
    <row r="955" spans="2:26" ht="15.2" customHeight="1">
      <c r="B955" s="37"/>
      <c r="E955" s="2586">
        <v>1</v>
      </c>
      <c r="F955" s="2297" t="s">
        <v>723</v>
      </c>
      <c r="G955" s="68" t="s">
        <v>737</v>
      </c>
      <c r="H955" s="69" t="s">
        <v>2660</v>
      </c>
      <c r="I955" s="68" t="s">
        <v>726</v>
      </c>
      <c r="J955" s="70" t="s">
        <v>760</v>
      </c>
      <c r="K955" s="2305" t="s">
        <v>2665</v>
      </c>
      <c r="L955" s="72">
        <v>42980</v>
      </c>
      <c r="M955" s="2306" t="s">
        <v>729</v>
      </c>
      <c r="N955" s="74">
        <v>42989</v>
      </c>
      <c r="O955" s="75">
        <f t="shared" si="319"/>
        <v>42989</v>
      </c>
      <c r="P955" s="2765" t="s">
        <v>2670</v>
      </c>
      <c r="Q955" s="2954">
        <v>96.34</v>
      </c>
      <c r="R955" s="76"/>
      <c r="S955" s="1945" t="s">
        <v>731</v>
      </c>
      <c r="T955" s="77" t="s">
        <v>2671</v>
      </c>
      <c r="U955" s="1893" t="s">
        <v>694</v>
      </c>
      <c r="V955" s="2079">
        <f t="shared" si="314"/>
        <v>113.6812</v>
      </c>
      <c r="W955" s="78">
        <f t="shared" si="315"/>
        <v>0</v>
      </c>
      <c r="X955" s="1878" t="str">
        <f t="shared" si="313"/>
        <v xml:space="preserve">1.- R Vikrant 0030117-OT_238343  Reencauche F101-00010910 IDY-220 </v>
      </c>
      <c r="Z955" s="19" t="str">
        <f t="shared" si="318"/>
        <v>ReencaucheReencauchadora RENOVA</v>
      </c>
    </row>
    <row r="956" spans="2:26" ht="15.2" customHeight="1">
      <c r="B956" s="37"/>
      <c r="E956" s="2586">
        <v>2</v>
      </c>
      <c r="F956" s="2297" t="s">
        <v>723</v>
      </c>
      <c r="G956" s="68" t="s">
        <v>737</v>
      </c>
      <c r="H956" s="69" t="s">
        <v>2661</v>
      </c>
      <c r="I956" s="68" t="s">
        <v>726</v>
      </c>
      <c r="J956" s="70" t="s">
        <v>760</v>
      </c>
      <c r="K956" s="71" t="s">
        <v>2665</v>
      </c>
      <c r="L956" s="72">
        <v>42980</v>
      </c>
      <c r="M956" s="2306" t="s">
        <v>729</v>
      </c>
      <c r="N956" s="74">
        <v>42989</v>
      </c>
      <c r="O956" s="75">
        <f t="shared" si="319"/>
        <v>42989</v>
      </c>
      <c r="P956" s="2765" t="s">
        <v>2670</v>
      </c>
      <c r="Q956" s="2954">
        <v>96.34</v>
      </c>
      <c r="R956" s="76"/>
      <c r="S956" s="1945" t="s">
        <v>731</v>
      </c>
      <c r="T956" s="77" t="s">
        <v>2671</v>
      </c>
      <c r="U956" s="1893" t="s">
        <v>694</v>
      </c>
      <c r="V956" s="2079">
        <f t="shared" si="314"/>
        <v>113.6812</v>
      </c>
      <c r="W956" s="78">
        <f t="shared" si="315"/>
        <v>0</v>
      </c>
      <c r="X956" s="1878" t="str">
        <f t="shared" si="313"/>
        <v xml:space="preserve">2.- R Vikrant 0040117-OT_238343  Reencauche F101-00010910 IDY-220 </v>
      </c>
      <c r="Z956" s="19" t="str">
        <f t="shared" si="318"/>
        <v>ReencaucheReencauchadora RENOVA</v>
      </c>
    </row>
    <row r="957" spans="2:26" ht="15.2" customHeight="1">
      <c r="B957" s="37"/>
      <c r="E957" s="2586">
        <v>3</v>
      </c>
      <c r="F957" s="2297" t="s">
        <v>723</v>
      </c>
      <c r="G957" s="68" t="s">
        <v>737</v>
      </c>
      <c r="H957" s="69" t="s">
        <v>2662</v>
      </c>
      <c r="I957" s="68" t="s">
        <v>726</v>
      </c>
      <c r="J957" s="70" t="s">
        <v>760</v>
      </c>
      <c r="K957" s="71" t="s">
        <v>2665</v>
      </c>
      <c r="L957" s="72">
        <v>42980</v>
      </c>
      <c r="M957" s="2306" t="s">
        <v>729</v>
      </c>
      <c r="N957" s="74">
        <v>42989</v>
      </c>
      <c r="O957" s="75">
        <f t="shared" si="319"/>
        <v>42989</v>
      </c>
      <c r="P957" s="2765" t="s">
        <v>2670</v>
      </c>
      <c r="Q957" s="2954">
        <v>96.34</v>
      </c>
      <c r="R957" s="76"/>
      <c r="S957" s="1945" t="s">
        <v>731</v>
      </c>
      <c r="T957" s="77" t="s">
        <v>2671</v>
      </c>
      <c r="U957" s="1893" t="s">
        <v>694</v>
      </c>
      <c r="V957" s="2079">
        <f t="shared" si="314"/>
        <v>113.6812</v>
      </c>
      <c r="W957" s="78">
        <f t="shared" si="315"/>
        <v>0</v>
      </c>
      <c r="X957" s="1878" t="str">
        <f t="shared" si="313"/>
        <v xml:space="preserve">3.- R Vikrant 0110117-OT_238343  Reencauche F101-00010910 IDY-220 </v>
      </c>
      <c r="Z957" s="19" t="str">
        <f t="shared" si="318"/>
        <v>ReencaucheReenc. MASTERCAUCHO</v>
      </c>
    </row>
    <row r="958" spans="2:26" ht="15.2" customHeight="1">
      <c r="B958" s="37"/>
      <c r="E958" s="2586">
        <v>4</v>
      </c>
      <c r="F958" s="2297" t="s">
        <v>723</v>
      </c>
      <c r="G958" s="68" t="s">
        <v>737</v>
      </c>
      <c r="H958" s="69" t="s">
        <v>2663</v>
      </c>
      <c r="I958" s="68" t="s">
        <v>726</v>
      </c>
      <c r="J958" s="70" t="s">
        <v>760</v>
      </c>
      <c r="K958" s="71" t="s">
        <v>2665</v>
      </c>
      <c r="L958" s="72">
        <v>42980</v>
      </c>
      <c r="M958" s="2306" t="s">
        <v>729</v>
      </c>
      <c r="N958" s="74">
        <v>42989</v>
      </c>
      <c r="O958" s="75">
        <f t="shared" si="319"/>
        <v>42989</v>
      </c>
      <c r="P958" s="2765" t="s">
        <v>2670</v>
      </c>
      <c r="Q958" s="2954">
        <v>96.34</v>
      </c>
      <c r="R958" s="76"/>
      <c r="S958" s="1945" t="s">
        <v>731</v>
      </c>
      <c r="T958" s="77" t="s">
        <v>2671</v>
      </c>
      <c r="U958" s="1893" t="s">
        <v>694</v>
      </c>
      <c r="V958" s="2079">
        <f t="shared" si="314"/>
        <v>113.6812</v>
      </c>
      <c r="W958" s="78">
        <f t="shared" si="315"/>
        <v>0</v>
      </c>
      <c r="X958" s="1878" t="str">
        <f t="shared" si="313"/>
        <v xml:space="preserve">4.- R Vikrant 0100117-OT_238343  Reencauche F101-00010910 IDY-220 </v>
      </c>
      <c r="Z958" s="19" t="str">
        <f t="shared" si="318"/>
        <v>Intercnb/ReencReenc. MASTERCAUCHO</v>
      </c>
    </row>
    <row r="959" spans="2:26" ht="15.2" customHeight="1">
      <c r="B959" s="37"/>
      <c r="E959" s="79">
        <v>5</v>
      </c>
      <c r="F959" s="2294" t="s">
        <v>723</v>
      </c>
      <c r="G959" s="81" t="s">
        <v>151</v>
      </c>
      <c r="H959" s="82" t="s">
        <v>2664</v>
      </c>
      <c r="I959" s="81" t="s">
        <v>726</v>
      </c>
      <c r="J959" s="83" t="s">
        <v>760</v>
      </c>
      <c r="K959" s="84" t="s">
        <v>2665</v>
      </c>
      <c r="L959" s="85">
        <v>42980</v>
      </c>
      <c r="M959" s="2296" t="s">
        <v>729</v>
      </c>
      <c r="N959" s="87">
        <v>42989</v>
      </c>
      <c r="O959" s="88">
        <f t="shared" si="319"/>
        <v>42989</v>
      </c>
      <c r="P959" s="2766" t="s">
        <v>2670</v>
      </c>
      <c r="Q959" s="2955">
        <v>95.29</v>
      </c>
      <c r="R959" s="89"/>
      <c r="S959" s="1946" t="s">
        <v>731</v>
      </c>
      <c r="T959" s="77" t="s">
        <v>2625</v>
      </c>
      <c r="U959" s="1893" t="s">
        <v>694</v>
      </c>
      <c r="V959" s="2079">
        <f t="shared" si="314"/>
        <v>112.4422</v>
      </c>
      <c r="W959" s="78">
        <f t="shared" si="315"/>
        <v>0</v>
      </c>
      <c r="X959" s="1878" t="str">
        <f t="shared" si="313"/>
        <v>5.- R WindPower 0410815-OT_238343  Reencauche F101-00010910 IDY-210</v>
      </c>
      <c r="Z959" s="19" t="str">
        <f t="shared" ref="Z959:Z970" si="320">CONCATENATE(I962,J962)</f>
        <v>ReencaucheReenc. MASTERCAUCHO</v>
      </c>
    </row>
    <row r="960" spans="2:26" ht="15.2" customHeight="1">
      <c r="B960" s="37"/>
      <c r="E960" s="2407">
        <v>1</v>
      </c>
      <c r="F960" s="2297" t="s">
        <v>723</v>
      </c>
      <c r="G960" s="68" t="s">
        <v>724</v>
      </c>
      <c r="H960" s="69" t="s">
        <v>873</v>
      </c>
      <c r="I960" s="68" t="s">
        <v>726</v>
      </c>
      <c r="J960" s="70" t="s">
        <v>727</v>
      </c>
      <c r="K960" s="2305" t="s">
        <v>2646</v>
      </c>
      <c r="L960" s="72">
        <v>42959</v>
      </c>
      <c r="M960" s="2306" t="s">
        <v>729</v>
      </c>
      <c r="N960" s="74">
        <v>42964</v>
      </c>
      <c r="O960" s="75">
        <f t="shared" si="319"/>
        <v>42964</v>
      </c>
      <c r="P960" s="2765" t="s">
        <v>2647</v>
      </c>
      <c r="Q960" s="2954"/>
      <c r="R960" s="76">
        <v>262.71190000000001</v>
      </c>
      <c r="S960" s="1945" t="s">
        <v>731</v>
      </c>
      <c r="T960" s="77"/>
      <c r="U960" s="1893" t="s">
        <v>694</v>
      </c>
      <c r="V960" s="2079">
        <f t="shared" si="314"/>
        <v>0</v>
      </c>
      <c r="W960" s="78">
        <f t="shared" si="315"/>
        <v>310.00004200000001</v>
      </c>
      <c r="X960" s="1878" t="str">
        <f t="shared" si="313"/>
        <v xml:space="preserve">1.- R Aeolus 0190514-OT_006642  Reencauche 0001-008851 </v>
      </c>
      <c r="Z960" s="19" t="str">
        <f t="shared" si="320"/>
        <v>ReencaucheReencauchadora RENOVA</v>
      </c>
    </row>
    <row r="961" spans="2:26" ht="15.2" customHeight="1">
      <c r="B961" s="37"/>
      <c r="E961" s="2407">
        <v>2</v>
      </c>
      <c r="F961" s="2297" t="s">
        <v>723</v>
      </c>
      <c r="G961" s="68" t="s">
        <v>2460</v>
      </c>
      <c r="H961" s="2014" t="s">
        <v>2649</v>
      </c>
      <c r="I961" s="68" t="s">
        <v>2581</v>
      </c>
      <c r="J961" s="70" t="s">
        <v>727</v>
      </c>
      <c r="K961" s="71" t="s">
        <v>2646</v>
      </c>
      <c r="L961" s="72">
        <v>42959</v>
      </c>
      <c r="M961" s="2306" t="s">
        <v>729</v>
      </c>
      <c r="N961" s="74">
        <v>42964</v>
      </c>
      <c r="O961" s="75">
        <f t="shared" si="319"/>
        <v>42964</v>
      </c>
      <c r="P961" s="2765" t="s">
        <v>2647</v>
      </c>
      <c r="Q961" s="2954"/>
      <c r="R961" s="76">
        <v>262.71190000000001</v>
      </c>
      <c r="S961" s="1945" t="s">
        <v>731</v>
      </c>
      <c r="T961" s="77" t="s">
        <v>2650</v>
      </c>
      <c r="U961" s="1893" t="s">
        <v>2714</v>
      </c>
      <c r="V961" s="2079">
        <f t="shared" si="314"/>
        <v>0</v>
      </c>
      <c r="W961" s="78">
        <f t="shared" si="315"/>
        <v>310.00004200000001</v>
      </c>
      <c r="X961" s="1878" t="str">
        <f t="shared" si="313"/>
        <v>2.- R MICHELLIN 12R22.5 1121211-OT_006642  Intercnb/Reenc 0001-008851 DOT-2413</v>
      </c>
      <c r="Z961" s="19" t="str">
        <f t="shared" si="320"/>
        <v>ReencaucheReencauchadora RENOVA</v>
      </c>
    </row>
    <row r="962" spans="2:26" ht="15.2" customHeight="1">
      <c r="B962" s="37"/>
      <c r="E962" s="79">
        <v>3</v>
      </c>
      <c r="F962" s="2294" t="s">
        <v>723</v>
      </c>
      <c r="G962" s="81" t="s">
        <v>724</v>
      </c>
      <c r="H962" s="82" t="s">
        <v>877</v>
      </c>
      <c r="I962" s="81" t="s">
        <v>726</v>
      </c>
      <c r="J962" s="83" t="s">
        <v>727</v>
      </c>
      <c r="K962" s="84" t="s">
        <v>2646</v>
      </c>
      <c r="L962" s="85">
        <v>42959</v>
      </c>
      <c r="M962" s="2296" t="s">
        <v>729</v>
      </c>
      <c r="N962" s="87">
        <v>42964</v>
      </c>
      <c r="O962" s="88">
        <f t="shared" si="319"/>
        <v>42964</v>
      </c>
      <c r="P962" s="2766" t="s">
        <v>2648</v>
      </c>
      <c r="Q962" s="2955"/>
      <c r="R962" s="89"/>
      <c r="S962" s="1946" t="s">
        <v>731</v>
      </c>
      <c r="T962" s="1875" t="s">
        <v>2651</v>
      </c>
      <c r="U962" s="1893" t="s">
        <v>694</v>
      </c>
      <c r="V962" s="2079">
        <f t="shared" si="314"/>
        <v>0</v>
      </c>
      <c r="W962" s="78">
        <f t="shared" si="315"/>
        <v>0</v>
      </c>
      <c r="X962" s="1878" t="str">
        <f t="shared" si="313"/>
        <v>3.- R Aeolus 0210413-OT_006642  Reencauche 0001-002845 Rechazado, G0001-002845</v>
      </c>
      <c r="Z962" s="19" t="str">
        <f t="shared" si="320"/>
        <v>ReencaucheReencauchadora RENOVA</v>
      </c>
    </row>
    <row r="963" spans="2:26" ht="15.2" customHeight="1">
      <c r="B963" s="37"/>
      <c r="E963" s="2462">
        <v>1</v>
      </c>
      <c r="F963" s="2297" t="s">
        <v>723</v>
      </c>
      <c r="G963" s="68" t="s">
        <v>151</v>
      </c>
      <c r="H963" s="69" t="s">
        <v>2639</v>
      </c>
      <c r="I963" s="68" t="s">
        <v>726</v>
      </c>
      <c r="J963" s="70" t="s">
        <v>760</v>
      </c>
      <c r="K963" s="71" t="s">
        <v>2640</v>
      </c>
      <c r="L963" s="72">
        <v>42943</v>
      </c>
      <c r="M963" s="2306" t="s">
        <v>729</v>
      </c>
      <c r="N963" s="74">
        <v>42951</v>
      </c>
      <c r="O963" s="75">
        <f t="shared" si="319"/>
        <v>42951</v>
      </c>
      <c r="P963" s="2770" t="s">
        <v>2641</v>
      </c>
      <c r="Q963" s="2954">
        <v>96.34</v>
      </c>
      <c r="R963" s="76"/>
      <c r="S963" s="1945" t="s">
        <v>731</v>
      </c>
      <c r="T963" s="77"/>
      <c r="U963" s="1893" t="s">
        <v>694</v>
      </c>
      <c r="V963" s="2079">
        <f t="shared" si="314"/>
        <v>113.6812</v>
      </c>
      <c r="W963" s="78">
        <f t="shared" si="315"/>
        <v>0</v>
      </c>
      <c r="X963" s="1878" t="str">
        <f t="shared" si="313"/>
        <v xml:space="preserve">1.- R WindPower 0731115-OT_237195  Reencauche F101-00010378 </v>
      </c>
      <c r="Z963" s="19" t="str">
        <f t="shared" si="320"/>
        <v>ReencaucheReencauchadora RENOVA</v>
      </c>
    </row>
    <row r="964" spans="2:26" ht="15.2" customHeight="1">
      <c r="B964" s="37"/>
      <c r="E964" s="2462">
        <v>2</v>
      </c>
      <c r="F964" s="2297" t="s">
        <v>723</v>
      </c>
      <c r="G964" s="68" t="s">
        <v>724</v>
      </c>
      <c r="H964" s="69" t="s">
        <v>877</v>
      </c>
      <c r="I964" s="68" t="s">
        <v>726</v>
      </c>
      <c r="J964" s="70" t="s">
        <v>760</v>
      </c>
      <c r="K964" s="71" t="s">
        <v>2640</v>
      </c>
      <c r="L964" s="72">
        <v>42943</v>
      </c>
      <c r="M964" s="2306" t="s">
        <v>729</v>
      </c>
      <c r="N964" s="74">
        <v>42951</v>
      </c>
      <c r="O964" s="75">
        <f t="shared" si="319"/>
        <v>42951</v>
      </c>
      <c r="P964" s="2770" t="s">
        <v>2642</v>
      </c>
      <c r="Q964" s="2954"/>
      <c r="R964" s="76"/>
      <c r="S964" s="1945" t="s">
        <v>731</v>
      </c>
      <c r="T964" s="77" t="s">
        <v>2643</v>
      </c>
      <c r="U964" s="1893" t="s">
        <v>694</v>
      </c>
      <c r="V964" s="2079">
        <f t="shared" si="314"/>
        <v>0</v>
      </c>
      <c r="W964" s="78">
        <f t="shared" si="315"/>
        <v>0</v>
      </c>
      <c r="X964" s="1878" t="str">
        <f t="shared" si="313"/>
        <v>2.- R Aeolus 0210413-OT_237195  Reencauche G030-0067005 Rechazada, G030-0067005</v>
      </c>
      <c r="Z964" s="19" t="str">
        <f t="shared" si="320"/>
        <v>ReencaucheReenc. MASTERCAUCHO</v>
      </c>
    </row>
    <row r="965" spans="2:26" ht="15.2" customHeight="1">
      <c r="B965" s="37"/>
      <c r="E965" s="2462">
        <v>3</v>
      </c>
      <c r="F965" s="2297" t="s">
        <v>723</v>
      </c>
      <c r="G965" s="68" t="s">
        <v>724</v>
      </c>
      <c r="H965" s="69" t="s">
        <v>873</v>
      </c>
      <c r="I965" s="68" t="s">
        <v>726</v>
      </c>
      <c r="J965" s="70" t="s">
        <v>760</v>
      </c>
      <c r="K965" s="2305" t="s">
        <v>2640</v>
      </c>
      <c r="L965" s="72">
        <v>42943</v>
      </c>
      <c r="M965" s="2306" t="s">
        <v>729</v>
      </c>
      <c r="N965" s="74">
        <v>42951</v>
      </c>
      <c r="O965" s="75">
        <f t="shared" si="319"/>
        <v>42951</v>
      </c>
      <c r="P965" s="2770" t="s">
        <v>2642</v>
      </c>
      <c r="Q965" s="2954"/>
      <c r="R965" s="76"/>
      <c r="S965" s="1945" t="s">
        <v>731</v>
      </c>
      <c r="T965" s="77" t="s">
        <v>2643</v>
      </c>
      <c r="U965" s="1893" t="s">
        <v>694</v>
      </c>
      <c r="V965" s="2079">
        <f t="shared" si="314"/>
        <v>0</v>
      </c>
      <c r="W965" s="78">
        <f t="shared" si="315"/>
        <v>0</v>
      </c>
      <c r="X965" s="1878" t="str">
        <f t="shared" si="313"/>
        <v>3.- R Aeolus 0190514-OT_237195  Reencauche G030-0067005 Rechazada, G030-0067005</v>
      </c>
      <c r="Z965" s="19" t="str">
        <f>CONCATENATE(I968,J968)</f>
        <v>ReencaucheReenc. MASTERCAUCHO</v>
      </c>
    </row>
    <row r="966" spans="2:26" ht="15.2" customHeight="1">
      <c r="B966" s="37"/>
      <c r="E966" s="79">
        <v>4</v>
      </c>
      <c r="F966" s="3141" t="s">
        <v>732</v>
      </c>
      <c r="G966" s="2576" t="s">
        <v>733</v>
      </c>
      <c r="H966" s="3136" t="s">
        <v>772</v>
      </c>
      <c r="I966" s="3142" t="s">
        <v>726</v>
      </c>
      <c r="J966" s="2578" t="s">
        <v>760</v>
      </c>
      <c r="K966" s="3137" t="s">
        <v>2638</v>
      </c>
      <c r="L966" s="3143">
        <v>42943</v>
      </c>
      <c r="M966" s="3144" t="s">
        <v>729</v>
      </c>
      <c r="N966" s="3138">
        <v>42989</v>
      </c>
      <c r="O966" s="3145">
        <f t="shared" si="319"/>
        <v>42989</v>
      </c>
      <c r="P966" s="3139" t="s">
        <v>2672</v>
      </c>
      <c r="Q966" s="3146"/>
      <c r="R966" s="3147"/>
      <c r="S966" s="3140" t="s">
        <v>731</v>
      </c>
      <c r="T966" s="3148" t="s">
        <v>2673</v>
      </c>
      <c r="U966" s="1893" t="s">
        <v>693</v>
      </c>
      <c r="V966" s="2079">
        <f t="shared" si="314"/>
        <v>0</v>
      </c>
      <c r="W966" s="78">
        <f t="shared" si="315"/>
        <v>0</v>
      </c>
      <c r="X966" s="1878" t="str">
        <f t="shared" si="313"/>
        <v>4.- C Lima Caucho 1181210-OT_237194  Reencauche G030-0067774 RECHAZADA</v>
      </c>
      <c r="Z966" s="19" t="str">
        <f t="shared" si="320"/>
        <v>ReencaucheReenc. MASTERCAUCHO</v>
      </c>
    </row>
    <row r="967" spans="2:26" ht="15.2" customHeight="1">
      <c r="B967" s="37"/>
      <c r="E967" s="2462">
        <v>1</v>
      </c>
      <c r="F967" s="2297" t="s">
        <v>732</v>
      </c>
      <c r="G967" s="68" t="s">
        <v>737</v>
      </c>
      <c r="H967" s="69" t="s">
        <v>959</v>
      </c>
      <c r="I967" s="68" t="s">
        <v>726</v>
      </c>
      <c r="J967" s="70" t="s">
        <v>727</v>
      </c>
      <c r="K967" s="71" t="s">
        <v>2628</v>
      </c>
      <c r="L967" s="72">
        <v>42937</v>
      </c>
      <c r="M967" s="2306" t="s">
        <v>729</v>
      </c>
      <c r="N967" s="74">
        <v>42948</v>
      </c>
      <c r="O967" s="75">
        <f t="shared" si="319"/>
        <v>42948</v>
      </c>
      <c r="P967" s="2765" t="s">
        <v>2629</v>
      </c>
      <c r="Q967" s="2954"/>
      <c r="R967" s="76">
        <v>279.66000000000003</v>
      </c>
      <c r="S967" s="1945" t="s">
        <v>731</v>
      </c>
      <c r="T967" s="77"/>
      <c r="U967" s="1893" t="s">
        <v>693</v>
      </c>
      <c r="V967" s="2079">
        <f t="shared" si="314"/>
        <v>0</v>
      </c>
      <c r="W967" s="78">
        <f t="shared" si="315"/>
        <v>329.99880000000002</v>
      </c>
      <c r="X967" s="1878" t="str">
        <f t="shared" si="313"/>
        <v xml:space="preserve">1.- C Vikrant 1060705-OT_006620  Reencauche 0001-008701 </v>
      </c>
      <c r="Z967" s="19" t="str">
        <f>CONCATENATE(I970,J970)</f>
        <v>Intercnb/ReencReenc. MASTERCAUCHO</v>
      </c>
    </row>
    <row r="968" spans="2:26" ht="15.2" customHeight="1">
      <c r="B968" s="37"/>
      <c r="E968" s="2462">
        <v>2</v>
      </c>
      <c r="F968" s="2297" t="s">
        <v>723</v>
      </c>
      <c r="G968" s="68" t="s">
        <v>724</v>
      </c>
      <c r="H968" s="69" t="s">
        <v>875</v>
      </c>
      <c r="I968" s="68" t="s">
        <v>726</v>
      </c>
      <c r="J968" s="70" t="s">
        <v>727</v>
      </c>
      <c r="K968" s="2305" t="s">
        <v>2628</v>
      </c>
      <c r="L968" s="72">
        <v>42937</v>
      </c>
      <c r="M968" s="2306" t="s">
        <v>729</v>
      </c>
      <c r="N968" s="74">
        <v>42948</v>
      </c>
      <c r="O968" s="75">
        <f t="shared" si="319"/>
        <v>42948</v>
      </c>
      <c r="P968" s="2765" t="s">
        <v>2629</v>
      </c>
      <c r="Q968" s="2954"/>
      <c r="R968" s="76">
        <v>262.71190000000001</v>
      </c>
      <c r="S968" s="1945" t="s">
        <v>731</v>
      </c>
      <c r="T968" s="77"/>
      <c r="U968" s="1893" t="s">
        <v>694</v>
      </c>
      <c r="V968" s="2079">
        <f t="shared" si="314"/>
        <v>0</v>
      </c>
      <c r="W968" s="78">
        <f t="shared" si="315"/>
        <v>310.00004200000001</v>
      </c>
      <c r="X968" s="1878" t="str">
        <f t="shared" si="313"/>
        <v xml:space="preserve">2.- R Aeolus 0220413-OT_006620  Reencauche 0001-008701 </v>
      </c>
      <c r="Z968" s="19" t="str">
        <f>CONCATENATE(I971,J971)</f>
        <v>EnderezadoReenc. MASTERCAUCHO</v>
      </c>
    </row>
    <row r="969" spans="2:26" ht="15.2" customHeight="1">
      <c r="B969" s="37"/>
      <c r="E969" s="2586">
        <v>3</v>
      </c>
      <c r="F969" s="2297" t="s">
        <v>723</v>
      </c>
      <c r="G969" s="68" t="s">
        <v>825</v>
      </c>
      <c r="H969" s="69" t="s">
        <v>865</v>
      </c>
      <c r="I969" s="68" t="s">
        <v>726</v>
      </c>
      <c r="J969" s="70" t="s">
        <v>727</v>
      </c>
      <c r="K969" s="71" t="s">
        <v>2628</v>
      </c>
      <c r="L969" s="72">
        <v>42937</v>
      </c>
      <c r="M969" s="2306" t="s">
        <v>729</v>
      </c>
      <c r="N969" s="74">
        <v>42948</v>
      </c>
      <c r="O969" s="75">
        <f t="shared" si="319"/>
        <v>42948</v>
      </c>
      <c r="P969" s="2765" t="s">
        <v>2629</v>
      </c>
      <c r="Q969" s="2954"/>
      <c r="R969" s="76">
        <v>262.71190000000001</v>
      </c>
      <c r="S969" s="1945" t="s">
        <v>731</v>
      </c>
      <c r="T969" s="77"/>
      <c r="U969" s="1893" t="s">
        <v>694</v>
      </c>
      <c r="V969" s="2079">
        <f t="shared" si="314"/>
        <v>0</v>
      </c>
      <c r="W969" s="78">
        <f t="shared" si="315"/>
        <v>310.00004200000001</v>
      </c>
      <c r="X969" s="1878" t="str">
        <f t="shared" si="313"/>
        <v xml:space="preserve">3.- R Falken 0550611-OT_006620  Reencauche 0001-008701 </v>
      </c>
      <c r="Z969" s="19" t="str">
        <f t="shared" si="320"/>
        <v>ReencaucheReencauchadora RENOVA</v>
      </c>
    </row>
    <row r="970" spans="2:26" ht="15.2" customHeight="1">
      <c r="B970" s="37"/>
      <c r="E970" s="79">
        <v>4</v>
      </c>
      <c r="F970" s="2294" t="s">
        <v>723</v>
      </c>
      <c r="G970" s="81" t="s">
        <v>2460</v>
      </c>
      <c r="H970" s="2015" t="s">
        <v>2649</v>
      </c>
      <c r="I970" s="81" t="s">
        <v>2581</v>
      </c>
      <c r="J970" s="83" t="s">
        <v>727</v>
      </c>
      <c r="K970" s="84" t="s">
        <v>2628</v>
      </c>
      <c r="L970" s="85">
        <v>42937</v>
      </c>
      <c r="M970" s="2296" t="s">
        <v>729</v>
      </c>
      <c r="N970" s="87">
        <v>42948</v>
      </c>
      <c r="O970" s="88">
        <f t="shared" si="319"/>
        <v>42948</v>
      </c>
      <c r="P970" s="2766" t="s">
        <v>2629</v>
      </c>
      <c r="Q970" s="2955"/>
      <c r="R970" s="89">
        <v>0</v>
      </c>
      <c r="S970" s="1946" t="s">
        <v>731</v>
      </c>
      <c r="T970" s="1875" t="s">
        <v>2634</v>
      </c>
      <c r="U970" s="1893" t="s">
        <v>694</v>
      </c>
      <c r="V970" s="2079">
        <f t="shared" si="314"/>
        <v>0</v>
      </c>
      <c r="W970" s="78">
        <f t="shared" si="315"/>
        <v>0</v>
      </c>
      <c r="X970" s="1878" t="str">
        <f t="shared" si="313"/>
        <v>4.- R MICHELLIN 12R22.5 1121211-OT_006620  Intercnb/Reenc 0001-008701 Rechazado, G0001-002801</v>
      </c>
      <c r="Z970" s="19" t="str">
        <f t="shared" si="320"/>
        <v>ReencaucheReencauchadora RENOVA</v>
      </c>
    </row>
    <row r="971" spans="2:26" ht="15.2" customHeight="1">
      <c r="B971" s="37"/>
      <c r="E971" s="79">
        <v>5</v>
      </c>
      <c r="F971" s="2294" t="s">
        <v>723</v>
      </c>
      <c r="G971" s="81" t="s">
        <v>2630</v>
      </c>
      <c r="H971" s="82" t="s">
        <v>2631</v>
      </c>
      <c r="I971" s="81" t="s">
        <v>2632</v>
      </c>
      <c r="J971" s="83" t="s">
        <v>727</v>
      </c>
      <c r="K971" s="84" t="s">
        <v>2628</v>
      </c>
      <c r="L971" s="85">
        <v>42937</v>
      </c>
      <c r="M971" s="2296" t="s">
        <v>729</v>
      </c>
      <c r="N971" s="87">
        <v>42948</v>
      </c>
      <c r="O971" s="88">
        <f t="shared" si="319"/>
        <v>42948</v>
      </c>
      <c r="P971" s="2766" t="s">
        <v>2633</v>
      </c>
      <c r="Q971" s="2955"/>
      <c r="R971" s="89">
        <v>59.322000000000003</v>
      </c>
      <c r="S971" s="1946" t="s">
        <v>731</v>
      </c>
      <c r="T971" s="77"/>
      <c r="U971" s="1893" t="s">
        <v>694</v>
      </c>
      <c r="V971" s="2079">
        <f t="shared" si="314"/>
        <v>0</v>
      </c>
      <c r="W971" s="78">
        <f t="shared" si="315"/>
        <v>69.999960000000002</v>
      </c>
      <c r="X971" s="1878" t="str">
        <f t="shared" si="313"/>
        <v xml:space="preserve">5.- R Aro Artillero 8.25x22.5-OT_006620  Enderezado 0001-008702 </v>
      </c>
      <c r="Z971" s="19" t="str">
        <f>CONCATENATE(I974,J974)</f>
        <v>ReencaucheReencauchadora RENOVA</v>
      </c>
    </row>
    <row r="972" spans="2:26" ht="15.2" customHeight="1">
      <c r="B972" s="37"/>
      <c r="E972" s="2462">
        <v>1</v>
      </c>
      <c r="F972" s="2297" t="s">
        <v>723</v>
      </c>
      <c r="G972" s="68" t="s">
        <v>151</v>
      </c>
      <c r="H972" s="69" t="s">
        <v>2620</v>
      </c>
      <c r="I972" s="68" t="s">
        <v>726</v>
      </c>
      <c r="J972" s="70" t="s">
        <v>760</v>
      </c>
      <c r="K972" s="71" t="s">
        <v>2621</v>
      </c>
      <c r="L972" s="72">
        <v>42926</v>
      </c>
      <c r="M972" s="73" t="s">
        <v>729</v>
      </c>
      <c r="N972" s="74">
        <v>42933</v>
      </c>
      <c r="O972" s="75">
        <v>42933</v>
      </c>
      <c r="P972" s="2770" t="s">
        <v>2626</v>
      </c>
      <c r="Q972" s="2954">
        <v>95.29</v>
      </c>
      <c r="R972" s="76"/>
      <c r="S972" s="1945" t="s">
        <v>731</v>
      </c>
      <c r="T972" s="355"/>
      <c r="U972" s="1893" t="s">
        <v>694</v>
      </c>
      <c r="V972" s="2079">
        <f t="shared" si="314"/>
        <v>112.4422</v>
      </c>
      <c r="W972" s="78">
        <f t="shared" si="315"/>
        <v>0</v>
      </c>
      <c r="X972" s="1878" t="str">
        <f t="shared" si="313"/>
        <v xml:space="preserve">1.- R WindPower 0921215-OT_237170  Reencauche F101-00010108 </v>
      </c>
      <c r="Z972" s="19" t="str">
        <f t="shared" ref="Z972:Z985" si="321">CONCATENATE(I975,J975)</f>
        <v>ReencaucheReencauchadora RENOVA</v>
      </c>
    </row>
    <row r="973" spans="2:26" ht="15.2" customHeight="1">
      <c r="B973" s="37"/>
      <c r="E973" s="2462">
        <v>2</v>
      </c>
      <c r="F973" s="2297" t="s">
        <v>723</v>
      </c>
      <c r="G973" s="2141" t="s">
        <v>247</v>
      </c>
      <c r="H973" s="69" t="s">
        <v>2618</v>
      </c>
      <c r="I973" s="68" t="s">
        <v>726</v>
      </c>
      <c r="J973" s="70" t="s">
        <v>760</v>
      </c>
      <c r="K973" s="71" t="s">
        <v>2621</v>
      </c>
      <c r="L973" s="72">
        <v>42926</v>
      </c>
      <c r="M973" s="2306" t="s">
        <v>729</v>
      </c>
      <c r="N973" s="74">
        <v>42933</v>
      </c>
      <c r="O973" s="75">
        <f>+N973</f>
        <v>42933</v>
      </c>
      <c r="P973" s="2770" t="s">
        <v>2626</v>
      </c>
      <c r="Q973" s="2954">
        <v>95.29</v>
      </c>
      <c r="R973" s="76"/>
      <c r="S973" s="1945" t="s">
        <v>731</v>
      </c>
      <c r="T973" s="77"/>
      <c r="U973" s="1893" t="s">
        <v>694</v>
      </c>
      <c r="V973" s="2079">
        <f t="shared" si="314"/>
        <v>112.4422</v>
      </c>
      <c r="W973" s="78">
        <f t="shared" si="315"/>
        <v>0</v>
      </c>
      <c r="X973" s="2589" t="str">
        <f t="shared" si="313"/>
        <v xml:space="preserve">2.- R Double Happines DOT-2715-OT_237170  Reencauche F101-00010108 </v>
      </c>
      <c r="Z973" s="19" t="str">
        <f t="shared" si="321"/>
        <v>ReencaucheReencauchadora RENOVA</v>
      </c>
    </row>
    <row r="974" spans="2:26" ht="15.2" customHeight="1">
      <c r="B974" s="37"/>
      <c r="E974" s="2418">
        <v>3</v>
      </c>
      <c r="F974" s="2297" t="s">
        <v>723</v>
      </c>
      <c r="G974" s="68" t="s">
        <v>724</v>
      </c>
      <c r="H974" s="69" t="s">
        <v>2496</v>
      </c>
      <c r="I974" s="68" t="s">
        <v>726</v>
      </c>
      <c r="J974" s="70" t="s">
        <v>760</v>
      </c>
      <c r="K974" s="71" t="s">
        <v>2621</v>
      </c>
      <c r="L974" s="72">
        <v>42926</v>
      </c>
      <c r="M974" s="2306" t="s">
        <v>729</v>
      </c>
      <c r="N974" s="74">
        <v>42933</v>
      </c>
      <c r="O974" s="75">
        <f>+N974</f>
        <v>42933</v>
      </c>
      <c r="P974" s="2770" t="s">
        <v>2627</v>
      </c>
      <c r="Q974" s="2954">
        <v>0</v>
      </c>
      <c r="R974" s="76"/>
      <c r="S974" s="1945" t="s">
        <v>731</v>
      </c>
      <c r="T974" s="77" t="s">
        <v>2645</v>
      </c>
      <c r="U974" s="1893" t="s">
        <v>694</v>
      </c>
      <c r="V974" s="2079">
        <f t="shared" si="314"/>
        <v>0</v>
      </c>
      <c r="W974" s="78">
        <f t="shared" si="315"/>
        <v>0</v>
      </c>
      <c r="X974" s="2589" t="str">
        <f t="shared" si="313"/>
        <v>3.- R Aeolus 0010114-OT_237170  Reencauche G031-0023067 Rechazada</v>
      </c>
      <c r="Z974" s="19" t="str">
        <f t="shared" si="321"/>
        <v>ReencaucheReencauchadora RENOVA</v>
      </c>
    </row>
    <row r="975" spans="2:26" ht="15.2" customHeight="1">
      <c r="B975" s="37"/>
      <c r="E975" s="2448">
        <v>4</v>
      </c>
      <c r="F975" s="2297" t="s">
        <v>723</v>
      </c>
      <c r="G975" s="68" t="s">
        <v>724</v>
      </c>
      <c r="H975" s="69" t="s">
        <v>875</v>
      </c>
      <c r="I975" s="68" t="s">
        <v>726</v>
      </c>
      <c r="J975" s="70" t="s">
        <v>760</v>
      </c>
      <c r="K975" s="71" t="s">
        <v>2621</v>
      </c>
      <c r="L975" s="72">
        <v>42926</v>
      </c>
      <c r="M975" s="2306" t="s">
        <v>729</v>
      </c>
      <c r="N975" s="74">
        <v>42933</v>
      </c>
      <c r="O975" s="75">
        <f>+N975</f>
        <v>42933</v>
      </c>
      <c r="P975" s="2770" t="s">
        <v>2627</v>
      </c>
      <c r="Q975" s="2954">
        <v>0</v>
      </c>
      <c r="R975" s="76"/>
      <c r="S975" s="1945" t="s">
        <v>731</v>
      </c>
      <c r="T975" s="77" t="s">
        <v>2645</v>
      </c>
      <c r="U975" s="1893" t="s">
        <v>694</v>
      </c>
      <c r="V975" s="2079">
        <f t="shared" si="314"/>
        <v>0</v>
      </c>
      <c r="W975" s="78">
        <f t="shared" si="315"/>
        <v>0</v>
      </c>
      <c r="X975" s="1878" t="str">
        <f t="shared" si="313"/>
        <v>4.- R Aeolus 0220413-OT_237170  Reencauche G031-0023067 Rechazada</v>
      </c>
      <c r="Z975" s="19" t="str">
        <f t="shared" si="321"/>
        <v>ReencaucheReenc. MASTERCAUCHO</v>
      </c>
    </row>
    <row r="976" spans="2:26" ht="15.2" customHeight="1">
      <c r="B976" s="37"/>
      <c r="E976" s="2448">
        <v>5</v>
      </c>
      <c r="F976" s="2297" t="s">
        <v>723</v>
      </c>
      <c r="G976" s="68" t="s">
        <v>825</v>
      </c>
      <c r="H976" s="69" t="s">
        <v>865</v>
      </c>
      <c r="I976" s="68" t="s">
        <v>726</v>
      </c>
      <c r="J976" s="70" t="s">
        <v>760</v>
      </c>
      <c r="K976" s="2305" t="s">
        <v>2621</v>
      </c>
      <c r="L976" s="72">
        <v>42926</v>
      </c>
      <c r="M976" s="73" t="s">
        <v>729</v>
      </c>
      <c r="N976" s="74">
        <v>42933</v>
      </c>
      <c r="O976" s="75">
        <v>42933</v>
      </c>
      <c r="P976" s="2770" t="s">
        <v>2627</v>
      </c>
      <c r="Q976" s="2954">
        <v>0</v>
      </c>
      <c r="R976" s="76"/>
      <c r="S976" s="1945" t="s">
        <v>731</v>
      </c>
      <c r="T976" s="77" t="s">
        <v>2645</v>
      </c>
      <c r="U976" s="1893" t="s">
        <v>694</v>
      </c>
      <c r="V976" s="2079">
        <f t="shared" si="314"/>
        <v>0</v>
      </c>
      <c r="W976" s="78">
        <f t="shared" si="315"/>
        <v>0</v>
      </c>
      <c r="X976" s="1878" t="str">
        <f t="shared" si="313"/>
        <v>5.- R Falken 0550611-OT_237170  Reencauche G031-0023067 Rechazada</v>
      </c>
      <c r="Z976" s="19" t="str">
        <f t="shared" ref="Z976:Z982" si="322">CONCATENATE(I979,J979)</f>
        <v>ReencaucheReenc. MASTERCAUCHO</v>
      </c>
    </row>
    <row r="977" spans="2:26" ht="15.2" customHeight="1">
      <c r="B977" s="37"/>
      <c r="E977" s="79">
        <v>6</v>
      </c>
      <c r="F977" s="2575" t="s">
        <v>723</v>
      </c>
      <c r="G977" s="2576" t="s">
        <v>151</v>
      </c>
      <c r="H977" s="2577" t="s">
        <v>2619</v>
      </c>
      <c r="I977" s="2576" t="s">
        <v>726</v>
      </c>
      <c r="J977" s="2578" t="s">
        <v>760</v>
      </c>
      <c r="K977" s="2579" t="s">
        <v>2621</v>
      </c>
      <c r="L977" s="2580">
        <v>42926</v>
      </c>
      <c r="M977" s="2581" t="s">
        <v>729</v>
      </c>
      <c r="N977" s="2582">
        <v>42936</v>
      </c>
      <c r="O977" s="2583">
        <f>+N977</f>
        <v>42936</v>
      </c>
      <c r="P977" s="2771" t="s">
        <v>2644</v>
      </c>
      <c r="Q977" s="2957">
        <v>95.29</v>
      </c>
      <c r="R977" s="2584"/>
      <c r="S977" s="2585" t="s">
        <v>731</v>
      </c>
      <c r="T977" s="77"/>
      <c r="U977" s="1893" t="s">
        <v>694</v>
      </c>
      <c r="V977" s="2079">
        <f t="shared" si="314"/>
        <v>112.4422</v>
      </c>
      <c r="W977" s="78">
        <f t="shared" si="315"/>
        <v>0</v>
      </c>
      <c r="X977" s="1878" t="str">
        <f t="shared" si="313"/>
        <v xml:space="preserve">6.- R WindPower 0911215-OT_237170  Reencauche F101-00010142 </v>
      </c>
      <c r="Z977" s="19" t="str">
        <f t="shared" si="322"/>
        <v>ReencaucheReenc. MASTERCAUCHO</v>
      </c>
    </row>
    <row r="978" spans="2:26" ht="15.2" customHeight="1">
      <c r="B978" s="37"/>
      <c r="E978" s="2448">
        <v>1</v>
      </c>
      <c r="F978" s="2297" t="s">
        <v>732</v>
      </c>
      <c r="G978" s="68" t="s">
        <v>733</v>
      </c>
      <c r="H978" s="69" t="s">
        <v>847</v>
      </c>
      <c r="I978" s="68" t="s">
        <v>726</v>
      </c>
      <c r="J978" s="70" t="s">
        <v>727</v>
      </c>
      <c r="K978" s="2305" t="s">
        <v>2606</v>
      </c>
      <c r="L978" s="72">
        <v>42910</v>
      </c>
      <c r="M978" s="2306" t="s">
        <v>729</v>
      </c>
      <c r="N978" s="74">
        <v>42919</v>
      </c>
      <c r="O978" s="75">
        <f>+N978</f>
        <v>42919</v>
      </c>
      <c r="P978" s="2765" t="s">
        <v>2611</v>
      </c>
      <c r="Q978" s="2954"/>
      <c r="R978" s="76">
        <v>279.66000000000003</v>
      </c>
      <c r="S978" s="1945" t="s">
        <v>731</v>
      </c>
      <c r="T978" s="77"/>
      <c r="U978" s="2574"/>
      <c r="V978" s="2079">
        <f t="shared" si="314"/>
        <v>0</v>
      </c>
      <c r="W978" s="78">
        <f t="shared" si="315"/>
        <v>329.99880000000002</v>
      </c>
      <c r="X978" s="1878" t="str">
        <f t="shared" si="313"/>
        <v xml:space="preserve">1.- C Lima Caucho 1061208-OT_006816  Reencauche 0001-008522 </v>
      </c>
      <c r="Z978" s="19" t="str">
        <f t="shared" si="322"/>
        <v>Vulcanizado (curación)Reenc. MASTERCAUCHO</v>
      </c>
    </row>
    <row r="979" spans="2:26" ht="15.2" customHeight="1">
      <c r="B979" s="37"/>
      <c r="E979" s="2449">
        <v>2</v>
      </c>
      <c r="F979" s="2297" t="s">
        <v>732</v>
      </c>
      <c r="G979" s="68" t="s">
        <v>737</v>
      </c>
      <c r="H979" s="69" t="s">
        <v>1167</v>
      </c>
      <c r="I979" s="68" t="s">
        <v>726</v>
      </c>
      <c r="J979" s="70" t="s">
        <v>727</v>
      </c>
      <c r="K979" s="71" t="s">
        <v>2606</v>
      </c>
      <c r="L979" s="72">
        <v>42910</v>
      </c>
      <c r="M979" s="2306" t="s">
        <v>729</v>
      </c>
      <c r="N979" s="74">
        <v>42919</v>
      </c>
      <c r="O979" s="75">
        <f t="shared" ref="O979:O985" si="323">+N979</f>
        <v>42919</v>
      </c>
      <c r="P979" s="2765" t="s">
        <v>2611</v>
      </c>
      <c r="Q979" s="2954"/>
      <c r="R979" s="76">
        <v>279.66000000000003</v>
      </c>
      <c r="S979" s="1945" t="s">
        <v>731</v>
      </c>
      <c r="T979" s="77"/>
      <c r="U979" s="1893"/>
      <c r="V979" s="2079">
        <f t="shared" si="314"/>
        <v>0</v>
      </c>
      <c r="W979" s="78">
        <f t="shared" si="315"/>
        <v>329.99880000000002</v>
      </c>
      <c r="X979" s="1878" t="str">
        <f t="shared" si="313"/>
        <v xml:space="preserve">2.- C Vikrant 0270410-OT_006816  Reencauche 0001-008522 </v>
      </c>
      <c r="Z979" s="19" t="str">
        <f t="shared" si="322"/>
        <v>ReencaucheReenc. MASTERCAUCHO</v>
      </c>
    </row>
    <row r="980" spans="2:26" ht="15.2" customHeight="1">
      <c r="B980" s="37"/>
      <c r="E980" s="2449">
        <v>3</v>
      </c>
      <c r="F980" s="2297" t="s">
        <v>732</v>
      </c>
      <c r="G980" s="68" t="s">
        <v>737</v>
      </c>
      <c r="H980" s="69" t="s">
        <v>1423</v>
      </c>
      <c r="I980" s="68" t="s">
        <v>726</v>
      </c>
      <c r="J980" s="70" t="s">
        <v>727</v>
      </c>
      <c r="K980" s="71" t="s">
        <v>2606</v>
      </c>
      <c r="L980" s="72">
        <v>42910</v>
      </c>
      <c r="M980" s="2306" t="s">
        <v>729</v>
      </c>
      <c r="N980" s="74">
        <v>42919</v>
      </c>
      <c r="O980" s="75">
        <f t="shared" si="323"/>
        <v>42919</v>
      </c>
      <c r="P980" s="2765" t="s">
        <v>2611</v>
      </c>
      <c r="Q980" s="2954"/>
      <c r="R980" s="76">
        <v>279.66000000000003</v>
      </c>
      <c r="S980" s="1945" t="s">
        <v>731</v>
      </c>
      <c r="T980" s="77"/>
      <c r="U980" s="1893"/>
      <c r="V980" s="2079">
        <f t="shared" si="314"/>
        <v>0</v>
      </c>
      <c r="W980" s="78">
        <f t="shared" si="315"/>
        <v>329.99880000000002</v>
      </c>
      <c r="X980" s="1878" t="str">
        <f t="shared" si="313"/>
        <v xml:space="preserve">3.- C Vikrant 0440510-OT_006816  Reencauche 0001-008522 </v>
      </c>
      <c r="Z980" s="19" t="str">
        <f t="shared" si="322"/>
        <v>ReencaucheReenc. MASTERCAUCHO</v>
      </c>
    </row>
    <row r="981" spans="2:26" ht="15.2" customHeight="1">
      <c r="B981" s="37"/>
      <c r="E981" s="79">
        <v>4</v>
      </c>
      <c r="F981" s="2575" t="s">
        <v>732</v>
      </c>
      <c r="G981" s="2576" t="s">
        <v>733</v>
      </c>
      <c r="H981" s="2577" t="s">
        <v>1971</v>
      </c>
      <c r="I981" s="2576" t="s">
        <v>811</v>
      </c>
      <c r="J981" s="2578" t="s">
        <v>727</v>
      </c>
      <c r="K981" s="2579" t="s">
        <v>2606</v>
      </c>
      <c r="L981" s="2580">
        <v>42910</v>
      </c>
      <c r="M981" s="3132"/>
      <c r="N981" s="2582">
        <v>42922</v>
      </c>
      <c r="O981" s="2583">
        <f t="shared" si="323"/>
        <v>42922</v>
      </c>
      <c r="P981" s="2941" t="s">
        <v>2617</v>
      </c>
      <c r="Q981" s="2957"/>
      <c r="R981" s="2584">
        <v>84.745699999999999</v>
      </c>
      <c r="S981" s="2585" t="s">
        <v>731</v>
      </c>
      <c r="T981" s="77"/>
      <c r="U981" s="1893"/>
      <c r="V981" s="2079">
        <f t="shared" si="314"/>
        <v>0</v>
      </c>
      <c r="W981" s="78">
        <f t="shared" si="315"/>
        <v>99.999925999999988</v>
      </c>
      <c r="X981" s="1878" t="str">
        <f t="shared" si="313"/>
        <v xml:space="preserve">4.- C Lima Caucho 0230207-OT_006816  Vulcanizado (curación) 0001-008550 </v>
      </c>
      <c r="Z981" s="19" t="str">
        <f t="shared" si="322"/>
        <v>ReencaucheReenc. MASTERCAUCHO</v>
      </c>
    </row>
    <row r="982" spans="2:26" ht="15.2" customHeight="1">
      <c r="B982" s="37"/>
      <c r="E982" s="2449">
        <v>1</v>
      </c>
      <c r="F982" s="2297" t="s">
        <v>723</v>
      </c>
      <c r="G982" s="68" t="s">
        <v>2533</v>
      </c>
      <c r="H982" s="69" t="s">
        <v>2600</v>
      </c>
      <c r="I982" s="68" t="s">
        <v>726</v>
      </c>
      <c r="J982" s="70" t="s">
        <v>727</v>
      </c>
      <c r="K982" s="2305" t="s">
        <v>2601</v>
      </c>
      <c r="L982" s="72">
        <v>42906</v>
      </c>
      <c r="M982" s="2306" t="s">
        <v>729</v>
      </c>
      <c r="N982" s="74">
        <v>42910</v>
      </c>
      <c r="O982" s="75">
        <f t="shared" si="323"/>
        <v>42910</v>
      </c>
      <c r="P982" s="2765" t="s">
        <v>2604</v>
      </c>
      <c r="Q982" s="2954"/>
      <c r="R982" s="76">
        <v>262.71190000000001</v>
      </c>
      <c r="S982" s="1945" t="s">
        <v>731</v>
      </c>
      <c r="T982" s="77"/>
      <c r="U982" s="1893"/>
      <c r="V982" s="2079">
        <f t="shared" si="314"/>
        <v>0</v>
      </c>
      <c r="W982" s="78">
        <f t="shared" si="315"/>
        <v>310.00004200000001</v>
      </c>
      <c r="X982" s="1878" t="str">
        <f t="shared" si="313"/>
        <v xml:space="preserve">1.- R Stellmark DOT-3413-OT_006807  Reencauche 0001-008425 </v>
      </c>
      <c r="Z982" s="19" t="str">
        <f t="shared" si="322"/>
        <v>ReencaucheReenc. MASTERCAUCHO</v>
      </c>
    </row>
    <row r="983" spans="2:26" ht="15.2" customHeight="1">
      <c r="B983" s="37"/>
      <c r="E983" s="177">
        <v>2</v>
      </c>
      <c r="F983" s="2450" t="s">
        <v>723</v>
      </c>
      <c r="G983" s="179" t="s">
        <v>2571</v>
      </c>
      <c r="H983" s="180" t="s">
        <v>2599</v>
      </c>
      <c r="I983" s="179" t="s">
        <v>726</v>
      </c>
      <c r="J983" s="181" t="s">
        <v>727</v>
      </c>
      <c r="K983" s="182" t="s">
        <v>2601</v>
      </c>
      <c r="L983" s="183">
        <v>42906</v>
      </c>
      <c r="M983" s="2461" t="s">
        <v>729</v>
      </c>
      <c r="N983" s="185">
        <v>42910</v>
      </c>
      <c r="O983" s="186">
        <f t="shared" si="323"/>
        <v>42910</v>
      </c>
      <c r="P983" s="2772" t="s">
        <v>2603</v>
      </c>
      <c r="Q983" s="2964"/>
      <c r="R983" s="187">
        <v>0</v>
      </c>
      <c r="S983" s="1952" t="s">
        <v>731</v>
      </c>
      <c r="T983" s="77" t="s">
        <v>2602</v>
      </c>
      <c r="U983" s="1893"/>
      <c r="V983" s="2079">
        <f t="shared" si="314"/>
        <v>0</v>
      </c>
      <c r="W983" s="78">
        <f t="shared" si="315"/>
        <v>0</v>
      </c>
      <c r="X983" s="1878" t="str">
        <f t="shared" si="313"/>
        <v>2.- R Continental DOT-1312-OT_006807  Reencauche G0001-002702 Rechazado, G0001-002702</v>
      </c>
      <c r="Z983" s="19" t="str">
        <f t="shared" si="321"/>
        <v>ReencaucheReenc. MASTERCAUCHO</v>
      </c>
    </row>
    <row r="984" spans="2:26" ht="15.2" customHeight="1">
      <c r="B984" s="37"/>
      <c r="E984" s="2449">
        <v>3</v>
      </c>
      <c r="F984" s="2297" t="s">
        <v>732</v>
      </c>
      <c r="G984" s="68" t="s">
        <v>733</v>
      </c>
      <c r="H984" s="69" t="s">
        <v>1613</v>
      </c>
      <c r="I984" s="68" t="s">
        <v>726</v>
      </c>
      <c r="J984" s="70" t="s">
        <v>727</v>
      </c>
      <c r="K984" s="71" t="s">
        <v>2601</v>
      </c>
      <c r="L984" s="72">
        <v>42906</v>
      </c>
      <c r="M984" s="2306" t="s">
        <v>729</v>
      </c>
      <c r="N984" s="74">
        <v>42910</v>
      </c>
      <c r="O984" s="75">
        <f t="shared" si="323"/>
        <v>42910</v>
      </c>
      <c r="P984" s="2765" t="s">
        <v>2604</v>
      </c>
      <c r="Q984" s="2954"/>
      <c r="R984" s="76">
        <v>279.66000000000003</v>
      </c>
      <c r="S984" s="1945" t="s">
        <v>731</v>
      </c>
      <c r="T984" s="77"/>
      <c r="U984" s="1893"/>
      <c r="V984" s="2079">
        <f t="shared" si="314"/>
        <v>0</v>
      </c>
      <c r="W984" s="78">
        <f t="shared" si="315"/>
        <v>329.99880000000002</v>
      </c>
      <c r="X984" s="1878" t="str">
        <f t="shared" si="313"/>
        <v xml:space="preserve">3.- C Lima Caucho 1311207-OT_006807  Reencauche 0001-008425 </v>
      </c>
      <c r="Z984" s="19" t="str">
        <f t="shared" si="321"/>
        <v>Vulcanizado (curación)Reenc. MASTERCAUCHO</v>
      </c>
    </row>
    <row r="985" spans="2:26" ht="15.2" customHeight="1">
      <c r="B985" s="37"/>
      <c r="E985" s="2449">
        <v>4</v>
      </c>
      <c r="F985" s="2297" t="s">
        <v>732</v>
      </c>
      <c r="G985" s="68" t="s">
        <v>737</v>
      </c>
      <c r="H985" s="69" t="s">
        <v>1282</v>
      </c>
      <c r="I985" s="68" t="s">
        <v>726</v>
      </c>
      <c r="J985" s="70" t="s">
        <v>727</v>
      </c>
      <c r="K985" s="71" t="s">
        <v>2601</v>
      </c>
      <c r="L985" s="72">
        <v>42906</v>
      </c>
      <c r="M985" s="2306" t="s">
        <v>729</v>
      </c>
      <c r="N985" s="74">
        <v>42910</v>
      </c>
      <c r="O985" s="75">
        <f t="shared" si="323"/>
        <v>42910</v>
      </c>
      <c r="P985" s="2765" t="s">
        <v>2604</v>
      </c>
      <c r="Q985" s="2954"/>
      <c r="R985" s="76">
        <v>279.66000000000003</v>
      </c>
      <c r="S985" s="1945" t="s">
        <v>731</v>
      </c>
      <c r="T985" s="77"/>
      <c r="U985" s="1893"/>
      <c r="V985" s="2079">
        <f t="shared" si="314"/>
        <v>0</v>
      </c>
      <c r="W985" s="78">
        <f t="shared" si="315"/>
        <v>329.99880000000002</v>
      </c>
      <c r="X985" s="1878" t="str">
        <f t="shared" si="313"/>
        <v xml:space="preserve">4.- C Vikrant 0140310-OT_006807  Reencauche 0001-008425 </v>
      </c>
      <c r="Z985" s="19" t="str">
        <f t="shared" si="321"/>
        <v>Intercnb/ReencReenc. MASTERCAUCHO</v>
      </c>
    </row>
    <row r="986" spans="2:26" ht="15.2" customHeight="1">
      <c r="B986" s="37"/>
      <c r="E986" s="79">
        <v>5</v>
      </c>
      <c r="F986" s="2294" t="s">
        <v>732</v>
      </c>
      <c r="G986" s="81" t="s">
        <v>733</v>
      </c>
      <c r="H986" s="82" t="s">
        <v>1132</v>
      </c>
      <c r="I986" s="81" t="s">
        <v>726</v>
      </c>
      <c r="J986" s="83" t="s">
        <v>727</v>
      </c>
      <c r="K986" s="84" t="s">
        <v>2601</v>
      </c>
      <c r="L986" s="85">
        <v>42906</v>
      </c>
      <c r="M986" s="2296" t="s">
        <v>729</v>
      </c>
      <c r="N986" s="87">
        <v>42910</v>
      </c>
      <c r="O986" s="88">
        <f>+N986</f>
        <v>42910</v>
      </c>
      <c r="P986" s="2766" t="s">
        <v>2604</v>
      </c>
      <c r="Q986" s="2955"/>
      <c r="R986" s="89">
        <v>279.66000000000003</v>
      </c>
      <c r="S986" s="1946" t="s">
        <v>731</v>
      </c>
      <c r="T986" s="2588"/>
      <c r="U986" s="1893"/>
      <c r="V986" s="2079">
        <f t="shared" si="314"/>
        <v>0</v>
      </c>
      <c r="W986" s="78">
        <f t="shared" si="315"/>
        <v>329.99880000000002</v>
      </c>
      <c r="X986" s="1878" t="str">
        <f t="shared" si="313"/>
        <v xml:space="preserve">5.- C Lima Caucho 0620808-OT_006807  Reencauche 0001-008425 </v>
      </c>
      <c r="Z986" s="19" t="str">
        <f t="shared" ref="Z986:Z991" si="324">CONCATENATE(I989,J989)</f>
        <v>ReencaucheReenc. MASTERCAUCHO</v>
      </c>
    </row>
    <row r="987" spans="2:26" ht="15.2" customHeight="1">
      <c r="B987" s="37"/>
      <c r="E987" s="2448">
        <v>1</v>
      </c>
      <c r="F987" s="2297" t="s">
        <v>723</v>
      </c>
      <c r="G987" s="68" t="s">
        <v>825</v>
      </c>
      <c r="H987" s="69" t="s">
        <v>879</v>
      </c>
      <c r="I987" s="68" t="s">
        <v>811</v>
      </c>
      <c r="J987" s="70" t="s">
        <v>727</v>
      </c>
      <c r="K987" s="71" t="s">
        <v>2582</v>
      </c>
      <c r="L987" s="72">
        <v>42896</v>
      </c>
      <c r="M987" s="2306" t="s">
        <v>729</v>
      </c>
      <c r="N987" s="74">
        <v>42903</v>
      </c>
      <c r="O987" s="75">
        <f t="shared" ref="O987:O992" si="325">+N987</f>
        <v>42903</v>
      </c>
      <c r="P987" s="2765" t="s">
        <v>2595</v>
      </c>
      <c r="Q987" s="2954"/>
      <c r="R987" s="76">
        <v>84.745699999999999</v>
      </c>
      <c r="S987" s="1945" t="s">
        <v>731</v>
      </c>
      <c r="T987" s="77"/>
      <c r="U987" s="1893"/>
      <c r="V987" s="2079">
        <f t="shared" si="314"/>
        <v>0</v>
      </c>
      <c r="W987" s="78">
        <f t="shared" si="315"/>
        <v>99.999925999999988</v>
      </c>
      <c r="X987" s="1878" t="str">
        <f t="shared" si="313"/>
        <v xml:space="preserve">1.- R Falken 0520611-OT_005944  Vulcanizado (curación) 0001-008397 </v>
      </c>
      <c r="Z987" s="19" t="str">
        <f t="shared" si="324"/>
        <v>ReencaucheReenc. MASTERCAUCHO</v>
      </c>
    </row>
    <row r="988" spans="2:26" ht="15.2" customHeight="1">
      <c r="B988" s="37"/>
      <c r="E988" s="177">
        <v>2</v>
      </c>
      <c r="F988" s="2450" t="s">
        <v>723</v>
      </c>
      <c r="G988" s="179" t="s">
        <v>2579</v>
      </c>
      <c r="H988" s="180" t="s">
        <v>2580</v>
      </c>
      <c r="I988" s="179" t="s">
        <v>2581</v>
      </c>
      <c r="J988" s="181" t="s">
        <v>727</v>
      </c>
      <c r="K988" s="182" t="s">
        <v>2582</v>
      </c>
      <c r="L988" s="183">
        <v>42896</v>
      </c>
      <c r="M988" s="2461" t="s">
        <v>729</v>
      </c>
      <c r="N988" s="185">
        <v>42903</v>
      </c>
      <c r="O988" s="186">
        <f t="shared" si="325"/>
        <v>42903</v>
      </c>
      <c r="P988" s="2772" t="s">
        <v>2598</v>
      </c>
      <c r="Q988" s="2964"/>
      <c r="R988" s="187">
        <v>0</v>
      </c>
      <c r="S988" s="1952" t="s">
        <v>731</v>
      </c>
      <c r="T988" s="77" t="s">
        <v>2596</v>
      </c>
      <c r="U988" s="1893"/>
      <c r="V988" s="2079">
        <f t="shared" si="314"/>
        <v>0</v>
      </c>
      <c r="W988" s="78">
        <f t="shared" si="315"/>
        <v>0</v>
      </c>
      <c r="X988" s="1878" t="str">
        <f t="shared" si="313"/>
        <v>2.- R Antire 8020217-OT_005944  Intercnb/Reenc G0001-002680 Rechazado, G0001-002680Antire_8020217-12R22.5</v>
      </c>
      <c r="Z988" s="19" t="str">
        <f t="shared" si="324"/>
        <v>ReencaucheReenc. MASTERCAUCHO</v>
      </c>
    </row>
    <row r="989" spans="2:26" ht="15.2" customHeight="1">
      <c r="B989" s="37"/>
      <c r="E989" s="2418">
        <v>3</v>
      </c>
      <c r="F989" s="2297" t="s">
        <v>732</v>
      </c>
      <c r="G989" s="68" t="s">
        <v>737</v>
      </c>
      <c r="H989" s="69" t="s">
        <v>1040</v>
      </c>
      <c r="I989" s="68" t="s">
        <v>726</v>
      </c>
      <c r="J989" s="70" t="s">
        <v>727</v>
      </c>
      <c r="K989" s="71" t="s">
        <v>2582</v>
      </c>
      <c r="L989" s="72">
        <v>42896</v>
      </c>
      <c r="M989" s="2306" t="s">
        <v>729</v>
      </c>
      <c r="N989" s="74">
        <v>42903</v>
      </c>
      <c r="O989" s="75">
        <f t="shared" si="325"/>
        <v>42903</v>
      </c>
      <c r="P989" s="2765" t="s">
        <v>2595</v>
      </c>
      <c r="Q989" s="2954"/>
      <c r="R989" s="76">
        <v>279.66000000000003</v>
      </c>
      <c r="S989" s="1945" t="s">
        <v>731</v>
      </c>
      <c r="T989" s="77"/>
      <c r="U989" s="1893"/>
      <c r="V989" s="2079">
        <f t="shared" si="314"/>
        <v>0</v>
      </c>
      <c r="W989" s="78">
        <f t="shared" si="315"/>
        <v>329.99880000000002</v>
      </c>
      <c r="X989" s="1878" t="str">
        <f t="shared" si="313"/>
        <v xml:space="preserve">3.- C Vikrant 0320211-OT_005944  Reencauche 0001-008397 </v>
      </c>
      <c r="Z989" s="19" t="str">
        <f t="shared" si="324"/>
        <v>ReencaucheReenc. MASTERCAUCHO</v>
      </c>
    </row>
    <row r="990" spans="2:26" ht="15.2" customHeight="1">
      <c r="B990" s="37"/>
      <c r="E990" s="2418">
        <v>4</v>
      </c>
      <c r="F990" s="2297" t="s">
        <v>732</v>
      </c>
      <c r="G990" s="68" t="s">
        <v>733</v>
      </c>
      <c r="H990" s="69" t="s">
        <v>753</v>
      </c>
      <c r="I990" s="68" t="s">
        <v>726</v>
      </c>
      <c r="J990" s="70" t="s">
        <v>727</v>
      </c>
      <c r="K990" s="71" t="s">
        <v>2582</v>
      </c>
      <c r="L990" s="72">
        <v>42896</v>
      </c>
      <c r="M990" s="2306" t="s">
        <v>729</v>
      </c>
      <c r="N990" s="74">
        <v>42903</v>
      </c>
      <c r="O990" s="75">
        <f t="shared" si="325"/>
        <v>42903</v>
      </c>
      <c r="P990" s="2765" t="s">
        <v>2595</v>
      </c>
      <c r="Q990" s="2954"/>
      <c r="R990" s="76">
        <v>279.66000000000003</v>
      </c>
      <c r="S990" s="1945" t="s">
        <v>731</v>
      </c>
      <c r="T990" s="77"/>
      <c r="U990" s="1893"/>
      <c r="V990" s="2079">
        <f t="shared" si="314"/>
        <v>0</v>
      </c>
      <c r="W990" s="78">
        <f t="shared" si="315"/>
        <v>329.99880000000002</v>
      </c>
      <c r="X990" s="1878" t="str">
        <f t="shared" si="313"/>
        <v xml:space="preserve">4.- C Lima Caucho 0950908-OT_005944  Reencauche 0001-008397 </v>
      </c>
      <c r="Z990" s="19" t="str">
        <f t="shared" si="324"/>
        <v>ReencaucheReenc. MASTERCAUCHO</v>
      </c>
    </row>
    <row r="991" spans="2:26" ht="15.2" customHeight="1">
      <c r="B991" s="37"/>
      <c r="E991" s="2418">
        <v>5</v>
      </c>
      <c r="F991" s="2297" t="s">
        <v>732</v>
      </c>
      <c r="G991" s="68" t="s">
        <v>733</v>
      </c>
      <c r="H991" s="69" t="s">
        <v>1734</v>
      </c>
      <c r="I991" s="68" t="s">
        <v>726</v>
      </c>
      <c r="J991" s="70" t="s">
        <v>727</v>
      </c>
      <c r="K991" s="71" t="s">
        <v>2582</v>
      </c>
      <c r="L991" s="72">
        <v>42896</v>
      </c>
      <c r="M991" s="2306" t="s">
        <v>729</v>
      </c>
      <c r="N991" s="74">
        <v>42903</v>
      </c>
      <c r="O991" s="75">
        <f t="shared" si="325"/>
        <v>42903</v>
      </c>
      <c r="P991" s="2765" t="s">
        <v>2595</v>
      </c>
      <c r="Q991" s="2954"/>
      <c r="R991" s="76">
        <v>279.66000000000003</v>
      </c>
      <c r="S991" s="1945" t="s">
        <v>731</v>
      </c>
      <c r="T991" s="77"/>
      <c r="U991" s="1893"/>
      <c r="V991" s="2079">
        <f t="shared" si="314"/>
        <v>0</v>
      </c>
      <c r="W991" s="78">
        <f t="shared" si="315"/>
        <v>329.99880000000002</v>
      </c>
      <c r="X991" s="1878" t="str">
        <f t="shared" si="313"/>
        <v xml:space="preserve">5.- C Lima Caucho 0720808-OT_005944  Reencauche 0001-008397 </v>
      </c>
      <c r="Z991" s="19" t="str">
        <f t="shared" si="324"/>
        <v>ReencaucheReenc. MASTERCAUCHO</v>
      </c>
    </row>
    <row r="992" spans="2:26" ht="15.2" customHeight="1">
      <c r="B992" s="37"/>
      <c r="E992" s="79">
        <v>6</v>
      </c>
      <c r="F992" s="2294" t="s">
        <v>732</v>
      </c>
      <c r="G992" s="81" t="s">
        <v>733</v>
      </c>
      <c r="H992" s="82" t="s">
        <v>1361</v>
      </c>
      <c r="I992" s="81" t="s">
        <v>726</v>
      </c>
      <c r="J992" s="83" t="s">
        <v>727</v>
      </c>
      <c r="K992" s="2295" t="s">
        <v>2582</v>
      </c>
      <c r="L992" s="85">
        <v>42896</v>
      </c>
      <c r="M992" s="2296" t="s">
        <v>729</v>
      </c>
      <c r="N992" s="87">
        <v>42903</v>
      </c>
      <c r="O992" s="88">
        <f t="shared" si="325"/>
        <v>42903</v>
      </c>
      <c r="P992" s="2766" t="s">
        <v>2598</v>
      </c>
      <c r="Q992" s="2955"/>
      <c r="R992" s="89">
        <v>0</v>
      </c>
      <c r="S992" s="1946" t="s">
        <v>731</v>
      </c>
      <c r="T992" s="77" t="s">
        <v>2597</v>
      </c>
      <c r="U992" s="1893"/>
      <c r="V992" s="2079">
        <f t="shared" si="314"/>
        <v>0</v>
      </c>
      <c r="W992" s="78">
        <f t="shared" si="315"/>
        <v>0</v>
      </c>
      <c r="X992" s="1878" t="str">
        <f t="shared" si="313"/>
        <v>6.- C Lima Caucho 0570610-OT_005944  Reencauche G0001-002680 Rechazado, G0001-002680</v>
      </c>
      <c r="Z992" s="19" t="str">
        <f t="shared" ref="Z992:Z998" si="326">CONCATENATE(I995,J995)</f>
        <v>ReencaucheReenc. MASTERCAUCHO</v>
      </c>
    </row>
    <row r="993" spans="2:26" ht="15.2" customHeight="1">
      <c r="B993" s="37"/>
      <c r="E993" s="2418">
        <v>1</v>
      </c>
      <c r="F993" s="2297" t="s">
        <v>723</v>
      </c>
      <c r="G993" s="68" t="s">
        <v>2533</v>
      </c>
      <c r="H993" s="69" t="s">
        <v>2576</v>
      </c>
      <c r="I993" s="68" t="s">
        <v>726</v>
      </c>
      <c r="J993" s="70" t="s">
        <v>727</v>
      </c>
      <c r="K993" s="2305" t="s">
        <v>2577</v>
      </c>
      <c r="L993" s="72">
        <v>42893</v>
      </c>
      <c r="M993" s="2306" t="s">
        <v>729</v>
      </c>
      <c r="N993" s="74">
        <v>42896</v>
      </c>
      <c r="O993" s="75">
        <f>+N993</f>
        <v>42896</v>
      </c>
      <c r="P993" s="2765" t="s">
        <v>2583</v>
      </c>
      <c r="Q993" s="2954"/>
      <c r="R993" s="76">
        <v>262.71190000000001</v>
      </c>
      <c r="S993" s="1945" t="s">
        <v>731</v>
      </c>
      <c r="T993" s="77"/>
      <c r="U993" s="1893"/>
      <c r="V993" s="2079">
        <f t="shared" si="314"/>
        <v>0</v>
      </c>
      <c r="W993" s="78">
        <f t="shared" si="315"/>
        <v>310.00004200000001</v>
      </c>
      <c r="X993" s="1878" t="str">
        <f t="shared" si="313"/>
        <v xml:space="preserve">1.- R Stellmark DOT7212-OT_005942  Reencauche 0001-008376 </v>
      </c>
      <c r="Z993" s="19" t="str">
        <f t="shared" si="326"/>
        <v>ReencaucheReenc. MASTERCAUCHO</v>
      </c>
    </row>
    <row r="994" spans="2:26" ht="15.2" customHeight="1">
      <c r="B994" s="37"/>
      <c r="E994" s="2418">
        <v>2</v>
      </c>
      <c r="F994" s="2297" t="s">
        <v>732</v>
      </c>
      <c r="G994" s="68" t="s">
        <v>737</v>
      </c>
      <c r="H994" s="69" t="s">
        <v>1289</v>
      </c>
      <c r="I994" s="68" t="s">
        <v>726</v>
      </c>
      <c r="J994" s="70" t="s">
        <v>727</v>
      </c>
      <c r="K994" s="71" t="s">
        <v>2577</v>
      </c>
      <c r="L994" s="72">
        <v>42893</v>
      </c>
      <c r="M994" s="2306" t="s">
        <v>729</v>
      </c>
      <c r="N994" s="74">
        <v>42896</v>
      </c>
      <c r="O994" s="75">
        <f>+N994</f>
        <v>42896</v>
      </c>
      <c r="P994" s="2765" t="s">
        <v>2583</v>
      </c>
      <c r="Q994" s="2954"/>
      <c r="R994" s="76">
        <v>279.66000000000003</v>
      </c>
      <c r="S994" s="1945" t="s">
        <v>731</v>
      </c>
      <c r="T994" s="77"/>
      <c r="U994" s="1893"/>
      <c r="V994" s="2079">
        <f t="shared" si="314"/>
        <v>0</v>
      </c>
      <c r="W994" s="78">
        <f t="shared" si="315"/>
        <v>329.99880000000002</v>
      </c>
      <c r="X994" s="1878" t="str">
        <f t="shared" ref="X994:X1057" si="327">CONCATENATE(E994,".- ",F994," ",G994," ",H994,"-OT_",K994," "," ",I994," ",P994," ",T994)</f>
        <v xml:space="preserve">2.- C Vikrant 0420506-OT_005942  Reencauche 0001-008376 </v>
      </c>
      <c r="Z994" s="19" t="str">
        <f t="shared" si="326"/>
        <v>ReencaucheReenc. MASTERCAUCHO</v>
      </c>
    </row>
    <row r="995" spans="2:26" ht="15.2" customHeight="1">
      <c r="B995" s="37"/>
      <c r="E995" s="2447">
        <v>3</v>
      </c>
      <c r="F995" s="2297" t="s">
        <v>732</v>
      </c>
      <c r="G995" s="68" t="s">
        <v>733</v>
      </c>
      <c r="H995" s="69" t="s">
        <v>806</v>
      </c>
      <c r="I995" s="68" t="s">
        <v>726</v>
      </c>
      <c r="J995" s="70" t="s">
        <v>727</v>
      </c>
      <c r="K995" s="71" t="s">
        <v>2577</v>
      </c>
      <c r="L995" s="72">
        <v>42893</v>
      </c>
      <c r="M995" s="2306" t="s">
        <v>729</v>
      </c>
      <c r="N995" s="74">
        <v>42896</v>
      </c>
      <c r="O995" s="75">
        <f t="shared" ref="O995:O1001" si="328">+N995</f>
        <v>42896</v>
      </c>
      <c r="P995" s="2765" t="s">
        <v>2583</v>
      </c>
      <c r="Q995" s="2954"/>
      <c r="R995" s="76">
        <v>279.66000000000003</v>
      </c>
      <c r="S995" s="1945" t="s">
        <v>731</v>
      </c>
      <c r="T995" s="77"/>
      <c r="U995" s="1893"/>
      <c r="V995" s="2079">
        <f t="shared" ref="V995:V1058" si="329">+Q995*(1.18)</f>
        <v>0</v>
      </c>
      <c r="W995" s="78">
        <f t="shared" ref="W995:W1058" si="330">+R995*(1.18)</f>
        <v>329.99880000000002</v>
      </c>
      <c r="X995" s="1878" t="str">
        <f t="shared" si="327"/>
        <v xml:space="preserve">3.- C Lima Caucho 0840908-OT_005942  Reencauche 0001-008376 </v>
      </c>
      <c r="Z995" s="19" t="str">
        <f t="shared" si="326"/>
        <v>Transpl BandaReenc. MASTERCAUCHO</v>
      </c>
    </row>
    <row r="996" spans="2:26" ht="15.2" customHeight="1">
      <c r="B996" s="37"/>
      <c r="E996" s="2447">
        <v>4</v>
      </c>
      <c r="F996" s="2297" t="s">
        <v>732</v>
      </c>
      <c r="G996" s="68" t="s">
        <v>733</v>
      </c>
      <c r="H996" s="69" t="s">
        <v>1160</v>
      </c>
      <c r="I996" s="68" t="s">
        <v>726</v>
      </c>
      <c r="J996" s="70" t="s">
        <v>727</v>
      </c>
      <c r="K996" s="71" t="s">
        <v>2577</v>
      </c>
      <c r="L996" s="72">
        <v>42893</v>
      </c>
      <c r="M996" s="2306" t="s">
        <v>729</v>
      </c>
      <c r="N996" s="74">
        <v>42896</v>
      </c>
      <c r="O996" s="75">
        <f t="shared" si="328"/>
        <v>42896</v>
      </c>
      <c r="P996" s="2765" t="s">
        <v>2583</v>
      </c>
      <c r="Q996" s="2954"/>
      <c r="R996" s="76">
        <v>279.66000000000003</v>
      </c>
      <c r="S996" s="1945" t="s">
        <v>731</v>
      </c>
      <c r="T996" s="77"/>
      <c r="U996" s="1893"/>
      <c r="V996" s="2079">
        <f t="shared" si="329"/>
        <v>0</v>
      </c>
      <c r="W996" s="78">
        <f t="shared" si="330"/>
        <v>329.99880000000002</v>
      </c>
      <c r="X996" s="1878" t="str">
        <f t="shared" si="327"/>
        <v xml:space="preserve">4.- C Lima Caucho 0931010-OT_005942  Reencauche 0001-008376 </v>
      </c>
      <c r="Z996" s="19" t="str">
        <f t="shared" si="326"/>
        <v>Sacar_BandaReenc. MASTERCAUCHO</v>
      </c>
    </row>
    <row r="997" spans="2:26" ht="15.2" customHeight="1">
      <c r="B997" s="37"/>
      <c r="E997" s="2447">
        <v>5</v>
      </c>
      <c r="F997" s="2297" t="s">
        <v>732</v>
      </c>
      <c r="G997" s="68" t="s">
        <v>737</v>
      </c>
      <c r="H997" s="69" t="s">
        <v>1340</v>
      </c>
      <c r="I997" s="68" t="s">
        <v>726</v>
      </c>
      <c r="J997" s="70" t="s">
        <v>727</v>
      </c>
      <c r="K997" s="71" t="s">
        <v>2577</v>
      </c>
      <c r="L997" s="72">
        <v>42893</v>
      </c>
      <c r="M997" s="2306" t="s">
        <v>729</v>
      </c>
      <c r="N997" s="74">
        <v>42896</v>
      </c>
      <c r="O997" s="75">
        <f t="shared" si="328"/>
        <v>42896</v>
      </c>
      <c r="P997" s="2765" t="s">
        <v>2583</v>
      </c>
      <c r="Q997" s="2954"/>
      <c r="R997" s="76">
        <v>279.66000000000003</v>
      </c>
      <c r="S997" s="1945" t="s">
        <v>731</v>
      </c>
      <c r="T997" s="77"/>
      <c r="U997" s="1893"/>
      <c r="V997" s="2079">
        <f t="shared" si="329"/>
        <v>0</v>
      </c>
      <c r="W997" s="78">
        <f t="shared" si="330"/>
        <v>329.99880000000002</v>
      </c>
      <c r="X997" s="1878" t="str">
        <f t="shared" si="327"/>
        <v xml:space="preserve">5.- C Vikrant 0060111-OT_005942  Reencauche 0001-008376 </v>
      </c>
      <c r="Z997" s="19" t="str">
        <f t="shared" si="326"/>
        <v>ReencaucheReencauchadora RENOVA</v>
      </c>
    </row>
    <row r="998" spans="2:26" ht="15.2" customHeight="1">
      <c r="B998" s="37"/>
      <c r="E998" s="2447">
        <v>6</v>
      </c>
      <c r="F998" s="2297" t="s">
        <v>732</v>
      </c>
      <c r="G998" s="68" t="s">
        <v>1108</v>
      </c>
      <c r="H998" s="69" t="s">
        <v>2578</v>
      </c>
      <c r="I998" s="68" t="s">
        <v>740</v>
      </c>
      <c r="J998" s="70" t="s">
        <v>727</v>
      </c>
      <c r="K998" s="71" t="s">
        <v>2577</v>
      </c>
      <c r="L998" s="72">
        <v>42893</v>
      </c>
      <c r="M998" s="2306" t="s">
        <v>729</v>
      </c>
      <c r="N998" s="74">
        <v>42896</v>
      </c>
      <c r="O998" s="75">
        <f t="shared" si="328"/>
        <v>42896</v>
      </c>
      <c r="P998" s="2765" t="s">
        <v>2583</v>
      </c>
      <c r="Q998" s="2954"/>
      <c r="R998" s="76">
        <v>127.12</v>
      </c>
      <c r="S998" s="1945" t="s">
        <v>731</v>
      </c>
      <c r="T998" s="77"/>
      <c r="U998" s="1893"/>
      <c r="V998" s="2079">
        <f t="shared" si="329"/>
        <v>0</v>
      </c>
      <c r="W998" s="78">
        <f t="shared" si="330"/>
        <v>150.0016</v>
      </c>
      <c r="X998" s="1878" t="str">
        <f t="shared" si="327"/>
        <v xml:space="preserve">6.- C Hankook 0530365-OT_005942  Transpl Banda 0001-008376 </v>
      </c>
      <c r="Z998" s="19" t="str">
        <f t="shared" si="326"/>
        <v>ReencaucheReencauchadora RENOVA</v>
      </c>
    </row>
    <row r="999" spans="2:26" ht="15.2" customHeight="1">
      <c r="B999" s="37"/>
      <c r="E999" s="79">
        <v>7</v>
      </c>
      <c r="F999" s="2294" t="s">
        <v>732</v>
      </c>
      <c r="G999" s="81" t="s">
        <v>733</v>
      </c>
      <c r="H999" s="82" t="s">
        <v>890</v>
      </c>
      <c r="I999" s="81" t="s">
        <v>744</v>
      </c>
      <c r="J999" s="83" t="s">
        <v>727</v>
      </c>
      <c r="K999" s="84" t="s">
        <v>2577</v>
      </c>
      <c r="L999" s="85">
        <v>42893</v>
      </c>
      <c r="M999" s="2296" t="s">
        <v>729</v>
      </c>
      <c r="N999" s="87">
        <v>42896</v>
      </c>
      <c r="O999" s="88">
        <f t="shared" si="328"/>
        <v>42896</v>
      </c>
      <c r="P999" s="2766" t="s">
        <v>2584</v>
      </c>
      <c r="Q999" s="2955"/>
      <c r="R999" s="89">
        <v>0</v>
      </c>
      <c r="S999" s="1946" t="s">
        <v>731</v>
      </c>
      <c r="T999" s="1875" t="s">
        <v>2585</v>
      </c>
      <c r="U999" s="1893"/>
      <c r="V999" s="2079">
        <f t="shared" si="329"/>
        <v>0</v>
      </c>
      <c r="W999" s="78">
        <f t="shared" si="330"/>
        <v>0</v>
      </c>
      <c r="X999" s="1878" t="str">
        <f t="shared" si="327"/>
        <v>7.- C Lima Caucho 0470707-OT_005942  Sacar_Banda G0001-002670 Rechazado, G0001-002670</v>
      </c>
      <c r="Z999" s="19" t="str">
        <f t="shared" ref="Z999:Z1008" si="331">CONCATENATE(I1002,J1002)</f>
        <v>ReencaucheReencauchadora RENOVA</v>
      </c>
    </row>
    <row r="1000" spans="2:26" ht="15.2" customHeight="1">
      <c r="B1000" s="37"/>
      <c r="E1000" s="2447">
        <v>1</v>
      </c>
      <c r="F1000" s="2297" t="s">
        <v>723</v>
      </c>
      <c r="G1000" s="68" t="s">
        <v>247</v>
      </c>
      <c r="H1000" s="69" t="s">
        <v>2572</v>
      </c>
      <c r="I1000" s="68" t="s">
        <v>726</v>
      </c>
      <c r="J1000" s="70" t="s">
        <v>760</v>
      </c>
      <c r="K1000" s="2305" t="s">
        <v>2574</v>
      </c>
      <c r="L1000" s="72">
        <v>42893</v>
      </c>
      <c r="M1000" s="73" t="s">
        <v>729</v>
      </c>
      <c r="N1000" s="74">
        <v>42901</v>
      </c>
      <c r="O1000" s="75">
        <f t="shared" si="328"/>
        <v>42901</v>
      </c>
      <c r="P1000" s="2773" t="s">
        <v>2588</v>
      </c>
      <c r="Q1000" s="2954">
        <v>96.34</v>
      </c>
      <c r="R1000" s="76"/>
      <c r="S1000" s="1945" t="s">
        <v>731</v>
      </c>
      <c r="T1000" s="77" t="s">
        <v>2594</v>
      </c>
      <c r="U1000" s="1893"/>
      <c r="V1000" s="2079">
        <f t="shared" si="329"/>
        <v>113.6812</v>
      </c>
      <c r="W1000" s="78">
        <f t="shared" si="330"/>
        <v>0</v>
      </c>
      <c r="X1000" s="1878" t="str">
        <f t="shared" si="327"/>
        <v>1.- R Double Happines DOT2715-OT_236270  Reencauche F101-00009631 IDY-220   #  8290617</v>
      </c>
      <c r="Z1000" s="19" t="str">
        <f t="shared" si="331"/>
        <v>ReencaucheReencauchadora RENOVA</v>
      </c>
    </row>
    <row r="1001" spans="2:26" ht="15.2" customHeight="1">
      <c r="B1001" s="37"/>
      <c r="E1001" s="177">
        <v>2</v>
      </c>
      <c r="F1001" s="2450" t="s">
        <v>723</v>
      </c>
      <c r="G1001" s="179" t="s">
        <v>2571</v>
      </c>
      <c r="H1001" s="180" t="s">
        <v>2573</v>
      </c>
      <c r="I1001" s="179" t="s">
        <v>726</v>
      </c>
      <c r="J1001" s="181" t="s">
        <v>760</v>
      </c>
      <c r="K1001" s="2451" t="s">
        <v>2574</v>
      </c>
      <c r="L1001" s="183">
        <v>42893</v>
      </c>
      <c r="M1001" s="184" t="s">
        <v>729</v>
      </c>
      <c r="N1001" s="185">
        <v>42901</v>
      </c>
      <c r="O1001" s="186">
        <f t="shared" si="328"/>
        <v>42901</v>
      </c>
      <c r="P1001" s="2772" t="s">
        <v>2590</v>
      </c>
      <c r="Q1001" s="2964">
        <v>0</v>
      </c>
      <c r="R1001" s="187"/>
      <c r="S1001" s="1952" t="s">
        <v>731</v>
      </c>
      <c r="T1001" s="77" t="s">
        <v>2591</v>
      </c>
      <c r="U1001" s="1893"/>
      <c r="V1001" s="2079">
        <f t="shared" si="329"/>
        <v>0</v>
      </c>
      <c r="W1001" s="78">
        <f t="shared" si="330"/>
        <v>0</v>
      </c>
      <c r="X1001" s="1878" t="str">
        <f t="shared" si="327"/>
        <v>2.- R Continental DOT1312-OT_236270  Reencauche G031-0065963 Rechazada, G031-0065963</v>
      </c>
      <c r="Z1001" s="19" t="str">
        <f t="shared" si="331"/>
        <v>ReencaucheReencauchadora RENOVA</v>
      </c>
    </row>
    <row r="1002" spans="2:26" ht="15.2" customHeight="1">
      <c r="B1002" s="37"/>
      <c r="E1002" s="2418">
        <v>1</v>
      </c>
      <c r="F1002" s="2297" t="s">
        <v>732</v>
      </c>
      <c r="G1002" s="68" t="s">
        <v>737</v>
      </c>
      <c r="H1002" s="69" t="s">
        <v>812</v>
      </c>
      <c r="I1002" s="68" t="s">
        <v>726</v>
      </c>
      <c r="J1002" s="70" t="s">
        <v>760</v>
      </c>
      <c r="K1002" s="71" t="s">
        <v>2575</v>
      </c>
      <c r="L1002" s="72">
        <v>42893</v>
      </c>
      <c r="M1002" s="73" t="s">
        <v>729</v>
      </c>
      <c r="N1002" s="74">
        <v>42901</v>
      </c>
      <c r="O1002" s="75">
        <f t="shared" ref="O1002:O1010" si="332">+N1002</f>
        <v>42901</v>
      </c>
      <c r="P1002" s="2773" t="s">
        <v>2588</v>
      </c>
      <c r="Q1002" s="2954">
        <v>85.79</v>
      </c>
      <c r="R1002" s="76"/>
      <c r="S1002" s="1945" t="s">
        <v>731</v>
      </c>
      <c r="T1002" s="77" t="s">
        <v>2566</v>
      </c>
      <c r="U1002" s="1893"/>
      <c r="V1002" s="2079">
        <f t="shared" si="329"/>
        <v>101.23220000000001</v>
      </c>
      <c r="W1002" s="78">
        <f t="shared" si="330"/>
        <v>0</v>
      </c>
      <c r="X1002" s="1878" t="str">
        <f t="shared" si="327"/>
        <v>1.- C Vikrant 0070111-OT_236269  Reencauche F101-00009631 IZB-210</v>
      </c>
      <c r="Z1002" s="19" t="str">
        <f t="shared" si="331"/>
        <v>ReencaucheReencauchadora RENOVA</v>
      </c>
    </row>
    <row r="1003" spans="2:26" ht="15.2" customHeight="1">
      <c r="B1003" s="37"/>
      <c r="E1003" s="2459">
        <v>2</v>
      </c>
      <c r="F1003" s="2297" t="s">
        <v>732</v>
      </c>
      <c r="G1003" s="68" t="s">
        <v>737</v>
      </c>
      <c r="H1003" s="69" t="s">
        <v>1462</v>
      </c>
      <c r="I1003" s="68" t="s">
        <v>726</v>
      </c>
      <c r="J1003" s="70" t="s">
        <v>760</v>
      </c>
      <c r="K1003" s="71" t="s">
        <v>2575</v>
      </c>
      <c r="L1003" s="72">
        <v>42893</v>
      </c>
      <c r="M1003" s="73" t="s">
        <v>729</v>
      </c>
      <c r="N1003" s="74">
        <v>42901</v>
      </c>
      <c r="O1003" s="75">
        <f t="shared" si="332"/>
        <v>42901</v>
      </c>
      <c r="P1003" s="2773" t="s">
        <v>2588</v>
      </c>
      <c r="Q1003" s="2954">
        <v>85.79</v>
      </c>
      <c r="R1003" s="76"/>
      <c r="S1003" s="1945" t="s">
        <v>731</v>
      </c>
      <c r="T1003" s="77" t="s">
        <v>2566</v>
      </c>
      <c r="U1003" s="1893"/>
      <c r="V1003" s="2079">
        <f t="shared" si="329"/>
        <v>101.23220000000001</v>
      </c>
      <c r="W1003" s="78">
        <f t="shared" si="330"/>
        <v>0</v>
      </c>
      <c r="X1003" s="1878" t="str">
        <f t="shared" si="327"/>
        <v>2.- C Vikrant 0220310-OT_236269  Reencauche F101-00009631 IZB-210</v>
      </c>
      <c r="Z1003" s="19" t="str">
        <f t="shared" si="331"/>
        <v>ReencaucheReencauchadora RENOVA</v>
      </c>
    </row>
    <row r="1004" spans="2:26" ht="15.2" customHeight="1">
      <c r="B1004" s="37"/>
      <c r="E1004" s="2418">
        <v>3</v>
      </c>
      <c r="F1004" s="2297" t="s">
        <v>732</v>
      </c>
      <c r="G1004" s="68" t="s">
        <v>733</v>
      </c>
      <c r="H1004" s="69" t="s">
        <v>1132</v>
      </c>
      <c r="I1004" s="68" t="s">
        <v>726</v>
      </c>
      <c r="J1004" s="70" t="s">
        <v>760</v>
      </c>
      <c r="K1004" s="2305" t="s">
        <v>2575</v>
      </c>
      <c r="L1004" s="72">
        <v>42893</v>
      </c>
      <c r="M1004" s="73" t="s">
        <v>729</v>
      </c>
      <c r="N1004" s="74">
        <v>42901</v>
      </c>
      <c r="O1004" s="75">
        <f t="shared" si="332"/>
        <v>42901</v>
      </c>
      <c r="P1004" s="2765" t="s">
        <v>2590</v>
      </c>
      <c r="Q1004" s="2954">
        <v>0</v>
      </c>
      <c r="R1004" s="76"/>
      <c r="S1004" s="1945" t="s">
        <v>731</v>
      </c>
      <c r="T1004" s="77" t="s">
        <v>2591</v>
      </c>
      <c r="U1004" s="1893"/>
      <c r="V1004" s="2079">
        <f t="shared" si="329"/>
        <v>0</v>
      </c>
      <c r="W1004" s="78">
        <f t="shared" si="330"/>
        <v>0</v>
      </c>
      <c r="X1004" s="1878" t="str">
        <f t="shared" si="327"/>
        <v>3.- C Lima Caucho 0620808-OT_236269  Reencauche G031-0065963 Rechazada, G031-0065963</v>
      </c>
      <c r="Z1004" s="19" t="str">
        <f t="shared" si="331"/>
        <v>Vulcanizado (curación)Reenc. MASTERCAUCHO</v>
      </c>
    </row>
    <row r="1005" spans="2:26" ht="15.2" customHeight="1">
      <c r="B1005" s="37"/>
      <c r="E1005" s="2418">
        <v>4</v>
      </c>
      <c r="F1005" s="2297" t="s">
        <v>732</v>
      </c>
      <c r="G1005" s="68" t="s">
        <v>733</v>
      </c>
      <c r="H1005" s="69" t="s">
        <v>1613</v>
      </c>
      <c r="I1005" s="68" t="s">
        <v>726</v>
      </c>
      <c r="J1005" s="70" t="s">
        <v>760</v>
      </c>
      <c r="K1005" s="71" t="s">
        <v>2575</v>
      </c>
      <c r="L1005" s="72">
        <v>42893</v>
      </c>
      <c r="M1005" s="73" t="s">
        <v>729</v>
      </c>
      <c r="N1005" s="74">
        <v>42901</v>
      </c>
      <c r="O1005" s="75">
        <f t="shared" si="332"/>
        <v>42901</v>
      </c>
      <c r="P1005" s="2765" t="s">
        <v>2590</v>
      </c>
      <c r="Q1005" s="2954">
        <v>0</v>
      </c>
      <c r="R1005" s="76"/>
      <c r="S1005" s="1945" t="s">
        <v>731</v>
      </c>
      <c r="T1005" s="77" t="s">
        <v>2591</v>
      </c>
      <c r="U1005" s="1893"/>
      <c r="V1005" s="2079">
        <f t="shared" si="329"/>
        <v>0</v>
      </c>
      <c r="W1005" s="78">
        <f t="shared" si="330"/>
        <v>0</v>
      </c>
      <c r="X1005" s="1878" t="str">
        <f t="shared" si="327"/>
        <v>4.- C Lima Caucho 1311207-OT_236269  Reencauche G031-0065963 Rechazada, G031-0065963</v>
      </c>
      <c r="Z1005" s="19" t="str">
        <f t="shared" si="331"/>
        <v>ReencaucheReenc. MASTERCAUCHO</v>
      </c>
    </row>
    <row r="1006" spans="2:26" ht="15.2" customHeight="1">
      <c r="B1006" s="37"/>
      <c r="E1006" s="79">
        <v>5</v>
      </c>
      <c r="F1006" s="2294" t="s">
        <v>732</v>
      </c>
      <c r="G1006" s="81" t="s">
        <v>737</v>
      </c>
      <c r="H1006" s="82" t="s">
        <v>1282</v>
      </c>
      <c r="I1006" s="81" t="s">
        <v>726</v>
      </c>
      <c r="J1006" s="83" t="s">
        <v>760</v>
      </c>
      <c r="K1006" s="84" t="s">
        <v>2575</v>
      </c>
      <c r="L1006" s="85">
        <v>42893</v>
      </c>
      <c r="M1006" s="86" t="s">
        <v>729</v>
      </c>
      <c r="N1006" s="87">
        <v>42901</v>
      </c>
      <c r="O1006" s="88">
        <f t="shared" si="332"/>
        <v>42901</v>
      </c>
      <c r="P1006" s="2766" t="s">
        <v>2590</v>
      </c>
      <c r="Q1006" s="2955">
        <v>0</v>
      </c>
      <c r="R1006" s="89"/>
      <c r="S1006" s="1946" t="s">
        <v>731</v>
      </c>
      <c r="T1006" s="77" t="s">
        <v>2591</v>
      </c>
      <c r="U1006" s="1893"/>
      <c r="V1006" s="2079">
        <f t="shared" si="329"/>
        <v>0</v>
      </c>
      <c r="W1006" s="78">
        <f t="shared" si="330"/>
        <v>0</v>
      </c>
      <c r="X1006" s="1878" t="str">
        <f t="shared" si="327"/>
        <v>5.- C Vikrant 0140310-OT_236269  Reencauche G031-0065963 Rechazada, G031-0065963</v>
      </c>
      <c r="Z1006" s="19" t="str">
        <f t="shared" si="331"/>
        <v>ReencaucheReenc. MASTERCAUCHO</v>
      </c>
    </row>
    <row r="1007" spans="2:26" ht="15.2" customHeight="1">
      <c r="B1007" s="37"/>
      <c r="E1007" s="2418">
        <v>1</v>
      </c>
      <c r="F1007" s="2297" t="s">
        <v>723</v>
      </c>
      <c r="G1007" s="68" t="s">
        <v>737</v>
      </c>
      <c r="H1007" s="69" t="s">
        <v>2558</v>
      </c>
      <c r="I1007" s="68" t="s">
        <v>811</v>
      </c>
      <c r="J1007" s="70" t="s">
        <v>727</v>
      </c>
      <c r="K1007" s="2305" t="s">
        <v>2559</v>
      </c>
      <c r="L1007" s="72">
        <v>42875</v>
      </c>
      <c r="M1007" s="2306" t="s">
        <v>729</v>
      </c>
      <c r="N1007" s="74">
        <v>42881</v>
      </c>
      <c r="O1007" s="75">
        <f t="shared" si="332"/>
        <v>42881</v>
      </c>
      <c r="P1007" s="2765" t="s">
        <v>2560</v>
      </c>
      <c r="Q1007" s="2954"/>
      <c r="R1007" s="76">
        <v>84.745699999999999</v>
      </c>
      <c r="S1007" s="1945" t="s">
        <v>731</v>
      </c>
      <c r="T1007" s="77"/>
      <c r="U1007" s="1893"/>
      <c r="V1007" s="2079">
        <f t="shared" si="329"/>
        <v>0</v>
      </c>
      <c r="W1007" s="78">
        <f t="shared" si="330"/>
        <v>99.999925999999988</v>
      </c>
      <c r="X1007" s="1878" t="str">
        <f t="shared" si="327"/>
        <v xml:space="preserve">1.- R Vikrant 0310317-OT_005907  Vulcanizado (curación) 0001-008198 </v>
      </c>
      <c r="Z1007" s="19" t="str">
        <f t="shared" si="331"/>
        <v>ReencaucheReenc. MASTERCAUCHO</v>
      </c>
    </row>
    <row r="1008" spans="2:26" ht="15.2" customHeight="1">
      <c r="B1008" s="37"/>
      <c r="E1008" s="2418">
        <v>2</v>
      </c>
      <c r="F1008" s="2297" t="s">
        <v>723</v>
      </c>
      <c r="G1008" s="68" t="s">
        <v>2533</v>
      </c>
      <c r="H1008" s="69" t="s">
        <v>2557</v>
      </c>
      <c r="I1008" s="68" t="s">
        <v>726</v>
      </c>
      <c r="J1008" s="70" t="s">
        <v>727</v>
      </c>
      <c r="K1008" s="71" t="s">
        <v>2559</v>
      </c>
      <c r="L1008" s="72">
        <v>42875</v>
      </c>
      <c r="M1008" s="2306" t="s">
        <v>729</v>
      </c>
      <c r="N1008" s="74">
        <v>42881</v>
      </c>
      <c r="O1008" s="75">
        <f t="shared" si="332"/>
        <v>42881</v>
      </c>
      <c r="P1008" s="2765" t="s">
        <v>2560</v>
      </c>
      <c r="Q1008" s="2954"/>
      <c r="R1008" s="76">
        <v>271.18639999999999</v>
      </c>
      <c r="S1008" s="1945" t="s">
        <v>731</v>
      </c>
      <c r="T1008" s="77"/>
      <c r="U1008" s="1893"/>
      <c r="V1008" s="2079">
        <f t="shared" si="329"/>
        <v>0</v>
      </c>
      <c r="W1008" s="78">
        <f t="shared" si="330"/>
        <v>319.99995199999995</v>
      </c>
      <c r="X1008" s="1878" t="str">
        <f t="shared" si="327"/>
        <v xml:space="preserve">2.- R Stellmark 2082214805-OT_005907  Reencauche 0001-008198 </v>
      </c>
      <c r="Z1008" s="19" t="str">
        <f t="shared" si="331"/>
        <v>ReencaucheReenc. MASTERCAUCHO</v>
      </c>
    </row>
    <row r="1009" spans="2:26" ht="15.2" customHeight="1">
      <c r="B1009" s="37"/>
      <c r="E1009" s="79">
        <v>3</v>
      </c>
      <c r="F1009" s="2294" t="s">
        <v>723</v>
      </c>
      <c r="G1009" s="81" t="s">
        <v>2533</v>
      </c>
      <c r="H1009" s="82" t="s">
        <v>2556</v>
      </c>
      <c r="I1009" s="81" t="s">
        <v>726</v>
      </c>
      <c r="J1009" s="83" t="s">
        <v>727</v>
      </c>
      <c r="K1009" s="84" t="s">
        <v>2559</v>
      </c>
      <c r="L1009" s="85">
        <v>42875</v>
      </c>
      <c r="M1009" s="2296" t="s">
        <v>729</v>
      </c>
      <c r="N1009" s="87">
        <v>42881</v>
      </c>
      <c r="O1009" s="88">
        <f t="shared" si="332"/>
        <v>42881</v>
      </c>
      <c r="P1009" s="2766" t="s">
        <v>2561</v>
      </c>
      <c r="Q1009" s="2955"/>
      <c r="R1009" s="89">
        <v>0</v>
      </c>
      <c r="S1009" s="1946" t="s">
        <v>731</v>
      </c>
      <c r="T1009" s="1875" t="s">
        <v>2562</v>
      </c>
      <c r="U1009" s="1893"/>
      <c r="V1009" s="2079">
        <f t="shared" si="329"/>
        <v>0</v>
      </c>
      <c r="W1009" s="78">
        <f t="shared" si="330"/>
        <v>0</v>
      </c>
      <c r="X1009" s="1878" t="str">
        <f t="shared" si="327"/>
        <v>3.- R Stellmark 13031431110-OT_005907  Reencauche G0001-002623 Rechazado, G0001-002623</v>
      </c>
      <c r="Z1009" s="19" t="str">
        <f t="shared" ref="Z1009:Z1019" si="333">CONCATENATE(I1012,J1012)</f>
        <v>ReencaucheReenc. MASTERCAUCHO</v>
      </c>
    </row>
    <row r="1010" spans="2:26" ht="15.2" customHeight="1">
      <c r="B1010" s="37"/>
      <c r="E1010" s="2418">
        <v>1</v>
      </c>
      <c r="F1010" s="2297" t="s">
        <v>732</v>
      </c>
      <c r="G1010" s="68" t="s">
        <v>737</v>
      </c>
      <c r="H1010" s="69" t="s">
        <v>1554</v>
      </c>
      <c r="I1010" s="68" t="s">
        <v>726</v>
      </c>
      <c r="J1010" s="70" t="s">
        <v>727</v>
      </c>
      <c r="K1010" s="71" t="s">
        <v>2550</v>
      </c>
      <c r="L1010" s="72">
        <v>42870</v>
      </c>
      <c r="M1010" s="2306" t="s">
        <v>729</v>
      </c>
      <c r="N1010" s="74">
        <v>42875</v>
      </c>
      <c r="O1010" s="75">
        <f t="shared" si="332"/>
        <v>42875</v>
      </c>
      <c r="P1010" s="2765" t="s">
        <v>2553</v>
      </c>
      <c r="Q1010" s="2954"/>
      <c r="R1010" s="76">
        <v>279.66000000000003</v>
      </c>
      <c r="S1010" s="1945" t="s">
        <v>731</v>
      </c>
      <c r="T1010" s="77"/>
      <c r="U1010" s="1893"/>
      <c r="V1010" s="2079">
        <f t="shared" si="329"/>
        <v>0</v>
      </c>
      <c r="W1010" s="78">
        <f t="shared" si="330"/>
        <v>329.99880000000002</v>
      </c>
      <c r="X1010" s="1878" t="str">
        <f t="shared" si="327"/>
        <v xml:space="preserve">1.- C Vikrant 0010111-OT_005699  Reencauche 0001-008119 </v>
      </c>
      <c r="Z1010" s="19" t="str">
        <f t="shared" si="333"/>
        <v>ReencaucheReenc. MASTERCAUCHO</v>
      </c>
    </row>
    <row r="1011" spans="2:26" ht="15.2" customHeight="1">
      <c r="B1011" s="37"/>
      <c r="E1011" s="2411">
        <v>2</v>
      </c>
      <c r="F1011" s="2297" t="s">
        <v>723</v>
      </c>
      <c r="G1011" s="68" t="s">
        <v>724</v>
      </c>
      <c r="H1011" s="69" t="s">
        <v>878</v>
      </c>
      <c r="I1011" s="68" t="s">
        <v>726</v>
      </c>
      <c r="J1011" s="70" t="s">
        <v>727</v>
      </c>
      <c r="K1011" s="71" t="s">
        <v>2550</v>
      </c>
      <c r="L1011" s="72">
        <v>42870</v>
      </c>
      <c r="M1011" s="2306" t="s">
        <v>729</v>
      </c>
      <c r="N1011" s="74">
        <v>42875</v>
      </c>
      <c r="O1011" s="75">
        <v>42875</v>
      </c>
      <c r="P1011" s="2765" t="s">
        <v>2553</v>
      </c>
      <c r="Q1011" s="2954"/>
      <c r="R1011" s="76">
        <v>279.66000000000003</v>
      </c>
      <c r="S1011" s="1945" t="s">
        <v>731</v>
      </c>
      <c r="T1011" s="77"/>
      <c r="U1011" s="1893"/>
      <c r="V1011" s="2079">
        <f t="shared" si="329"/>
        <v>0</v>
      </c>
      <c r="W1011" s="78">
        <f t="shared" si="330"/>
        <v>329.99880000000002</v>
      </c>
      <c r="X1011" s="1878" t="str">
        <f t="shared" si="327"/>
        <v xml:space="preserve">2.- R Aeolus 0280413-OT_005699  Reencauche 0001-008119 </v>
      </c>
      <c r="Z1011" s="19" t="str">
        <f t="shared" si="333"/>
        <v>ReencaucheReenc. MASTERCAUCHO</v>
      </c>
    </row>
    <row r="1012" spans="2:26" ht="15.2" customHeight="1">
      <c r="B1012" s="37"/>
      <c r="E1012" s="2411">
        <v>3</v>
      </c>
      <c r="F1012" s="2297" t="s">
        <v>723</v>
      </c>
      <c r="G1012" s="68" t="s">
        <v>757</v>
      </c>
      <c r="H1012" s="69" t="s">
        <v>2548</v>
      </c>
      <c r="I1012" s="68" t="s">
        <v>726</v>
      </c>
      <c r="J1012" s="70" t="s">
        <v>727</v>
      </c>
      <c r="K1012" s="71" t="s">
        <v>2550</v>
      </c>
      <c r="L1012" s="72">
        <v>42870</v>
      </c>
      <c r="M1012" s="2306" t="s">
        <v>729</v>
      </c>
      <c r="N1012" s="74">
        <v>42875</v>
      </c>
      <c r="O1012" s="75">
        <v>42875</v>
      </c>
      <c r="P1012" s="2765" t="s">
        <v>2553</v>
      </c>
      <c r="Q1012" s="2954"/>
      <c r="R1012" s="76">
        <v>279.66000000000003</v>
      </c>
      <c r="S1012" s="1945" t="s">
        <v>731</v>
      </c>
      <c r="T1012" s="77"/>
      <c r="U1012" s="1893"/>
      <c r="V1012" s="2079">
        <f t="shared" si="329"/>
        <v>0</v>
      </c>
      <c r="W1012" s="78">
        <f t="shared" si="330"/>
        <v>329.99880000000002</v>
      </c>
      <c r="X1012" s="1878" t="str">
        <f t="shared" si="327"/>
        <v xml:space="preserve">3.- R Goodyear 354166-OT_005699  Reencauche 0001-008119 </v>
      </c>
      <c r="Z1012" s="19" t="str">
        <f t="shared" si="333"/>
        <v>ReencaucheReenc. MASTERCAUCHO</v>
      </c>
    </row>
    <row r="1013" spans="2:26" ht="15.2" customHeight="1">
      <c r="B1013" s="37"/>
      <c r="E1013" s="2421">
        <v>4</v>
      </c>
      <c r="F1013" s="2297" t="s">
        <v>723</v>
      </c>
      <c r="G1013" s="68" t="s">
        <v>757</v>
      </c>
      <c r="H1013" s="2444" t="s">
        <v>2549</v>
      </c>
      <c r="I1013" s="68" t="s">
        <v>726</v>
      </c>
      <c r="J1013" s="70" t="s">
        <v>727</v>
      </c>
      <c r="K1013" s="71" t="s">
        <v>2550</v>
      </c>
      <c r="L1013" s="72">
        <v>42870</v>
      </c>
      <c r="M1013" s="2306" t="s">
        <v>729</v>
      </c>
      <c r="N1013" s="74">
        <v>42875</v>
      </c>
      <c r="O1013" s="75">
        <v>42875</v>
      </c>
      <c r="P1013" s="2765" t="s">
        <v>2553</v>
      </c>
      <c r="Q1013" s="2954"/>
      <c r="R1013" s="76">
        <v>279.66000000000003</v>
      </c>
      <c r="S1013" s="1945" t="s">
        <v>731</v>
      </c>
      <c r="T1013" s="77"/>
      <c r="U1013" s="1893"/>
      <c r="V1013" s="2079">
        <f t="shared" si="329"/>
        <v>0</v>
      </c>
      <c r="W1013" s="78">
        <f t="shared" si="330"/>
        <v>329.99880000000002</v>
      </c>
      <c r="X1013" s="1878" t="str">
        <f t="shared" si="327"/>
        <v xml:space="preserve">4.- R Goodyear 1000-20 3801-OT_005699  Reencauche 0001-008119 </v>
      </c>
      <c r="Z1013" s="19" t="str">
        <f>CONCATENATE(I1016,J1016)</f>
        <v>ReencaucheReencauchadora RENOVA</v>
      </c>
    </row>
    <row r="1014" spans="2:26" ht="15.2" customHeight="1">
      <c r="B1014" s="37"/>
      <c r="E1014" s="2418">
        <v>5</v>
      </c>
      <c r="F1014" s="2297" t="s">
        <v>732</v>
      </c>
      <c r="G1014" s="68" t="s">
        <v>737</v>
      </c>
      <c r="H1014" s="69" t="s">
        <v>1114</v>
      </c>
      <c r="I1014" s="68" t="s">
        <v>726</v>
      </c>
      <c r="J1014" s="70" t="s">
        <v>727</v>
      </c>
      <c r="K1014" s="2305" t="s">
        <v>2550</v>
      </c>
      <c r="L1014" s="72">
        <v>42870</v>
      </c>
      <c r="M1014" s="2306" t="s">
        <v>729</v>
      </c>
      <c r="N1014" s="74">
        <v>42875</v>
      </c>
      <c r="O1014" s="75">
        <v>42875</v>
      </c>
      <c r="P1014" s="2765" t="s">
        <v>2555</v>
      </c>
      <c r="Q1014" s="2954"/>
      <c r="R1014" s="76">
        <v>0</v>
      </c>
      <c r="S1014" s="1945" t="s">
        <v>731</v>
      </c>
      <c r="T1014" s="1875" t="s">
        <v>2554</v>
      </c>
      <c r="U1014" s="1893"/>
      <c r="V1014" s="2079">
        <f t="shared" si="329"/>
        <v>0</v>
      </c>
      <c r="W1014" s="78">
        <f t="shared" si="330"/>
        <v>0</v>
      </c>
      <c r="X1014" s="1878" t="str">
        <f t="shared" si="327"/>
        <v xml:space="preserve">5.- C Vikrant 0070109-OT_005699  Reencauche G0001-002604  Rechazado, G0001-002604 </v>
      </c>
      <c r="Z1014" s="19" t="str">
        <f>CONCATENATE(I1017,J1017)</f>
        <v>ReencaucheReencauchadora RENOVA</v>
      </c>
    </row>
    <row r="1015" spans="2:26" ht="15.2" customHeight="1">
      <c r="B1015" s="37"/>
      <c r="E1015" s="79">
        <v>6</v>
      </c>
      <c r="F1015" s="2294" t="s">
        <v>723</v>
      </c>
      <c r="G1015" s="81" t="s">
        <v>724</v>
      </c>
      <c r="H1015" s="82" t="s">
        <v>874</v>
      </c>
      <c r="I1015" s="81" t="s">
        <v>726</v>
      </c>
      <c r="J1015" s="83" t="s">
        <v>727</v>
      </c>
      <c r="K1015" s="84" t="s">
        <v>2550</v>
      </c>
      <c r="L1015" s="85">
        <v>42870</v>
      </c>
      <c r="M1015" s="2296" t="s">
        <v>729</v>
      </c>
      <c r="N1015" s="87">
        <v>42875</v>
      </c>
      <c r="O1015" s="88">
        <v>42875</v>
      </c>
      <c r="P1015" s="2766" t="s">
        <v>2555</v>
      </c>
      <c r="Q1015" s="2955"/>
      <c r="R1015" s="89">
        <v>0</v>
      </c>
      <c r="S1015" s="1946" t="s">
        <v>731</v>
      </c>
      <c r="T1015" s="1875" t="s">
        <v>2554</v>
      </c>
      <c r="U1015" s="1893"/>
      <c r="V1015" s="2079">
        <f t="shared" si="329"/>
        <v>0</v>
      </c>
      <c r="W1015" s="78">
        <f t="shared" si="330"/>
        <v>0</v>
      </c>
      <c r="X1015" s="1878" t="str">
        <f t="shared" si="327"/>
        <v xml:space="preserve">6.- R Aeolus 0300413-OT_005699  Reencauche G0001-002604  Rechazado, G0001-002604 </v>
      </c>
      <c r="Z1015" s="19" t="str">
        <f>CONCATENATE(I1018,J1018)</f>
        <v>ReencaucheReencauchadora RENOVA</v>
      </c>
    </row>
    <row r="1016" spans="2:26" ht="15.2" customHeight="1">
      <c r="B1016" s="37"/>
      <c r="E1016" s="2413">
        <v>1</v>
      </c>
      <c r="F1016" s="2297" t="s">
        <v>723</v>
      </c>
      <c r="G1016" s="68" t="s">
        <v>2460</v>
      </c>
      <c r="H1016" s="69" t="s">
        <v>2542</v>
      </c>
      <c r="I1016" s="68" t="s">
        <v>726</v>
      </c>
      <c r="J1016" s="70" t="s">
        <v>760</v>
      </c>
      <c r="K1016" s="2305" t="s">
        <v>2543</v>
      </c>
      <c r="L1016" s="72">
        <v>42864</v>
      </c>
      <c r="M1016" s="73" t="s">
        <v>729</v>
      </c>
      <c r="N1016" s="74">
        <v>42884</v>
      </c>
      <c r="O1016" s="75">
        <v>42884</v>
      </c>
      <c r="P1016" s="2765" t="s">
        <v>2565</v>
      </c>
      <c r="Q1016" s="2954">
        <v>105.28</v>
      </c>
      <c r="R1016" s="76"/>
      <c r="S1016" s="1945" t="s">
        <v>731</v>
      </c>
      <c r="T1016" s="77" t="s">
        <v>2569</v>
      </c>
      <c r="U1016" s="1893"/>
      <c r="V1016" s="2079">
        <f t="shared" si="329"/>
        <v>124.23039999999999</v>
      </c>
      <c r="W1016" s="78">
        <f t="shared" si="330"/>
        <v>0</v>
      </c>
      <c r="X1016" s="1878" t="str">
        <f t="shared" si="327"/>
        <v>1.- R MICHELLIN 1711-OT_235456  Reencauche F101-00009287 IDY3-235</v>
      </c>
      <c r="Z1016" s="19" t="str">
        <f t="shared" si="333"/>
        <v>ReencaucheReencauchadora RENOVA</v>
      </c>
    </row>
    <row r="1017" spans="2:26" ht="15.2" customHeight="1">
      <c r="B1017" s="37"/>
      <c r="E1017" s="2445">
        <v>2</v>
      </c>
      <c r="F1017" s="2297" t="s">
        <v>723</v>
      </c>
      <c r="G1017" s="68" t="s">
        <v>2533</v>
      </c>
      <c r="H1017" s="69" t="s">
        <v>2537</v>
      </c>
      <c r="I1017" s="68" t="s">
        <v>726</v>
      </c>
      <c r="J1017" s="70" t="s">
        <v>760</v>
      </c>
      <c r="K1017" s="2305" t="s">
        <v>2543</v>
      </c>
      <c r="L1017" s="72">
        <v>42864</v>
      </c>
      <c r="M1017" s="2306" t="s">
        <v>729</v>
      </c>
      <c r="N1017" s="74">
        <v>42884</v>
      </c>
      <c r="O1017" s="75">
        <f>+N1017</f>
        <v>42884</v>
      </c>
      <c r="P1017" s="2765" t="s">
        <v>2565</v>
      </c>
      <c r="Q1017" s="2954">
        <v>100.9</v>
      </c>
      <c r="R1017" s="76"/>
      <c r="S1017" s="1945" t="s">
        <v>731</v>
      </c>
      <c r="T1017" s="77" t="s">
        <v>2570</v>
      </c>
      <c r="U1017" s="1893"/>
      <c r="V1017" s="2079">
        <f t="shared" si="329"/>
        <v>119.062</v>
      </c>
      <c r="W1017" s="78">
        <f t="shared" si="330"/>
        <v>0</v>
      </c>
      <c r="X1017" s="1878" t="str">
        <f t="shared" si="327"/>
        <v>2.- R Stellmark CN1W1013-OT_235456  Reencauche F101-00009287 IDY3-220</v>
      </c>
      <c r="Z1017" s="19" t="str">
        <f>CONCATENATE(I1020,J1020)</f>
        <v>ReencaucheReencauchadora RENOVA</v>
      </c>
    </row>
    <row r="1018" spans="2:26" ht="15.2" customHeight="1">
      <c r="B1018" s="37"/>
      <c r="E1018" s="2413">
        <v>3</v>
      </c>
      <c r="F1018" s="2297" t="s">
        <v>732</v>
      </c>
      <c r="G1018" s="68" t="s">
        <v>776</v>
      </c>
      <c r="H1018" s="69" t="s">
        <v>777</v>
      </c>
      <c r="I1018" s="68" t="s">
        <v>726</v>
      </c>
      <c r="J1018" s="70" t="s">
        <v>760</v>
      </c>
      <c r="K1018" s="71" t="s">
        <v>2544</v>
      </c>
      <c r="L1018" s="72">
        <v>42864</v>
      </c>
      <c r="M1018" s="100" t="s">
        <v>729</v>
      </c>
      <c r="N1018" s="153">
        <v>42884</v>
      </c>
      <c r="O1018" s="154">
        <v>42884</v>
      </c>
      <c r="P1018" s="344" t="s">
        <v>2565</v>
      </c>
      <c r="Q1018" s="2959">
        <v>85.79</v>
      </c>
      <c r="R1018" s="103"/>
      <c r="S1018" s="1945" t="s">
        <v>731</v>
      </c>
      <c r="T1018" s="610" t="s">
        <v>2566</v>
      </c>
      <c r="U1018" s="1893"/>
      <c r="V1018" s="2079">
        <f t="shared" si="329"/>
        <v>101.23220000000001</v>
      </c>
      <c r="W1018" s="78">
        <f t="shared" si="330"/>
        <v>0</v>
      </c>
      <c r="X1018" s="1878" t="str">
        <f t="shared" si="327"/>
        <v>3.- C Altura 0670911-OT_235455  Reencauche F101-00009287 IZB-210</v>
      </c>
      <c r="Z1018" s="19" t="str">
        <f t="shared" si="333"/>
        <v>ReencaucheReencauchadora RENOVA</v>
      </c>
    </row>
    <row r="1019" spans="2:26" ht="15.2" customHeight="1">
      <c r="B1019" s="37"/>
      <c r="E1019" s="2413">
        <v>4</v>
      </c>
      <c r="F1019" s="2297" t="s">
        <v>732</v>
      </c>
      <c r="G1019" s="68" t="s">
        <v>737</v>
      </c>
      <c r="H1019" s="69" t="s">
        <v>1430</v>
      </c>
      <c r="I1019" s="68" t="s">
        <v>726</v>
      </c>
      <c r="J1019" s="70" t="s">
        <v>760</v>
      </c>
      <c r="K1019" s="71" t="s">
        <v>2544</v>
      </c>
      <c r="L1019" s="72">
        <v>42864</v>
      </c>
      <c r="M1019" s="100" t="s">
        <v>729</v>
      </c>
      <c r="N1019" s="153">
        <v>42884</v>
      </c>
      <c r="O1019" s="154">
        <v>42884</v>
      </c>
      <c r="P1019" s="344" t="s">
        <v>2565</v>
      </c>
      <c r="Q1019" s="2959">
        <v>85.79</v>
      </c>
      <c r="R1019" s="103"/>
      <c r="S1019" s="1945" t="s">
        <v>731</v>
      </c>
      <c r="T1019" s="610" t="s">
        <v>2566</v>
      </c>
      <c r="U1019" s="1893"/>
      <c r="V1019" s="2079">
        <f t="shared" si="329"/>
        <v>101.23220000000001</v>
      </c>
      <c r="W1019" s="78">
        <f t="shared" si="330"/>
        <v>0</v>
      </c>
      <c r="X1019" s="1878" t="str">
        <f t="shared" si="327"/>
        <v>4.- C Vikrant 0280410-OT_235455  Reencauche F101-00009287 IZB-210</v>
      </c>
      <c r="Z1019" s="19" t="str">
        <f t="shared" si="333"/>
        <v>ReencaucheReencauchadora RENOVA</v>
      </c>
    </row>
    <row r="1020" spans="2:26" ht="15.2" customHeight="1">
      <c r="B1020" s="37"/>
      <c r="E1020" s="2421">
        <v>5</v>
      </c>
      <c r="F1020" s="2297" t="s">
        <v>732</v>
      </c>
      <c r="G1020" s="68" t="s">
        <v>737</v>
      </c>
      <c r="H1020" s="69" t="s">
        <v>1167</v>
      </c>
      <c r="I1020" s="68" t="s">
        <v>726</v>
      </c>
      <c r="J1020" s="70" t="s">
        <v>760</v>
      </c>
      <c r="K1020" s="71" t="s">
        <v>2544</v>
      </c>
      <c r="L1020" s="72">
        <v>42864</v>
      </c>
      <c r="M1020" s="2306" t="s">
        <v>729</v>
      </c>
      <c r="N1020" s="74">
        <v>42884</v>
      </c>
      <c r="O1020" s="75">
        <f t="shared" ref="O1020:O1025" si="334">+N1020</f>
        <v>42884</v>
      </c>
      <c r="P1020" s="2765" t="s">
        <v>2567</v>
      </c>
      <c r="Q1020" s="2954">
        <v>0</v>
      </c>
      <c r="R1020" s="76"/>
      <c r="S1020" s="1945" t="s">
        <v>731</v>
      </c>
      <c r="T1020" s="2274" t="s">
        <v>2568</v>
      </c>
      <c r="U1020" s="1893"/>
      <c r="V1020" s="2079">
        <f t="shared" si="329"/>
        <v>0</v>
      </c>
      <c r="W1020" s="78">
        <f t="shared" si="330"/>
        <v>0</v>
      </c>
      <c r="X1020" s="1878" t="str">
        <f t="shared" si="327"/>
        <v>5.- C Vikrant 0270410-OT_235455  Reencauche G030-0065512 Rechazada, G030-0065512</v>
      </c>
      <c r="Z1020" s="19" t="str">
        <f t="shared" ref="Z1020:Z1042" si="335">CONCATENATE(I1023,J1023)</f>
        <v>ReencaucheReencauchadora RENOVA</v>
      </c>
    </row>
    <row r="1021" spans="2:26" ht="15.2" customHeight="1">
      <c r="B1021" s="37"/>
      <c r="E1021" s="2413">
        <v>6</v>
      </c>
      <c r="F1021" s="2297" t="s">
        <v>732</v>
      </c>
      <c r="G1021" s="68" t="s">
        <v>737</v>
      </c>
      <c r="H1021" s="69" t="s">
        <v>1423</v>
      </c>
      <c r="I1021" s="68" t="s">
        <v>726</v>
      </c>
      <c r="J1021" s="70" t="s">
        <v>760</v>
      </c>
      <c r="K1021" s="71" t="s">
        <v>2544</v>
      </c>
      <c r="L1021" s="72">
        <v>42864</v>
      </c>
      <c r="M1021" s="2306" t="s">
        <v>729</v>
      </c>
      <c r="N1021" s="74">
        <v>42884</v>
      </c>
      <c r="O1021" s="75">
        <f t="shared" si="334"/>
        <v>42884</v>
      </c>
      <c r="P1021" s="2765" t="s">
        <v>2567</v>
      </c>
      <c r="Q1021" s="2954">
        <v>0</v>
      </c>
      <c r="R1021" s="76"/>
      <c r="S1021" s="1945" t="s">
        <v>731</v>
      </c>
      <c r="T1021" s="2274" t="s">
        <v>2568</v>
      </c>
      <c r="U1021" s="1893"/>
      <c r="V1021" s="2079">
        <f t="shared" si="329"/>
        <v>0</v>
      </c>
      <c r="W1021" s="78">
        <f t="shared" si="330"/>
        <v>0</v>
      </c>
      <c r="X1021" s="1878" t="str">
        <f t="shared" si="327"/>
        <v>6.- C Vikrant 0440510-OT_235455  Reencauche G030-0065512 Rechazada, G030-0065512</v>
      </c>
      <c r="Z1021" s="19" t="str">
        <f t="shared" si="335"/>
        <v>ReencaucheReencauchadora RENOVA</v>
      </c>
    </row>
    <row r="1022" spans="2:26" ht="15.2" customHeight="1">
      <c r="B1022" s="37"/>
      <c r="E1022" s="2413">
        <v>7</v>
      </c>
      <c r="F1022" s="2297" t="s">
        <v>732</v>
      </c>
      <c r="G1022" s="68" t="s">
        <v>733</v>
      </c>
      <c r="H1022" s="69" t="s">
        <v>1361</v>
      </c>
      <c r="I1022" s="68" t="s">
        <v>726</v>
      </c>
      <c r="J1022" s="70" t="s">
        <v>760</v>
      </c>
      <c r="K1022" s="71" t="s">
        <v>2544</v>
      </c>
      <c r="L1022" s="72">
        <v>42864</v>
      </c>
      <c r="M1022" s="2306" t="s">
        <v>729</v>
      </c>
      <c r="N1022" s="74">
        <v>42884</v>
      </c>
      <c r="O1022" s="75">
        <f t="shared" si="334"/>
        <v>42884</v>
      </c>
      <c r="P1022" s="2765" t="s">
        <v>2567</v>
      </c>
      <c r="Q1022" s="2954">
        <v>0</v>
      </c>
      <c r="R1022" s="76"/>
      <c r="S1022" s="1945" t="s">
        <v>731</v>
      </c>
      <c r="T1022" s="2274" t="s">
        <v>2568</v>
      </c>
      <c r="U1022" s="1893"/>
      <c r="V1022" s="2079">
        <f t="shared" si="329"/>
        <v>0</v>
      </c>
      <c r="W1022" s="78">
        <f t="shared" si="330"/>
        <v>0</v>
      </c>
      <c r="X1022" s="1878" t="str">
        <f t="shared" si="327"/>
        <v>7.- C Lima Caucho 0570610-OT_235455  Reencauche G030-0065512 Rechazada, G030-0065512</v>
      </c>
      <c r="Z1022" s="19" t="str">
        <f t="shared" si="335"/>
        <v>ReencaucheReencauchadora RENOVA</v>
      </c>
    </row>
    <row r="1023" spans="2:26" ht="15.2" customHeight="1">
      <c r="B1023" s="37"/>
      <c r="E1023" s="2413">
        <v>8</v>
      </c>
      <c r="F1023" s="2297" t="s">
        <v>732</v>
      </c>
      <c r="G1023" s="68" t="s">
        <v>733</v>
      </c>
      <c r="H1023" s="69" t="s">
        <v>1734</v>
      </c>
      <c r="I1023" s="68" t="s">
        <v>726</v>
      </c>
      <c r="J1023" s="70" t="s">
        <v>760</v>
      </c>
      <c r="K1023" s="2305" t="s">
        <v>2544</v>
      </c>
      <c r="L1023" s="72">
        <v>42864</v>
      </c>
      <c r="M1023" s="2306" t="s">
        <v>729</v>
      </c>
      <c r="N1023" s="74">
        <v>42884</v>
      </c>
      <c r="O1023" s="75">
        <f t="shared" si="334"/>
        <v>42884</v>
      </c>
      <c r="P1023" s="2765" t="s">
        <v>2567</v>
      </c>
      <c r="Q1023" s="2954">
        <v>0</v>
      </c>
      <c r="R1023" s="76"/>
      <c r="S1023" s="1945" t="s">
        <v>731</v>
      </c>
      <c r="T1023" s="2274" t="s">
        <v>2568</v>
      </c>
      <c r="U1023" s="1893"/>
      <c r="V1023" s="2079">
        <f t="shared" si="329"/>
        <v>0</v>
      </c>
      <c r="W1023" s="78">
        <f t="shared" si="330"/>
        <v>0</v>
      </c>
      <c r="X1023" s="1878" t="str">
        <f t="shared" si="327"/>
        <v>8.- C Lima Caucho 0720808-OT_235455  Reencauche G030-0065512 Rechazada, G030-0065512</v>
      </c>
      <c r="Z1023" s="19" t="str">
        <f t="shared" si="335"/>
        <v>ReencaucheReencauchadora RENOVA</v>
      </c>
    </row>
    <row r="1024" spans="2:26" ht="15.2" customHeight="1">
      <c r="B1024" s="37"/>
      <c r="E1024" s="2413">
        <v>9</v>
      </c>
      <c r="F1024" s="2297" t="s">
        <v>732</v>
      </c>
      <c r="G1024" s="68" t="s">
        <v>733</v>
      </c>
      <c r="H1024" s="69" t="s">
        <v>753</v>
      </c>
      <c r="I1024" s="68" t="s">
        <v>726</v>
      </c>
      <c r="J1024" s="70" t="s">
        <v>760</v>
      </c>
      <c r="K1024" s="71" t="s">
        <v>2544</v>
      </c>
      <c r="L1024" s="72">
        <v>42864</v>
      </c>
      <c r="M1024" s="2306" t="s">
        <v>729</v>
      </c>
      <c r="N1024" s="74">
        <v>42884</v>
      </c>
      <c r="O1024" s="75">
        <f t="shared" si="334"/>
        <v>42884</v>
      </c>
      <c r="P1024" s="2765" t="s">
        <v>2567</v>
      </c>
      <c r="Q1024" s="2954">
        <v>0</v>
      </c>
      <c r="R1024" s="76"/>
      <c r="S1024" s="1945" t="s">
        <v>731</v>
      </c>
      <c r="T1024" s="2274" t="s">
        <v>2568</v>
      </c>
      <c r="U1024" s="1893"/>
      <c r="V1024" s="2079">
        <f t="shared" si="329"/>
        <v>0</v>
      </c>
      <c r="W1024" s="78">
        <f t="shared" si="330"/>
        <v>0</v>
      </c>
      <c r="X1024" s="1878" t="str">
        <f t="shared" si="327"/>
        <v>9.- C Lima Caucho 0950908-OT_235455  Reencauche G030-0065512 Rechazada, G030-0065512</v>
      </c>
      <c r="Z1024" s="19" t="str">
        <f t="shared" si="335"/>
        <v>ReencaucheReencauchadora RENOVA</v>
      </c>
    </row>
    <row r="1025" spans="2:26" ht="15.2" customHeight="1">
      <c r="B1025" s="37"/>
      <c r="E1025" s="79">
        <v>10</v>
      </c>
      <c r="F1025" s="2294" t="s">
        <v>732</v>
      </c>
      <c r="G1025" s="81" t="s">
        <v>733</v>
      </c>
      <c r="H1025" s="82" t="s">
        <v>847</v>
      </c>
      <c r="I1025" s="81" t="s">
        <v>726</v>
      </c>
      <c r="J1025" s="83" t="s">
        <v>760</v>
      </c>
      <c r="K1025" s="84" t="s">
        <v>2544</v>
      </c>
      <c r="L1025" s="85">
        <v>42864</v>
      </c>
      <c r="M1025" s="2446" t="s">
        <v>729</v>
      </c>
      <c r="N1025" s="87">
        <v>42884</v>
      </c>
      <c r="O1025" s="88">
        <f t="shared" si="334"/>
        <v>42884</v>
      </c>
      <c r="P1025" s="2766" t="s">
        <v>2567</v>
      </c>
      <c r="Q1025" s="2955">
        <v>0</v>
      </c>
      <c r="R1025" s="89"/>
      <c r="S1025" s="1946" t="s">
        <v>731</v>
      </c>
      <c r="T1025" s="2274" t="s">
        <v>2568</v>
      </c>
      <c r="U1025" s="1893"/>
      <c r="V1025" s="2079">
        <f t="shared" si="329"/>
        <v>0</v>
      </c>
      <c r="W1025" s="78">
        <f t="shared" si="330"/>
        <v>0</v>
      </c>
      <c r="X1025" s="1878" t="str">
        <f t="shared" si="327"/>
        <v>10.- C Lima Caucho 1061208-OT_235455  Reencauche G030-0065512 Rechazada, G030-0065512</v>
      </c>
      <c r="Z1025" s="19" t="str">
        <f t="shared" si="335"/>
        <v>ReencaucheReencauchadora RENOVA</v>
      </c>
    </row>
    <row r="1026" spans="2:26" ht="15.2" customHeight="1">
      <c r="B1026" s="37"/>
      <c r="E1026" s="2413">
        <v>11</v>
      </c>
      <c r="F1026" s="2297" t="s">
        <v>732</v>
      </c>
      <c r="G1026" s="68" t="s">
        <v>733</v>
      </c>
      <c r="H1026" s="69" t="s">
        <v>1093</v>
      </c>
      <c r="I1026" s="68" t="s">
        <v>726</v>
      </c>
      <c r="J1026" s="70" t="s">
        <v>760</v>
      </c>
      <c r="K1026" s="71" t="s">
        <v>2544</v>
      </c>
      <c r="L1026" s="72">
        <v>42864</v>
      </c>
      <c r="M1026" s="2306" t="s">
        <v>729</v>
      </c>
      <c r="N1026" s="74">
        <v>42872</v>
      </c>
      <c r="O1026" s="75">
        <f t="shared" ref="O1026:O1033" si="336">+N1026</f>
        <v>42872</v>
      </c>
      <c r="P1026" s="2765" t="s">
        <v>2547</v>
      </c>
      <c r="Q1026" s="2954">
        <v>85.79</v>
      </c>
      <c r="R1026" s="76"/>
      <c r="S1026" s="1945" t="s">
        <v>731</v>
      </c>
      <c r="T1026" s="77"/>
      <c r="U1026" s="1893"/>
      <c r="V1026" s="2079">
        <f t="shared" si="329"/>
        <v>101.23220000000001</v>
      </c>
      <c r="W1026" s="78">
        <f t="shared" si="330"/>
        <v>0</v>
      </c>
      <c r="X1026" s="1878" t="str">
        <f t="shared" si="327"/>
        <v xml:space="preserve">11.- C Lima Caucho 1021210-OT_235455  Reencauche F101-00009082 </v>
      </c>
      <c r="Z1026" s="19" t="str">
        <f t="shared" si="335"/>
        <v>ReencaucheReencauchadora RENOVA</v>
      </c>
    </row>
    <row r="1027" spans="2:26" ht="15.2" customHeight="1">
      <c r="B1027" s="37"/>
      <c r="E1027" s="2413">
        <v>12</v>
      </c>
      <c r="F1027" s="2297" t="s">
        <v>723</v>
      </c>
      <c r="G1027" s="68" t="s">
        <v>724</v>
      </c>
      <c r="H1027" s="69" t="s">
        <v>2539</v>
      </c>
      <c r="I1027" s="68" t="s">
        <v>726</v>
      </c>
      <c r="J1027" s="70" t="s">
        <v>760</v>
      </c>
      <c r="K1027" s="2305" t="s">
        <v>2543</v>
      </c>
      <c r="L1027" s="72">
        <v>42864</v>
      </c>
      <c r="M1027" s="2306" t="s">
        <v>729</v>
      </c>
      <c r="N1027" s="74">
        <v>42872</v>
      </c>
      <c r="O1027" s="75">
        <f t="shared" si="336"/>
        <v>42872</v>
      </c>
      <c r="P1027" s="2765" t="s">
        <v>2547</v>
      </c>
      <c r="Q1027" s="2954">
        <v>100.9</v>
      </c>
      <c r="R1027" s="76"/>
      <c r="S1027" s="1945" t="s">
        <v>731</v>
      </c>
      <c r="T1027" s="77"/>
      <c r="U1027" s="1893"/>
      <c r="V1027" s="2079">
        <f t="shared" si="329"/>
        <v>119.062</v>
      </c>
      <c r="W1027" s="78">
        <f t="shared" si="330"/>
        <v>0</v>
      </c>
      <c r="X1027" s="1878" t="str">
        <f t="shared" si="327"/>
        <v xml:space="preserve">12.- R Aeolus 0461214-OT_235456  Reencauche F101-00009082 </v>
      </c>
      <c r="Z1027" s="19" t="str">
        <f t="shared" si="335"/>
        <v>ReencaucheReencauchadora RENOVA</v>
      </c>
    </row>
    <row r="1028" spans="2:26" ht="15.2" customHeight="1">
      <c r="B1028" s="37"/>
      <c r="E1028" s="2413">
        <v>13</v>
      </c>
      <c r="F1028" s="2297" t="s">
        <v>723</v>
      </c>
      <c r="G1028" s="68" t="s">
        <v>724</v>
      </c>
      <c r="H1028" s="69" t="s">
        <v>2538</v>
      </c>
      <c r="I1028" s="68" t="s">
        <v>726</v>
      </c>
      <c r="J1028" s="70" t="s">
        <v>760</v>
      </c>
      <c r="K1028" s="2305" t="s">
        <v>2543</v>
      </c>
      <c r="L1028" s="72">
        <v>42864</v>
      </c>
      <c r="M1028" s="2306" t="s">
        <v>729</v>
      </c>
      <c r="N1028" s="74">
        <v>42872</v>
      </c>
      <c r="O1028" s="75">
        <f t="shared" si="336"/>
        <v>42872</v>
      </c>
      <c r="P1028" s="2765" t="s">
        <v>2547</v>
      </c>
      <c r="Q1028" s="2954">
        <v>100.9</v>
      </c>
      <c r="R1028" s="76"/>
      <c r="S1028" s="1945" t="s">
        <v>731</v>
      </c>
      <c r="T1028" s="77">
        <v>8200517</v>
      </c>
      <c r="U1028" s="1893"/>
      <c r="V1028" s="2079">
        <f t="shared" si="329"/>
        <v>119.062</v>
      </c>
      <c r="W1028" s="78">
        <f t="shared" si="330"/>
        <v>0</v>
      </c>
      <c r="X1028" s="1878" t="str">
        <f t="shared" si="327"/>
        <v>13.- R Aeolus ZA080709678-OT_235456  Reencauche F101-00009082 8200517</v>
      </c>
      <c r="Z1028" s="19" t="str">
        <f t="shared" si="335"/>
        <v>ReencaucheReencauchadora RENOVA</v>
      </c>
    </row>
    <row r="1029" spans="2:26" ht="15.2" customHeight="1">
      <c r="B1029" s="37"/>
      <c r="E1029" s="2413">
        <v>14</v>
      </c>
      <c r="F1029" s="2297" t="s">
        <v>723</v>
      </c>
      <c r="G1029" s="68" t="s">
        <v>757</v>
      </c>
      <c r="H1029" s="69" t="s">
        <v>2540</v>
      </c>
      <c r="I1029" s="68" t="s">
        <v>726</v>
      </c>
      <c r="J1029" s="70" t="s">
        <v>760</v>
      </c>
      <c r="K1029" s="2305" t="s">
        <v>2543</v>
      </c>
      <c r="L1029" s="72">
        <v>42864</v>
      </c>
      <c r="M1029" s="2306" t="s">
        <v>729</v>
      </c>
      <c r="N1029" s="74">
        <v>42872</v>
      </c>
      <c r="O1029" s="75">
        <f t="shared" si="336"/>
        <v>42872</v>
      </c>
      <c r="P1029" s="2765" t="s">
        <v>2547</v>
      </c>
      <c r="Q1029" s="2954">
        <v>100.9</v>
      </c>
      <c r="R1029" s="76"/>
      <c r="S1029" s="1945" t="s">
        <v>731</v>
      </c>
      <c r="T1029" s="77">
        <v>8210517</v>
      </c>
      <c r="U1029" s="1893"/>
      <c r="V1029" s="2079">
        <f t="shared" si="329"/>
        <v>119.062</v>
      </c>
      <c r="W1029" s="78">
        <f t="shared" si="330"/>
        <v>0</v>
      </c>
      <c r="X1029" s="1878" t="str">
        <f t="shared" si="327"/>
        <v>14.- R Goodyear 3013-OT_235456  Reencauche F101-00009082 8210517</v>
      </c>
      <c r="Z1029" s="19" t="str">
        <f t="shared" si="335"/>
        <v>ReencaucheReencauchadora RENOVA</v>
      </c>
    </row>
    <row r="1030" spans="2:26" ht="15.2" customHeight="1">
      <c r="B1030" s="37"/>
      <c r="E1030" s="2413">
        <v>15</v>
      </c>
      <c r="F1030" s="2297" t="s">
        <v>723</v>
      </c>
      <c r="G1030" s="68" t="s">
        <v>2460</v>
      </c>
      <c r="H1030" s="69" t="s">
        <v>2541</v>
      </c>
      <c r="I1030" s="68" t="s">
        <v>726</v>
      </c>
      <c r="J1030" s="70" t="s">
        <v>760</v>
      </c>
      <c r="K1030" s="2305" t="s">
        <v>2543</v>
      </c>
      <c r="L1030" s="72">
        <v>42864</v>
      </c>
      <c r="M1030" s="2306" t="s">
        <v>729</v>
      </c>
      <c r="N1030" s="74">
        <v>42872</v>
      </c>
      <c r="O1030" s="75">
        <f t="shared" si="336"/>
        <v>42872</v>
      </c>
      <c r="P1030" s="2765" t="s">
        <v>2547</v>
      </c>
      <c r="Q1030" s="2954">
        <v>105.33</v>
      </c>
      <c r="R1030" s="76"/>
      <c r="S1030" s="1945" t="s">
        <v>731</v>
      </c>
      <c r="T1030" s="77">
        <v>8220517</v>
      </c>
      <c r="U1030" s="1893"/>
      <c r="V1030" s="2079">
        <f t="shared" si="329"/>
        <v>124.28939999999999</v>
      </c>
      <c r="W1030" s="78">
        <f t="shared" si="330"/>
        <v>0</v>
      </c>
      <c r="X1030" s="1878" t="str">
        <f t="shared" si="327"/>
        <v>15.- R MICHELLIN 417309012-OT_235456  Reencauche F101-00009082 8220517</v>
      </c>
      <c r="Z1030" s="19" t="str">
        <f t="shared" si="335"/>
        <v>ReencaucheReencauchadora RENOVA</v>
      </c>
    </row>
    <row r="1031" spans="2:26" ht="15.2" customHeight="1">
      <c r="B1031" s="37"/>
      <c r="E1031" s="2413">
        <v>16</v>
      </c>
      <c r="F1031" s="2297" t="s">
        <v>723</v>
      </c>
      <c r="G1031" s="68" t="s">
        <v>2533</v>
      </c>
      <c r="H1031" s="69" t="s">
        <v>2534</v>
      </c>
      <c r="I1031" s="68" t="s">
        <v>726</v>
      </c>
      <c r="J1031" s="70" t="s">
        <v>760</v>
      </c>
      <c r="K1031" s="2305" t="s">
        <v>2543</v>
      </c>
      <c r="L1031" s="72">
        <v>42864</v>
      </c>
      <c r="M1031" s="2306" t="s">
        <v>729</v>
      </c>
      <c r="N1031" s="74">
        <v>42872</v>
      </c>
      <c r="O1031" s="75">
        <f t="shared" si="336"/>
        <v>42872</v>
      </c>
      <c r="P1031" s="2765" t="s">
        <v>2545</v>
      </c>
      <c r="Q1031" s="2954">
        <v>0</v>
      </c>
      <c r="R1031" s="76"/>
      <c r="S1031" s="1945" t="s">
        <v>731</v>
      </c>
      <c r="T1031" s="2274" t="s">
        <v>2546</v>
      </c>
      <c r="U1031" s="1893"/>
      <c r="V1031" s="2079">
        <f t="shared" si="329"/>
        <v>0</v>
      </c>
      <c r="W1031" s="78">
        <f t="shared" si="330"/>
        <v>0</v>
      </c>
      <c r="X1031" s="1878" t="str">
        <f t="shared" si="327"/>
        <v>16.- R Stellmark CN1W3412-OT_235456  Reencauche G030-0065234 Rechazada, G030-0065234</v>
      </c>
      <c r="Z1031" s="19" t="str">
        <f t="shared" si="335"/>
        <v>ReencaucheReencauchadora RENOVA</v>
      </c>
    </row>
    <row r="1032" spans="2:26" ht="15.2" customHeight="1">
      <c r="B1032" s="37"/>
      <c r="E1032" s="2413">
        <v>17</v>
      </c>
      <c r="F1032" s="2297" t="s">
        <v>723</v>
      </c>
      <c r="G1032" s="68" t="s">
        <v>2533</v>
      </c>
      <c r="H1032" s="69" t="s">
        <v>2535</v>
      </c>
      <c r="I1032" s="68" t="s">
        <v>726</v>
      </c>
      <c r="J1032" s="70" t="s">
        <v>760</v>
      </c>
      <c r="K1032" s="2305" t="s">
        <v>2543</v>
      </c>
      <c r="L1032" s="72">
        <v>42864</v>
      </c>
      <c r="M1032" s="2306" t="s">
        <v>729</v>
      </c>
      <c r="N1032" s="74">
        <v>42872</v>
      </c>
      <c r="O1032" s="75">
        <f t="shared" si="336"/>
        <v>42872</v>
      </c>
      <c r="P1032" s="2765" t="s">
        <v>2545</v>
      </c>
      <c r="Q1032" s="2954">
        <v>0</v>
      </c>
      <c r="R1032" s="76"/>
      <c r="S1032" s="1945" t="s">
        <v>731</v>
      </c>
      <c r="T1032" s="2274" t="s">
        <v>2546</v>
      </c>
      <c r="U1032" s="1893"/>
      <c r="V1032" s="2079">
        <f t="shared" si="329"/>
        <v>0</v>
      </c>
      <c r="W1032" s="78">
        <f t="shared" si="330"/>
        <v>0</v>
      </c>
      <c r="X1032" s="1878" t="str">
        <f t="shared" si="327"/>
        <v>17.- R Stellmark CN1W3413-OT_235456  Reencauche G030-0065234 Rechazada, G030-0065234</v>
      </c>
      <c r="Z1032" s="19" t="str">
        <f t="shared" si="335"/>
        <v>ReencaucheReencauchadora RENOVA</v>
      </c>
    </row>
    <row r="1033" spans="2:26" ht="15.2" customHeight="1">
      <c r="B1033" s="37"/>
      <c r="E1033" s="79">
        <v>18</v>
      </c>
      <c r="F1033" s="2294" t="s">
        <v>723</v>
      </c>
      <c r="G1033" s="81" t="s">
        <v>2533</v>
      </c>
      <c r="H1033" s="82" t="s">
        <v>2536</v>
      </c>
      <c r="I1033" s="81" t="s">
        <v>726</v>
      </c>
      <c r="J1033" s="83" t="s">
        <v>760</v>
      </c>
      <c r="K1033" s="2295" t="s">
        <v>2543</v>
      </c>
      <c r="L1033" s="85">
        <v>42864</v>
      </c>
      <c r="M1033" s="2296" t="s">
        <v>729</v>
      </c>
      <c r="N1033" s="87">
        <v>42872</v>
      </c>
      <c r="O1033" s="88">
        <f t="shared" si="336"/>
        <v>42872</v>
      </c>
      <c r="P1033" s="2766" t="s">
        <v>2545</v>
      </c>
      <c r="Q1033" s="2955">
        <v>0</v>
      </c>
      <c r="R1033" s="89"/>
      <c r="S1033" s="1946" t="s">
        <v>731</v>
      </c>
      <c r="T1033" s="2274" t="s">
        <v>2546</v>
      </c>
      <c r="U1033" s="1893"/>
      <c r="V1033" s="2079">
        <f t="shared" si="329"/>
        <v>0</v>
      </c>
      <c r="W1033" s="78">
        <f t="shared" si="330"/>
        <v>0</v>
      </c>
      <c r="X1033" s="1878" t="str">
        <f t="shared" si="327"/>
        <v>18.- R Stellmark CN1W3013-OT_235456  Reencauche G030-0065234 Rechazada, G030-0065234</v>
      </c>
      <c r="Z1033" s="19" t="str">
        <f t="shared" si="335"/>
        <v>ReencaucheReencauchadora RENOVA</v>
      </c>
    </row>
    <row r="1034" spans="2:26" ht="15.2" customHeight="1">
      <c r="B1034" s="37"/>
      <c r="E1034" s="2407">
        <v>1</v>
      </c>
      <c r="F1034" s="2297" t="s">
        <v>732</v>
      </c>
      <c r="G1034" s="68" t="s">
        <v>737</v>
      </c>
      <c r="H1034" s="69" t="s">
        <v>1495</v>
      </c>
      <c r="I1034" s="68" t="s">
        <v>726</v>
      </c>
      <c r="J1034" s="70" t="s">
        <v>760</v>
      </c>
      <c r="K1034" s="2305" t="s">
        <v>2518</v>
      </c>
      <c r="L1034" s="72">
        <v>42852</v>
      </c>
      <c r="M1034" s="73" t="s">
        <v>729</v>
      </c>
      <c r="N1034" s="74">
        <v>42864</v>
      </c>
      <c r="O1034" s="75">
        <v>0</v>
      </c>
      <c r="P1034" s="2765" t="s">
        <v>2521</v>
      </c>
      <c r="Q1034" s="2954">
        <v>85.79</v>
      </c>
      <c r="R1034" s="76"/>
      <c r="S1034" s="1945" t="s">
        <v>731</v>
      </c>
      <c r="T1034" s="77"/>
      <c r="U1034" s="1893"/>
      <c r="V1034" s="2079">
        <f t="shared" si="329"/>
        <v>101.23220000000001</v>
      </c>
      <c r="W1034" s="78">
        <f t="shared" si="330"/>
        <v>0</v>
      </c>
      <c r="X1034" s="1878" t="str">
        <f t="shared" si="327"/>
        <v xml:space="preserve">1.- C Vikrant 0210712-OT_234485  Reencauche F102-00005964 </v>
      </c>
      <c r="Z1034" s="19" t="str">
        <f t="shared" si="335"/>
        <v>ReencaucheReencauchadora RENOVA</v>
      </c>
    </row>
    <row r="1035" spans="2:26" ht="15.2" customHeight="1">
      <c r="B1035" s="37"/>
      <c r="E1035" s="2407">
        <v>2</v>
      </c>
      <c r="F1035" s="2297" t="s">
        <v>732</v>
      </c>
      <c r="G1035" s="68" t="s">
        <v>737</v>
      </c>
      <c r="H1035" s="69" t="s">
        <v>1223</v>
      </c>
      <c r="I1035" s="68" t="s">
        <v>726</v>
      </c>
      <c r="J1035" s="70" t="s">
        <v>760</v>
      </c>
      <c r="K1035" s="71" t="s">
        <v>2518</v>
      </c>
      <c r="L1035" s="72">
        <v>42852</v>
      </c>
      <c r="M1035" s="73" t="s">
        <v>729</v>
      </c>
      <c r="N1035" s="74">
        <v>42864</v>
      </c>
      <c r="O1035" s="75">
        <v>0</v>
      </c>
      <c r="P1035" s="2765" t="s">
        <v>2521</v>
      </c>
      <c r="Q1035" s="2954">
        <v>85.79</v>
      </c>
      <c r="R1035" s="76"/>
      <c r="S1035" s="1945" t="s">
        <v>731</v>
      </c>
      <c r="T1035" s="77"/>
      <c r="U1035" s="1893"/>
      <c r="V1035" s="2079">
        <f t="shared" si="329"/>
        <v>101.23220000000001</v>
      </c>
      <c r="W1035" s="78">
        <f t="shared" si="330"/>
        <v>0</v>
      </c>
      <c r="X1035" s="1878" t="str">
        <f t="shared" si="327"/>
        <v xml:space="preserve">2.- C Vikrant 1340805-OT_234485  Reencauche F102-00005964 </v>
      </c>
      <c r="Z1035" s="19" t="str">
        <f t="shared" si="335"/>
        <v>ReencaucheReencauchadora RENOVA</v>
      </c>
    </row>
    <row r="1036" spans="2:26" ht="15.2" customHeight="1">
      <c r="B1036" s="37"/>
      <c r="E1036" s="2407">
        <v>3</v>
      </c>
      <c r="F1036" s="2297" t="s">
        <v>732</v>
      </c>
      <c r="G1036" s="68" t="s">
        <v>737</v>
      </c>
      <c r="H1036" s="69" t="s">
        <v>1318</v>
      </c>
      <c r="I1036" s="68" t="s">
        <v>726</v>
      </c>
      <c r="J1036" s="70" t="s">
        <v>760</v>
      </c>
      <c r="K1036" s="71" t="s">
        <v>2518</v>
      </c>
      <c r="L1036" s="72">
        <v>42852</v>
      </c>
      <c r="M1036" s="73" t="s">
        <v>729</v>
      </c>
      <c r="N1036" s="74">
        <v>42864</v>
      </c>
      <c r="O1036" s="75">
        <v>0</v>
      </c>
      <c r="P1036" s="2765" t="s">
        <v>2521</v>
      </c>
      <c r="Q1036" s="2954">
        <v>85.79</v>
      </c>
      <c r="R1036" s="76"/>
      <c r="S1036" s="1945" t="s">
        <v>731</v>
      </c>
      <c r="T1036" s="77"/>
      <c r="U1036" s="1893"/>
      <c r="V1036" s="2079">
        <f t="shared" si="329"/>
        <v>101.23220000000001</v>
      </c>
      <c r="W1036" s="78">
        <f t="shared" si="330"/>
        <v>0</v>
      </c>
      <c r="X1036" s="1878" t="str">
        <f t="shared" si="327"/>
        <v xml:space="preserve">3.- C Vikrant 0330410-OT_234485  Reencauche F102-00005964 </v>
      </c>
      <c r="Z1036" s="19" t="str">
        <f t="shared" si="335"/>
        <v>ReencaucheReencauchadora RENOVA</v>
      </c>
    </row>
    <row r="1037" spans="2:26" ht="15.2" customHeight="1">
      <c r="B1037" s="37"/>
      <c r="E1037" s="2407">
        <v>4</v>
      </c>
      <c r="F1037" s="2297" t="s">
        <v>732</v>
      </c>
      <c r="G1037" s="68" t="s">
        <v>737</v>
      </c>
      <c r="H1037" s="69" t="s">
        <v>1331</v>
      </c>
      <c r="I1037" s="68" t="s">
        <v>726</v>
      </c>
      <c r="J1037" s="70" t="s">
        <v>760</v>
      </c>
      <c r="K1037" s="71" t="s">
        <v>2518</v>
      </c>
      <c r="L1037" s="72">
        <v>42852</v>
      </c>
      <c r="M1037" s="73" t="s">
        <v>729</v>
      </c>
      <c r="N1037" s="74">
        <v>42864</v>
      </c>
      <c r="O1037" s="75">
        <v>0</v>
      </c>
      <c r="P1037" s="2765" t="s">
        <v>2521</v>
      </c>
      <c r="Q1037" s="2954">
        <v>85.79</v>
      </c>
      <c r="R1037" s="76"/>
      <c r="S1037" s="1945" t="s">
        <v>731</v>
      </c>
      <c r="T1037" s="77"/>
      <c r="U1037" s="1893"/>
      <c r="V1037" s="2079">
        <f t="shared" si="329"/>
        <v>101.23220000000001</v>
      </c>
      <c r="W1037" s="78">
        <f t="shared" si="330"/>
        <v>0</v>
      </c>
      <c r="X1037" s="1878" t="str">
        <f t="shared" si="327"/>
        <v xml:space="preserve">4.- C Vikrant 0150310-OT_234485  Reencauche F102-00005964 </v>
      </c>
      <c r="Z1037" s="19" t="str">
        <f t="shared" si="335"/>
        <v>ReencaucheReencauchadora RENOVA</v>
      </c>
    </row>
    <row r="1038" spans="2:26" ht="15.2" customHeight="1">
      <c r="B1038" s="37"/>
      <c r="E1038" s="2407">
        <v>5</v>
      </c>
      <c r="F1038" s="2297" t="s">
        <v>732</v>
      </c>
      <c r="G1038" s="68" t="s">
        <v>733</v>
      </c>
      <c r="H1038" s="69" t="s">
        <v>1630</v>
      </c>
      <c r="I1038" s="68" t="s">
        <v>726</v>
      </c>
      <c r="J1038" s="70" t="s">
        <v>760</v>
      </c>
      <c r="K1038" s="71" t="s">
        <v>2518</v>
      </c>
      <c r="L1038" s="72">
        <v>42852</v>
      </c>
      <c r="M1038" s="2306" t="s">
        <v>729</v>
      </c>
      <c r="N1038" s="74">
        <v>42864</v>
      </c>
      <c r="O1038" s="75">
        <v>0</v>
      </c>
      <c r="P1038" s="2765" t="s">
        <v>2521</v>
      </c>
      <c r="Q1038" s="2954">
        <v>85.79</v>
      </c>
      <c r="R1038" s="76"/>
      <c r="S1038" s="1945" t="s">
        <v>731</v>
      </c>
      <c r="T1038" s="77"/>
      <c r="U1038" s="1893"/>
      <c r="V1038" s="2079">
        <f t="shared" si="329"/>
        <v>101.23220000000001</v>
      </c>
      <c r="W1038" s="78">
        <f t="shared" si="330"/>
        <v>0</v>
      </c>
      <c r="X1038" s="1878" t="str">
        <f t="shared" si="327"/>
        <v xml:space="preserve">5.- C Lima Caucho 0961010-OT_234485  Reencauche F102-00005964 </v>
      </c>
      <c r="Z1038" s="19" t="str">
        <f t="shared" si="335"/>
        <v>ReencaucheReencauchadora RENOVA</v>
      </c>
    </row>
    <row r="1039" spans="2:26" ht="15.2" customHeight="1">
      <c r="B1039" s="37"/>
      <c r="E1039" s="2407">
        <v>6</v>
      </c>
      <c r="F1039" s="2297" t="s">
        <v>723</v>
      </c>
      <c r="G1039" s="68" t="s">
        <v>757</v>
      </c>
      <c r="H1039" s="69" t="s">
        <v>1589</v>
      </c>
      <c r="I1039" s="68" t="s">
        <v>726</v>
      </c>
      <c r="J1039" s="70" t="s">
        <v>760</v>
      </c>
      <c r="K1039" s="71" t="s">
        <v>2517</v>
      </c>
      <c r="L1039" s="72">
        <v>42852</v>
      </c>
      <c r="M1039" s="2306" t="s">
        <v>729</v>
      </c>
      <c r="N1039" s="74">
        <v>42864</v>
      </c>
      <c r="O1039" s="75">
        <v>0</v>
      </c>
      <c r="P1039" s="2765" t="s">
        <v>2521</v>
      </c>
      <c r="Q1039" s="2954">
        <v>100.9</v>
      </c>
      <c r="R1039" s="76"/>
      <c r="S1039" s="1945" t="s">
        <v>731</v>
      </c>
      <c r="T1039" s="77"/>
      <c r="U1039" s="1893"/>
      <c r="V1039" s="2079">
        <f t="shared" si="329"/>
        <v>119.062</v>
      </c>
      <c r="W1039" s="78">
        <f t="shared" si="330"/>
        <v>0</v>
      </c>
      <c r="X1039" s="1878" t="str">
        <f t="shared" si="327"/>
        <v xml:space="preserve">6.- R Goodyear 8220616-OT_234484  Reencauche F102-00005964 </v>
      </c>
      <c r="Z1039" s="19" t="str">
        <f t="shared" si="335"/>
        <v>ReencaucheReencauchadora RENOVA</v>
      </c>
    </row>
    <row r="1040" spans="2:26" ht="15.2" customHeight="1">
      <c r="B1040" s="37"/>
      <c r="E1040" s="2407">
        <v>7</v>
      </c>
      <c r="F1040" s="2297" t="s">
        <v>732</v>
      </c>
      <c r="G1040" s="68" t="s">
        <v>737</v>
      </c>
      <c r="H1040" s="69" t="s">
        <v>1114</v>
      </c>
      <c r="I1040" s="68" t="s">
        <v>726</v>
      </c>
      <c r="J1040" s="70" t="s">
        <v>760</v>
      </c>
      <c r="K1040" s="2305" t="s">
        <v>2518</v>
      </c>
      <c r="L1040" s="72">
        <v>42852</v>
      </c>
      <c r="M1040" s="73" t="s">
        <v>729</v>
      </c>
      <c r="N1040" s="74">
        <v>42864</v>
      </c>
      <c r="O1040" s="75">
        <v>42852</v>
      </c>
      <c r="P1040" s="2765" t="s">
        <v>2519</v>
      </c>
      <c r="Q1040" s="2954">
        <v>0</v>
      </c>
      <c r="R1040" s="76"/>
      <c r="S1040" s="1945" t="s">
        <v>731</v>
      </c>
      <c r="T1040" s="77" t="s">
        <v>2520</v>
      </c>
      <c r="U1040" s="1893"/>
      <c r="V1040" s="2079">
        <f t="shared" si="329"/>
        <v>0</v>
      </c>
      <c r="W1040" s="78">
        <f t="shared" si="330"/>
        <v>0</v>
      </c>
      <c r="X1040" s="1878" t="str">
        <f t="shared" si="327"/>
        <v>7.- C Vikrant 0070109-OT_234485  Reencauche G031-0022329 Rechazada, G031-0022329</v>
      </c>
      <c r="Z1040" s="19" t="str">
        <f t="shared" si="335"/>
        <v>ReencaucheReencauchadora RENOVA</v>
      </c>
    </row>
    <row r="1041" spans="2:26" ht="15.2" customHeight="1">
      <c r="B1041" s="37"/>
      <c r="E1041" s="2407">
        <v>8</v>
      </c>
      <c r="F1041" s="2297" t="s">
        <v>732</v>
      </c>
      <c r="G1041" s="68" t="s">
        <v>737</v>
      </c>
      <c r="H1041" s="69" t="s">
        <v>1554</v>
      </c>
      <c r="I1041" s="68" t="s">
        <v>726</v>
      </c>
      <c r="J1041" s="70" t="s">
        <v>760</v>
      </c>
      <c r="K1041" s="2305" t="s">
        <v>2518</v>
      </c>
      <c r="L1041" s="72">
        <v>42852</v>
      </c>
      <c r="M1041" s="73" t="s">
        <v>729</v>
      </c>
      <c r="N1041" s="74">
        <v>42864</v>
      </c>
      <c r="O1041" s="75">
        <v>42852</v>
      </c>
      <c r="P1041" s="2765" t="s">
        <v>2519</v>
      </c>
      <c r="Q1041" s="2954">
        <v>0</v>
      </c>
      <c r="R1041" s="76"/>
      <c r="S1041" s="1945" t="s">
        <v>731</v>
      </c>
      <c r="T1041" s="77" t="s">
        <v>2520</v>
      </c>
      <c r="U1041" s="1893"/>
      <c r="V1041" s="2079">
        <f t="shared" si="329"/>
        <v>0</v>
      </c>
      <c r="W1041" s="78">
        <f t="shared" si="330"/>
        <v>0</v>
      </c>
      <c r="X1041" s="1878" t="str">
        <f t="shared" si="327"/>
        <v>8.- C Vikrant 0010111-OT_234485  Reencauche G031-0022329 Rechazada, G031-0022329</v>
      </c>
      <c r="Z1041" s="19" t="str">
        <f t="shared" si="335"/>
        <v>ReencaucheReenc. MASTERCAUCHO</v>
      </c>
    </row>
    <row r="1042" spans="2:26" ht="15.2" customHeight="1">
      <c r="B1042" s="37"/>
      <c r="E1042" s="343">
        <v>9</v>
      </c>
      <c r="F1042" s="3131" t="s">
        <v>732</v>
      </c>
      <c r="G1042" s="2263" t="s">
        <v>733</v>
      </c>
      <c r="H1042" s="2265" t="s">
        <v>432</v>
      </c>
      <c r="I1042" s="2263" t="s">
        <v>726</v>
      </c>
      <c r="J1042" s="2266" t="s">
        <v>760</v>
      </c>
      <c r="K1042" s="2267" t="s">
        <v>2518</v>
      </c>
      <c r="L1042" s="2268">
        <v>42852</v>
      </c>
      <c r="M1042" s="2269" t="s">
        <v>729</v>
      </c>
      <c r="N1042" s="2270">
        <v>42884</v>
      </c>
      <c r="O1042" s="2271">
        <v>42884</v>
      </c>
      <c r="P1042" s="2777" t="s">
        <v>2565</v>
      </c>
      <c r="Q1042" s="2956">
        <v>85.79</v>
      </c>
      <c r="R1042" s="2272"/>
      <c r="S1042" s="2273" t="s">
        <v>731</v>
      </c>
      <c r="T1042" s="610" t="s">
        <v>2566</v>
      </c>
      <c r="U1042" s="1893"/>
      <c r="V1042" s="2079">
        <f t="shared" si="329"/>
        <v>101.23220000000001</v>
      </c>
      <c r="W1042" s="78">
        <f t="shared" si="330"/>
        <v>0</v>
      </c>
      <c r="X1042" s="1878" t="str">
        <f t="shared" si="327"/>
        <v>9.- C Lima Caucho 1081210-OT_234485  Reencauche F101-00009287 IZB-210</v>
      </c>
      <c r="Z1042" s="19" t="str">
        <f t="shared" si="335"/>
        <v>Casc 2a trnsplReenc. MASTERCAUCHO</v>
      </c>
    </row>
    <row r="1043" spans="2:26" ht="15.2" customHeight="1">
      <c r="B1043" s="37"/>
      <c r="E1043" s="79">
        <v>10</v>
      </c>
      <c r="F1043" s="3141" t="s">
        <v>723</v>
      </c>
      <c r="G1043" s="3142" t="s">
        <v>757</v>
      </c>
      <c r="H1043" s="3136" t="s">
        <v>531</v>
      </c>
      <c r="I1043" s="3142" t="s">
        <v>726</v>
      </c>
      <c r="J1043" s="3149" t="s">
        <v>760</v>
      </c>
      <c r="K1043" s="3137" t="s">
        <v>2517</v>
      </c>
      <c r="L1043" s="3143">
        <v>42852</v>
      </c>
      <c r="M1043" s="3144" t="s">
        <v>729</v>
      </c>
      <c r="N1043" s="3138">
        <v>42901</v>
      </c>
      <c r="O1043" s="3145">
        <f t="shared" ref="O1043:O1048" si="337">+N1043</f>
        <v>42901</v>
      </c>
      <c r="P1043" s="3139" t="s">
        <v>2588</v>
      </c>
      <c r="Q1043" s="2957">
        <v>100.9</v>
      </c>
      <c r="R1043" s="2584"/>
      <c r="S1043" s="2585" t="s">
        <v>731</v>
      </c>
      <c r="T1043" s="610" t="s">
        <v>2570</v>
      </c>
      <c r="U1043" s="1893"/>
      <c r="V1043" s="2079">
        <f t="shared" si="329"/>
        <v>119.062</v>
      </c>
      <c r="W1043" s="78">
        <f t="shared" si="330"/>
        <v>0</v>
      </c>
      <c r="X1043" s="1878" t="str">
        <f t="shared" si="327"/>
        <v>10.- R Goodyear 8130516-OT_234484  Reencauche F101-00009631 IDY3-220</v>
      </c>
      <c r="Z1043" s="19" t="str">
        <f t="shared" ref="Z1043:Z1053" si="338">CONCATENATE(I1046,J1046)</f>
        <v>Transpl BandaReenc. MASTERCAUCHO</v>
      </c>
    </row>
    <row r="1044" spans="2:26" ht="15.2" customHeight="1">
      <c r="B1044" s="37"/>
      <c r="E1044" s="2395">
        <v>1</v>
      </c>
      <c r="F1044" s="2297" t="s">
        <v>732</v>
      </c>
      <c r="G1044" s="68" t="s">
        <v>733</v>
      </c>
      <c r="H1044" s="69" t="s">
        <v>1523</v>
      </c>
      <c r="I1044" s="68" t="s">
        <v>726</v>
      </c>
      <c r="J1044" s="70" t="s">
        <v>727</v>
      </c>
      <c r="K1044" s="71" t="s">
        <v>2508</v>
      </c>
      <c r="L1044" s="72">
        <v>42852</v>
      </c>
      <c r="M1044" s="2306" t="s">
        <v>729</v>
      </c>
      <c r="N1044" s="74">
        <v>42867</v>
      </c>
      <c r="O1044" s="75">
        <f t="shared" si="337"/>
        <v>42867</v>
      </c>
      <c r="P1044" s="2765" t="s">
        <v>2532</v>
      </c>
      <c r="Q1044" s="2954"/>
      <c r="R1044" s="76">
        <v>279.66000000000003</v>
      </c>
      <c r="S1044" s="1945" t="s">
        <v>731</v>
      </c>
      <c r="T1044" s="77"/>
      <c r="U1044" s="1893"/>
      <c r="V1044" s="2079">
        <f t="shared" si="329"/>
        <v>0</v>
      </c>
      <c r="W1044" s="78">
        <f t="shared" si="330"/>
        <v>329.99880000000002</v>
      </c>
      <c r="X1044" s="1878" t="str">
        <f t="shared" si="327"/>
        <v xml:space="preserve">1.- C Lima Caucho 0550807-OT_005675  Reencauche 0001-008035 </v>
      </c>
      <c r="Z1044" s="19" t="str">
        <f>CONCATENATE(I1047,J1047)</f>
        <v>ReencaucheReenc. MASTERCAUCHO</v>
      </c>
    </row>
    <row r="1045" spans="2:26" ht="15.2" customHeight="1">
      <c r="B1045" s="37"/>
      <c r="E1045" s="66">
        <v>2</v>
      </c>
      <c r="F1045" s="2297" t="s">
        <v>723</v>
      </c>
      <c r="G1045" s="68" t="s">
        <v>724</v>
      </c>
      <c r="H1045" s="69" t="s">
        <v>973</v>
      </c>
      <c r="I1045" s="68" t="s">
        <v>3224</v>
      </c>
      <c r="J1045" s="70" t="s">
        <v>727</v>
      </c>
      <c r="K1045" s="2305" t="s">
        <v>2508</v>
      </c>
      <c r="L1045" s="72">
        <v>42852</v>
      </c>
      <c r="M1045" s="2306" t="s">
        <v>729</v>
      </c>
      <c r="N1045" s="74">
        <v>42867</v>
      </c>
      <c r="O1045" s="75">
        <f t="shared" si="337"/>
        <v>42867</v>
      </c>
      <c r="P1045" s="2765" t="s">
        <v>2532</v>
      </c>
      <c r="Q1045" s="2954"/>
      <c r="R1045" s="76">
        <v>211.86439999999999</v>
      </c>
      <c r="S1045" s="1945" t="s">
        <v>731</v>
      </c>
      <c r="T1045" s="77"/>
      <c r="U1045" s="1893"/>
      <c r="V1045" s="2079">
        <f t="shared" si="329"/>
        <v>0</v>
      </c>
      <c r="W1045" s="78">
        <f t="shared" si="330"/>
        <v>249.99999199999996</v>
      </c>
      <c r="X1045" s="1878" t="str">
        <f t="shared" si="327"/>
        <v xml:space="preserve">2.- R Aeolus 0110612-OT_005675  Casc 2a trnspl 0001-008035 </v>
      </c>
      <c r="Z1045" s="19" t="str">
        <f t="shared" si="338"/>
        <v>ReencaucheReenc. MASTERCAUCHO</v>
      </c>
    </row>
    <row r="1046" spans="2:26" ht="15.2" customHeight="1">
      <c r="B1046" s="37"/>
      <c r="E1046" s="2411">
        <v>3</v>
      </c>
      <c r="F1046" s="2297" t="s">
        <v>723</v>
      </c>
      <c r="G1046" s="68" t="s">
        <v>724</v>
      </c>
      <c r="H1046" s="69" t="s">
        <v>820</v>
      </c>
      <c r="I1046" s="68" t="s">
        <v>740</v>
      </c>
      <c r="J1046" s="70" t="s">
        <v>727</v>
      </c>
      <c r="K1046" s="71" t="s">
        <v>2508</v>
      </c>
      <c r="L1046" s="72">
        <v>42852</v>
      </c>
      <c r="M1046" s="2306" t="s">
        <v>729</v>
      </c>
      <c r="N1046" s="74">
        <v>42867</v>
      </c>
      <c r="O1046" s="75">
        <f t="shared" si="337"/>
        <v>42867</v>
      </c>
      <c r="P1046" s="2765" t="s">
        <v>2532</v>
      </c>
      <c r="Q1046" s="2954"/>
      <c r="R1046" s="76">
        <v>211.86439999999999</v>
      </c>
      <c r="S1046" s="1945" t="s">
        <v>731</v>
      </c>
      <c r="T1046" s="77"/>
      <c r="U1046" s="1893"/>
      <c r="V1046" s="2079">
        <f t="shared" si="329"/>
        <v>0</v>
      </c>
      <c r="W1046" s="78">
        <f t="shared" si="330"/>
        <v>249.99999199999996</v>
      </c>
      <c r="X1046" s="1878" t="str">
        <f t="shared" si="327"/>
        <v xml:space="preserve">3.- R Aeolus 0140612-OT_005675  Transpl Banda 0001-008035 </v>
      </c>
      <c r="Z1046" s="19" t="str">
        <f t="shared" si="338"/>
        <v>ReencaucheReencauchadora RENOVA</v>
      </c>
    </row>
    <row r="1047" spans="2:26" ht="15.2" customHeight="1">
      <c r="B1047" s="37"/>
      <c r="E1047" s="79">
        <v>4</v>
      </c>
      <c r="F1047" s="2294" t="s">
        <v>732</v>
      </c>
      <c r="G1047" s="81" t="s">
        <v>733</v>
      </c>
      <c r="H1047" s="82" t="s">
        <v>813</v>
      </c>
      <c r="I1047" s="81" t="s">
        <v>726</v>
      </c>
      <c r="J1047" s="83" t="s">
        <v>727</v>
      </c>
      <c r="K1047" s="84" t="s">
        <v>2508</v>
      </c>
      <c r="L1047" s="85">
        <v>42852</v>
      </c>
      <c r="M1047" s="2296"/>
      <c r="N1047" s="87"/>
      <c r="O1047" s="88">
        <f t="shared" si="337"/>
        <v>0</v>
      </c>
      <c r="P1047" s="2766"/>
      <c r="Q1047" s="2955"/>
      <c r="R1047" s="89">
        <v>0</v>
      </c>
      <c r="S1047" s="1946" t="s">
        <v>722</v>
      </c>
      <c r="T1047" s="1875" t="s">
        <v>2487</v>
      </c>
      <c r="U1047" s="1893"/>
      <c r="V1047" s="2079">
        <f t="shared" si="329"/>
        <v>0</v>
      </c>
      <c r="W1047" s="78">
        <f t="shared" si="330"/>
        <v>0</v>
      </c>
      <c r="X1047" s="1878" t="str">
        <f t="shared" si="327"/>
        <v>4.- C Lima Caucho 0971210-OT_005675  Reencauche  Rechazada, G0001-002474 X</v>
      </c>
      <c r="Z1047" s="19" t="str">
        <f t="shared" si="338"/>
        <v>ReencaucheReencauchadora RENOVA</v>
      </c>
    </row>
    <row r="1048" spans="2:26" ht="15.2" customHeight="1">
      <c r="B1048" s="37"/>
      <c r="E1048" s="79">
        <v>1</v>
      </c>
      <c r="F1048" s="2294" t="s">
        <v>723</v>
      </c>
      <c r="G1048" s="81" t="s">
        <v>291</v>
      </c>
      <c r="H1048" s="82" t="s">
        <v>2507</v>
      </c>
      <c r="I1048" s="81" t="s">
        <v>726</v>
      </c>
      <c r="J1048" s="83" t="s">
        <v>727</v>
      </c>
      <c r="K1048" s="2295" t="s">
        <v>2508</v>
      </c>
      <c r="L1048" s="85">
        <v>42852</v>
      </c>
      <c r="M1048" s="2296" t="s">
        <v>729</v>
      </c>
      <c r="N1048" s="87">
        <v>42854</v>
      </c>
      <c r="O1048" s="88">
        <f t="shared" si="337"/>
        <v>42854</v>
      </c>
      <c r="P1048" s="2766" t="s">
        <v>2509</v>
      </c>
      <c r="Q1048" s="2955"/>
      <c r="R1048" s="89">
        <v>542.37289999999996</v>
      </c>
      <c r="S1048" s="1946" t="s">
        <v>731</v>
      </c>
      <c r="T1048" s="77"/>
      <c r="U1048" s="1893"/>
      <c r="V1048" s="2079">
        <f t="shared" si="329"/>
        <v>0</v>
      </c>
      <c r="W1048" s="78">
        <f t="shared" si="330"/>
        <v>640.00002199999994</v>
      </c>
      <c r="X1048" s="1878" t="str">
        <f t="shared" si="327"/>
        <v xml:space="preserve">1.- R Brigestone 19683-OT_005675  Reencauche 0001-007938 </v>
      </c>
      <c r="Z1048" s="19" t="str">
        <f t="shared" si="338"/>
        <v>ReencaucheReencauchadora RENOVA</v>
      </c>
    </row>
    <row r="1049" spans="2:26" ht="15.2" customHeight="1">
      <c r="B1049" s="37"/>
      <c r="E1049" s="2395">
        <v>1</v>
      </c>
      <c r="F1049" s="2297" t="s">
        <v>732</v>
      </c>
      <c r="G1049" s="68" t="s">
        <v>737</v>
      </c>
      <c r="H1049" s="69" t="s">
        <v>892</v>
      </c>
      <c r="I1049" s="68" t="s">
        <v>726</v>
      </c>
      <c r="J1049" s="70" t="s">
        <v>760</v>
      </c>
      <c r="K1049" s="2305" t="s">
        <v>2503</v>
      </c>
      <c r="L1049" s="72">
        <v>42842</v>
      </c>
      <c r="M1049" s="73" t="s">
        <v>729</v>
      </c>
      <c r="N1049" s="74">
        <v>42852</v>
      </c>
      <c r="O1049" s="75">
        <v>42852</v>
      </c>
      <c r="P1049" s="2765" t="s">
        <v>2505</v>
      </c>
      <c r="Q1049" s="2954">
        <v>90.26</v>
      </c>
      <c r="R1049" s="76"/>
      <c r="S1049" s="1945" t="s">
        <v>731</v>
      </c>
      <c r="T1049" s="77"/>
      <c r="U1049" s="1893"/>
      <c r="V1049" s="2079">
        <f t="shared" si="329"/>
        <v>106.5068</v>
      </c>
      <c r="W1049" s="78">
        <f t="shared" si="330"/>
        <v>0</v>
      </c>
      <c r="X1049" s="1878" t="str">
        <f t="shared" si="327"/>
        <v xml:space="preserve">1.- C Vikrant 0190310-OT_234458  Reencauche F101-00008783 </v>
      </c>
      <c r="Z1049" s="19" t="str">
        <f t="shared" si="338"/>
        <v>ReencaucheReencauchadora RENOVA</v>
      </c>
    </row>
    <row r="1050" spans="2:26" ht="15.2" customHeight="1">
      <c r="B1050" s="37"/>
      <c r="E1050" s="2395">
        <v>2</v>
      </c>
      <c r="F1050" s="2297" t="s">
        <v>732</v>
      </c>
      <c r="G1050" s="68" t="s">
        <v>733</v>
      </c>
      <c r="H1050" s="69" t="s">
        <v>774</v>
      </c>
      <c r="I1050" s="68" t="s">
        <v>726</v>
      </c>
      <c r="J1050" s="70" t="s">
        <v>760</v>
      </c>
      <c r="K1050" s="2305" t="s">
        <v>2503</v>
      </c>
      <c r="L1050" s="72">
        <v>42842</v>
      </c>
      <c r="M1050" s="73" t="s">
        <v>729</v>
      </c>
      <c r="N1050" s="74">
        <v>42852</v>
      </c>
      <c r="O1050" s="75">
        <v>42852</v>
      </c>
      <c r="P1050" s="2765" t="s">
        <v>2505</v>
      </c>
      <c r="Q1050" s="2954">
        <v>90.26</v>
      </c>
      <c r="R1050" s="76"/>
      <c r="S1050" s="1945" t="s">
        <v>731</v>
      </c>
      <c r="T1050" s="77"/>
      <c r="U1050" s="1893"/>
      <c r="V1050" s="2079">
        <f t="shared" si="329"/>
        <v>106.5068</v>
      </c>
      <c r="W1050" s="78">
        <f t="shared" si="330"/>
        <v>0</v>
      </c>
      <c r="X1050" s="1878" t="str">
        <f t="shared" si="327"/>
        <v xml:space="preserve">2.- C Lima Caucho 0050113-OT_234458  Reencauche F101-00008783 </v>
      </c>
      <c r="Z1050" s="19" t="str">
        <f t="shared" si="338"/>
        <v>ReencaucheReencauchadora RENOVA</v>
      </c>
    </row>
    <row r="1051" spans="2:26" ht="15.2" customHeight="1">
      <c r="B1051" s="37"/>
      <c r="E1051" s="2395">
        <v>3</v>
      </c>
      <c r="F1051" s="2297" t="s">
        <v>732</v>
      </c>
      <c r="G1051" s="68" t="s">
        <v>733</v>
      </c>
      <c r="H1051" s="69" t="s">
        <v>2501</v>
      </c>
      <c r="I1051" s="68" t="s">
        <v>726</v>
      </c>
      <c r="J1051" s="70" t="s">
        <v>760</v>
      </c>
      <c r="K1051" s="2305" t="s">
        <v>2503</v>
      </c>
      <c r="L1051" s="72">
        <v>42842</v>
      </c>
      <c r="M1051" s="73" t="s">
        <v>729</v>
      </c>
      <c r="N1051" s="74">
        <v>42852</v>
      </c>
      <c r="O1051" s="75">
        <v>42852</v>
      </c>
      <c r="P1051" s="2765" t="s">
        <v>2505</v>
      </c>
      <c r="Q1051" s="2954">
        <v>90.26</v>
      </c>
      <c r="R1051" s="76"/>
      <c r="S1051" s="1945" t="s">
        <v>731</v>
      </c>
      <c r="T1051" s="77"/>
      <c r="U1051" s="1893"/>
      <c r="V1051" s="2079">
        <f t="shared" si="329"/>
        <v>106.5068</v>
      </c>
      <c r="W1051" s="78">
        <f t="shared" si="330"/>
        <v>0</v>
      </c>
      <c r="X1051" s="1878" t="str">
        <f t="shared" si="327"/>
        <v xml:space="preserve">3.- C Lima Caucho 10912-OT_234458  Reencauche F101-00008783 </v>
      </c>
      <c r="Z1051" s="19" t="str">
        <f t="shared" si="338"/>
        <v>ReencaucheReencauchadora RENOVA</v>
      </c>
    </row>
    <row r="1052" spans="2:26" ht="15.2" customHeight="1">
      <c r="B1052" s="37"/>
      <c r="E1052" s="2395">
        <v>4</v>
      </c>
      <c r="F1052" s="2297" t="s">
        <v>723</v>
      </c>
      <c r="G1052" s="68" t="s">
        <v>825</v>
      </c>
      <c r="H1052" s="69" t="s">
        <v>862</v>
      </c>
      <c r="I1052" s="68" t="s">
        <v>726</v>
      </c>
      <c r="J1052" s="70" t="s">
        <v>760</v>
      </c>
      <c r="K1052" s="2305" t="s">
        <v>2502</v>
      </c>
      <c r="L1052" s="72">
        <v>42842</v>
      </c>
      <c r="M1052" s="73" t="s">
        <v>729</v>
      </c>
      <c r="N1052" s="74">
        <v>42852</v>
      </c>
      <c r="O1052" s="75">
        <v>42852</v>
      </c>
      <c r="P1052" s="2765" t="s">
        <v>2505</v>
      </c>
      <c r="Q1052" s="2954">
        <v>100.9</v>
      </c>
      <c r="R1052" s="76"/>
      <c r="S1052" s="1945" t="s">
        <v>731</v>
      </c>
      <c r="T1052" s="77"/>
      <c r="U1052" s="1893"/>
      <c r="V1052" s="2079">
        <f t="shared" si="329"/>
        <v>119.062</v>
      </c>
      <c r="W1052" s="78">
        <f t="shared" si="330"/>
        <v>0</v>
      </c>
      <c r="X1052" s="1878" t="str">
        <f t="shared" si="327"/>
        <v xml:space="preserve">4.- R Falken 0540611-OT_234457  Reencauche F101-00008783 </v>
      </c>
      <c r="Z1052" s="19" t="str">
        <f t="shared" si="338"/>
        <v>ReencaucheReencauchadora RENOVA</v>
      </c>
    </row>
    <row r="1053" spans="2:26" ht="15.2" customHeight="1">
      <c r="B1053" s="37"/>
      <c r="E1053" s="2395">
        <v>5</v>
      </c>
      <c r="F1053" s="2297" t="s">
        <v>723</v>
      </c>
      <c r="G1053" s="68" t="s">
        <v>724</v>
      </c>
      <c r="H1053" s="69" t="s">
        <v>2499</v>
      </c>
      <c r="I1053" s="68" t="s">
        <v>726</v>
      </c>
      <c r="J1053" s="70" t="s">
        <v>760</v>
      </c>
      <c r="K1053" s="71" t="s">
        <v>2502</v>
      </c>
      <c r="L1053" s="72">
        <v>42842</v>
      </c>
      <c r="M1053" s="73" t="s">
        <v>729</v>
      </c>
      <c r="N1053" s="74">
        <v>42852</v>
      </c>
      <c r="O1053" s="75">
        <v>42852</v>
      </c>
      <c r="P1053" s="2765" t="s">
        <v>2505</v>
      </c>
      <c r="Q1053" s="2954">
        <v>100.9</v>
      </c>
      <c r="R1053" s="76"/>
      <c r="S1053" s="1945" t="s">
        <v>731</v>
      </c>
      <c r="T1053" s="77"/>
      <c r="U1053" s="1893"/>
      <c r="V1053" s="2079">
        <f t="shared" si="329"/>
        <v>119.062</v>
      </c>
      <c r="W1053" s="78">
        <f t="shared" si="330"/>
        <v>0</v>
      </c>
      <c r="X1053" s="1878" t="str">
        <f t="shared" si="327"/>
        <v xml:space="preserve">5.- R Aeolus 020912-OT_234457  Reencauche F101-00008783 </v>
      </c>
      <c r="Z1053" s="19" t="str">
        <f t="shared" si="338"/>
        <v>ReencaucheReencauchadora RENOVA</v>
      </c>
    </row>
    <row r="1054" spans="2:26" ht="15.2" customHeight="1">
      <c r="B1054" s="37"/>
      <c r="E1054" s="2395">
        <v>6</v>
      </c>
      <c r="F1054" s="2297" t="s">
        <v>723</v>
      </c>
      <c r="G1054" s="68" t="s">
        <v>724</v>
      </c>
      <c r="H1054" s="69" t="s">
        <v>876</v>
      </c>
      <c r="I1054" s="68" t="s">
        <v>726</v>
      </c>
      <c r="J1054" s="70" t="s">
        <v>760</v>
      </c>
      <c r="K1054" s="71" t="s">
        <v>2502</v>
      </c>
      <c r="L1054" s="72">
        <v>42842</v>
      </c>
      <c r="M1054" s="73" t="s">
        <v>729</v>
      </c>
      <c r="N1054" s="74">
        <v>42852</v>
      </c>
      <c r="O1054" s="75">
        <v>42852</v>
      </c>
      <c r="P1054" s="2765" t="s">
        <v>2505</v>
      </c>
      <c r="Q1054" s="2954">
        <v>100.9</v>
      </c>
      <c r="R1054" s="76"/>
      <c r="S1054" s="1945" t="s">
        <v>731</v>
      </c>
      <c r="T1054" s="77"/>
      <c r="U1054" s="1893"/>
      <c r="V1054" s="2079">
        <f t="shared" si="329"/>
        <v>119.062</v>
      </c>
      <c r="W1054" s="78">
        <f t="shared" si="330"/>
        <v>0</v>
      </c>
      <c r="X1054" s="1878" t="str">
        <f t="shared" si="327"/>
        <v xml:space="preserve">6.- R Aeolus 0230413-OT_234457  Reencauche F101-00008783 </v>
      </c>
      <c r="Z1054" s="19" t="str">
        <f>CONCATENATE(I1057,J1057)</f>
        <v>ReencaucheReencauchadora RENOVA</v>
      </c>
    </row>
    <row r="1055" spans="2:26" ht="15.2" customHeight="1">
      <c r="B1055" s="37"/>
      <c r="E1055" s="2395">
        <v>7</v>
      </c>
      <c r="F1055" s="2297" t="s">
        <v>723</v>
      </c>
      <c r="G1055" s="68" t="s">
        <v>724</v>
      </c>
      <c r="H1055" s="69" t="s">
        <v>878</v>
      </c>
      <c r="I1055" s="68" t="s">
        <v>726</v>
      </c>
      <c r="J1055" s="70" t="s">
        <v>760</v>
      </c>
      <c r="K1055" s="71" t="s">
        <v>2502</v>
      </c>
      <c r="L1055" s="72">
        <v>42842</v>
      </c>
      <c r="M1055" s="2306" t="s">
        <v>729</v>
      </c>
      <c r="N1055" s="74">
        <v>42852</v>
      </c>
      <c r="O1055" s="75">
        <f>+N1055</f>
        <v>42852</v>
      </c>
      <c r="P1055" s="2765" t="s">
        <v>2505</v>
      </c>
      <c r="Q1055" s="2954">
        <v>100.9</v>
      </c>
      <c r="R1055" s="76"/>
      <c r="S1055" s="1945" t="s">
        <v>731</v>
      </c>
      <c r="T1055" s="77"/>
      <c r="U1055" s="1893"/>
      <c r="V1055" s="2079">
        <f t="shared" si="329"/>
        <v>119.062</v>
      </c>
      <c r="W1055" s="78">
        <f t="shared" si="330"/>
        <v>0</v>
      </c>
      <c r="X1055" s="1878" t="str">
        <f t="shared" si="327"/>
        <v xml:space="preserve">7.- R Aeolus 0280413-OT_234457  Reencauche F101-00008783 </v>
      </c>
      <c r="Z1055" s="19" t="str">
        <f>CONCATENATE(I1058,J1058)</f>
        <v>ReencaucheReencauchadora RENOVA</v>
      </c>
    </row>
    <row r="1056" spans="2:26" ht="15.2" customHeight="1">
      <c r="B1056" s="37"/>
      <c r="E1056" s="2395">
        <v>8</v>
      </c>
      <c r="F1056" s="2297" t="s">
        <v>723</v>
      </c>
      <c r="G1056" s="68" t="s">
        <v>724</v>
      </c>
      <c r="H1056" s="69" t="s">
        <v>2500</v>
      </c>
      <c r="I1056" s="68" t="s">
        <v>726</v>
      </c>
      <c r="J1056" s="70" t="s">
        <v>760</v>
      </c>
      <c r="K1056" s="71" t="s">
        <v>2502</v>
      </c>
      <c r="L1056" s="72">
        <v>42842</v>
      </c>
      <c r="M1056" s="73" t="s">
        <v>729</v>
      </c>
      <c r="N1056" s="74">
        <v>42852</v>
      </c>
      <c r="O1056" s="75">
        <v>42852</v>
      </c>
      <c r="P1056" s="2765" t="s">
        <v>2505</v>
      </c>
      <c r="Q1056" s="2954">
        <v>100.9</v>
      </c>
      <c r="R1056" s="76"/>
      <c r="S1056" s="1945" t="s">
        <v>731</v>
      </c>
      <c r="T1056" s="77"/>
      <c r="U1056" s="1893"/>
      <c r="V1056" s="2079">
        <f t="shared" si="329"/>
        <v>119.062</v>
      </c>
      <c r="W1056" s="78">
        <f t="shared" si="330"/>
        <v>0</v>
      </c>
      <c r="X1056" s="1878" t="str">
        <f t="shared" si="327"/>
        <v xml:space="preserve">8.- R Aeolus 0020114-OT_234457  Reencauche F101-00008783 </v>
      </c>
      <c r="Z1056" s="19" t="str">
        <f>CONCATENATE(I1059,J1059)</f>
        <v>ReencaucheReencauchadora RENOVA</v>
      </c>
    </row>
    <row r="1057" spans="2:26" ht="15.2" customHeight="1">
      <c r="B1057" s="37"/>
      <c r="E1057" s="2395">
        <v>9</v>
      </c>
      <c r="F1057" s="2297" t="s">
        <v>723</v>
      </c>
      <c r="G1057" s="68" t="s">
        <v>724</v>
      </c>
      <c r="H1057" s="69" t="s">
        <v>745</v>
      </c>
      <c r="I1057" s="68" t="s">
        <v>726</v>
      </c>
      <c r="J1057" s="70" t="s">
        <v>760</v>
      </c>
      <c r="K1057" s="71" t="s">
        <v>2502</v>
      </c>
      <c r="L1057" s="72">
        <v>42842</v>
      </c>
      <c r="M1057" s="73" t="s">
        <v>729</v>
      </c>
      <c r="N1057" s="74">
        <v>42852</v>
      </c>
      <c r="O1057" s="75">
        <v>42852</v>
      </c>
      <c r="P1057" s="2765" t="s">
        <v>2505</v>
      </c>
      <c r="Q1057" s="2954">
        <v>100.9</v>
      </c>
      <c r="R1057" s="76"/>
      <c r="S1057" s="1945" t="s">
        <v>731</v>
      </c>
      <c r="T1057" s="77"/>
      <c r="U1057" s="1893"/>
      <c r="V1057" s="2079">
        <f t="shared" si="329"/>
        <v>119.062</v>
      </c>
      <c r="W1057" s="78">
        <f t="shared" si="330"/>
        <v>0</v>
      </c>
      <c r="X1057" s="2412" t="str">
        <f t="shared" si="327"/>
        <v xml:space="preserve">9.- R Aeolus 0290413-OT_234457  Reencauche F101-00008783 </v>
      </c>
      <c r="Z1057" s="19" t="str">
        <f>CONCATENATE(I1060,J1060)</f>
        <v>ReencaucheReencauchadora RENOVA</v>
      </c>
    </row>
    <row r="1058" spans="2:26" ht="15.2" customHeight="1">
      <c r="B1058" s="37"/>
      <c r="E1058" s="2395">
        <v>10</v>
      </c>
      <c r="F1058" s="2297" t="s">
        <v>723</v>
      </c>
      <c r="G1058" s="68" t="s">
        <v>724</v>
      </c>
      <c r="H1058" s="69" t="s">
        <v>749</v>
      </c>
      <c r="I1058" s="68" t="s">
        <v>726</v>
      </c>
      <c r="J1058" s="70" t="s">
        <v>760</v>
      </c>
      <c r="K1058" s="71" t="s">
        <v>2502</v>
      </c>
      <c r="L1058" s="72">
        <v>42842</v>
      </c>
      <c r="M1058" s="2306" t="s">
        <v>729</v>
      </c>
      <c r="N1058" s="74">
        <v>42852</v>
      </c>
      <c r="O1058" s="75">
        <f>+N1058</f>
        <v>42852</v>
      </c>
      <c r="P1058" s="2765" t="s">
        <v>2504</v>
      </c>
      <c r="Q1058" s="2954">
        <v>0</v>
      </c>
      <c r="R1058" s="76"/>
      <c r="S1058" s="1945" t="s">
        <v>731</v>
      </c>
      <c r="T1058" s="1875" t="s">
        <v>2506</v>
      </c>
      <c r="U1058" s="1893"/>
      <c r="V1058" s="2079">
        <f t="shared" si="329"/>
        <v>0</v>
      </c>
      <c r="W1058" s="78">
        <f t="shared" si="330"/>
        <v>0</v>
      </c>
      <c r="X1058" s="1878" t="str">
        <f t="shared" ref="X1058:X1121" si="339">CONCATENATE(E1058,".- ",F1058," ",G1058," ",H1058,"-OT_",K1058," "," ",I1058," ",P1058," ",T1058)</f>
        <v>10.- R Aeolus 0200413-OT_234457  Reencauche G030-0064857 Rechazada, G030-0064857</v>
      </c>
      <c r="Z1058" s="19" t="str">
        <f t="shared" ref="Z1058:Z1082" si="340">CONCATENATE(I1061,J1061)</f>
        <v>ReencaucheReenc. MASTERCAUCHO</v>
      </c>
    </row>
    <row r="1059" spans="2:26" ht="15.2" customHeight="1">
      <c r="B1059" s="37"/>
      <c r="E1059" s="2395">
        <v>11</v>
      </c>
      <c r="F1059" s="2297" t="s">
        <v>723</v>
      </c>
      <c r="G1059" s="68" t="s">
        <v>724</v>
      </c>
      <c r="H1059" s="69" t="s">
        <v>874</v>
      </c>
      <c r="I1059" s="68" t="s">
        <v>726</v>
      </c>
      <c r="J1059" s="70" t="s">
        <v>760</v>
      </c>
      <c r="K1059" s="71" t="s">
        <v>2502</v>
      </c>
      <c r="L1059" s="72">
        <v>42842</v>
      </c>
      <c r="M1059" s="2306" t="s">
        <v>729</v>
      </c>
      <c r="N1059" s="74">
        <v>42852</v>
      </c>
      <c r="O1059" s="75">
        <f>+N1059</f>
        <v>42852</v>
      </c>
      <c r="P1059" s="2765" t="s">
        <v>2504</v>
      </c>
      <c r="Q1059" s="2954">
        <v>0</v>
      </c>
      <c r="R1059" s="76"/>
      <c r="S1059" s="1945" t="s">
        <v>731</v>
      </c>
      <c r="T1059" s="1875" t="s">
        <v>2506</v>
      </c>
      <c r="U1059" s="1893"/>
      <c r="V1059" s="2079">
        <f t="shared" ref="V1059:V1122" si="341">+Q1059*(1.18)</f>
        <v>0</v>
      </c>
      <c r="W1059" s="78">
        <f t="shared" ref="W1059:W1122" si="342">+R1059*(1.18)</f>
        <v>0</v>
      </c>
      <c r="X1059" s="1878" t="str">
        <f t="shared" si="339"/>
        <v>11.- R Aeolus 0300413-OT_234457  Reencauche G030-0064857 Rechazada, G030-0064857</v>
      </c>
      <c r="Z1059" s="19" t="str">
        <f t="shared" ref="Z1059:Z1069" si="343">CONCATENATE(I1062,J1062)</f>
        <v>Vulcanizado (curación)Reenc. MASTERCAUCHO</v>
      </c>
    </row>
    <row r="1060" spans="2:26" ht="15.2" customHeight="1">
      <c r="B1060" s="37"/>
      <c r="E1060" s="79">
        <v>12</v>
      </c>
      <c r="F1060" s="2575" t="s">
        <v>723</v>
      </c>
      <c r="G1060" s="2576" t="s">
        <v>724</v>
      </c>
      <c r="H1060" s="2577" t="s">
        <v>807</v>
      </c>
      <c r="I1060" s="2576" t="s">
        <v>726</v>
      </c>
      <c r="J1060" s="2578" t="s">
        <v>760</v>
      </c>
      <c r="K1060" s="2579" t="s">
        <v>2502</v>
      </c>
      <c r="L1060" s="2580">
        <v>42842</v>
      </c>
      <c r="M1060" s="2581" t="s">
        <v>729</v>
      </c>
      <c r="N1060" s="2582">
        <v>42864</v>
      </c>
      <c r="O1060" s="2583">
        <f>+N1060</f>
        <v>42864</v>
      </c>
      <c r="P1060" s="2941" t="s">
        <v>2521</v>
      </c>
      <c r="Q1060" s="2957">
        <v>100.9</v>
      </c>
      <c r="R1060" s="2584"/>
      <c r="S1060" s="2585" t="s">
        <v>731</v>
      </c>
      <c r="T1060" s="77"/>
      <c r="U1060" s="1893"/>
      <c r="V1060" s="2079">
        <f t="shared" si="341"/>
        <v>119.062</v>
      </c>
      <c r="W1060" s="78">
        <f t="shared" si="342"/>
        <v>0</v>
      </c>
      <c r="X1060" s="1878" t="str">
        <f t="shared" si="339"/>
        <v xml:space="preserve">12.- R Aeolus 0160612-OT_234457  Reencauche F102-00005964 </v>
      </c>
      <c r="Z1060" s="19" t="str">
        <f t="shared" si="343"/>
        <v>Vulcanizado (curación)Reenc. MASTERCAUCHO</v>
      </c>
    </row>
    <row r="1061" spans="2:26" ht="15.2" customHeight="1">
      <c r="B1061" s="37"/>
      <c r="E1061" s="2385">
        <v>1</v>
      </c>
      <c r="F1061" s="2297" t="s">
        <v>732</v>
      </c>
      <c r="G1061" s="68" t="s">
        <v>1376</v>
      </c>
      <c r="H1061" s="69" t="s">
        <v>2495</v>
      </c>
      <c r="I1061" s="68" t="s">
        <v>726</v>
      </c>
      <c r="J1061" s="70" t="s">
        <v>727</v>
      </c>
      <c r="K1061" s="2305" t="s">
        <v>2497</v>
      </c>
      <c r="L1061" s="72">
        <v>42835</v>
      </c>
      <c r="M1061" s="2306" t="s">
        <v>729</v>
      </c>
      <c r="N1061" s="74">
        <v>42847</v>
      </c>
      <c r="O1061" s="75">
        <f>+N1061</f>
        <v>42847</v>
      </c>
      <c r="P1061" s="2765" t="s">
        <v>2498</v>
      </c>
      <c r="Q1061" s="2954"/>
      <c r="R1061" s="76">
        <v>279.66000000000003</v>
      </c>
      <c r="S1061" s="1945" t="s">
        <v>731</v>
      </c>
      <c r="T1061" s="77"/>
      <c r="U1061" s="1893"/>
      <c r="V1061" s="2079">
        <f t="shared" si="341"/>
        <v>0</v>
      </c>
      <c r="W1061" s="78">
        <f t="shared" si="342"/>
        <v>329.99880000000002</v>
      </c>
      <c r="X1061" s="1878" t="str">
        <f t="shared" si="339"/>
        <v xml:space="preserve">1.- C BFGoodrich 0490502-OT_005652  Reencauche 0001-007896 </v>
      </c>
      <c r="Z1061" s="19" t="str">
        <f t="shared" si="343"/>
        <v>Vulcanizado (curación)Reenc. MASTERCAUCHO</v>
      </c>
    </row>
    <row r="1062" spans="2:26" ht="15.2" customHeight="1">
      <c r="B1062" s="37"/>
      <c r="E1062" s="2393">
        <v>2</v>
      </c>
      <c r="F1062" s="2297" t="s">
        <v>732</v>
      </c>
      <c r="G1062" s="2396" t="s">
        <v>733</v>
      </c>
      <c r="H1062" s="2397" t="s">
        <v>1275</v>
      </c>
      <c r="I1062" s="2396" t="s">
        <v>811</v>
      </c>
      <c r="J1062" s="2398" t="s">
        <v>727</v>
      </c>
      <c r="K1062" s="2399" t="s">
        <v>2497</v>
      </c>
      <c r="L1062" s="2400">
        <v>42835</v>
      </c>
      <c r="M1062" s="73" t="s">
        <v>729</v>
      </c>
      <c r="N1062" s="74">
        <v>42847</v>
      </c>
      <c r="O1062" s="75">
        <v>42847</v>
      </c>
      <c r="P1062" s="2765" t="s">
        <v>2498</v>
      </c>
      <c r="Q1062" s="2954"/>
      <c r="R1062" s="76">
        <v>84.745699999999999</v>
      </c>
      <c r="S1062" s="1945" t="s">
        <v>731</v>
      </c>
      <c r="T1062" s="77"/>
      <c r="U1062" s="1893"/>
      <c r="V1062" s="2079">
        <f t="shared" si="341"/>
        <v>0</v>
      </c>
      <c r="W1062" s="78">
        <f t="shared" si="342"/>
        <v>99.999925999999988</v>
      </c>
      <c r="X1062" s="1878" t="str">
        <f t="shared" si="339"/>
        <v xml:space="preserve">2.- C Lima Caucho 0760908-OT_005652  Vulcanizado (curación) 0001-007896 </v>
      </c>
      <c r="Z1062" s="19" t="str">
        <f t="shared" si="343"/>
        <v>Vulcanizado (curación)Reenc. MASTERCAUCHO</v>
      </c>
    </row>
    <row r="1063" spans="2:26" ht="15.2" customHeight="1">
      <c r="B1063" s="37"/>
      <c r="E1063" s="2393">
        <v>3</v>
      </c>
      <c r="F1063" s="2297" t="s">
        <v>723</v>
      </c>
      <c r="G1063" s="2396" t="s">
        <v>724</v>
      </c>
      <c r="H1063" s="2397" t="s">
        <v>973</v>
      </c>
      <c r="I1063" s="2396" t="s">
        <v>811</v>
      </c>
      <c r="J1063" s="2398" t="s">
        <v>727</v>
      </c>
      <c r="K1063" s="2399" t="s">
        <v>2497</v>
      </c>
      <c r="L1063" s="2400">
        <v>42835</v>
      </c>
      <c r="M1063" s="73" t="s">
        <v>729</v>
      </c>
      <c r="N1063" s="74">
        <v>42847</v>
      </c>
      <c r="O1063" s="75">
        <v>42847</v>
      </c>
      <c r="P1063" s="2765" t="s">
        <v>2498</v>
      </c>
      <c r="Q1063" s="2954"/>
      <c r="R1063" s="76">
        <v>84.745699999999999</v>
      </c>
      <c r="S1063" s="1945" t="s">
        <v>731</v>
      </c>
      <c r="T1063" s="77"/>
      <c r="U1063" s="1893"/>
      <c r="V1063" s="2079">
        <f t="shared" si="341"/>
        <v>0</v>
      </c>
      <c r="W1063" s="78">
        <f t="shared" si="342"/>
        <v>99.999925999999988</v>
      </c>
      <c r="X1063" s="1878" t="str">
        <f t="shared" si="339"/>
        <v xml:space="preserve">3.- R Aeolus 0110612-OT_005652  Vulcanizado (curación) 0001-007896 </v>
      </c>
      <c r="Z1063" s="19" t="str">
        <f t="shared" si="343"/>
        <v>ReencaucheReenc. MASTERCAUCHO</v>
      </c>
    </row>
    <row r="1064" spans="2:26" ht="15.2" customHeight="1">
      <c r="B1064" s="37"/>
      <c r="E1064" s="79">
        <v>4</v>
      </c>
      <c r="F1064" s="2294" t="s">
        <v>723</v>
      </c>
      <c r="G1064" s="2401" t="s">
        <v>724</v>
      </c>
      <c r="H1064" s="2402" t="s">
        <v>2496</v>
      </c>
      <c r="I1064" s="2401" t="s">
        <v>811</v>
      </c>
      <c r="J1064" s="2403" t="s">
        <v>727</v>
      </c>
      <c r="K1064" s="2404" t="s">
        <v>2497</v>
      </c>
      <c r="L1064" s="2405">
        <v>42835</v>
      </c>
      <c r="M1064" s="86" t="s">
        <v>729</v>
      </c>
      <c r="N1064" s="87">
        <v>42847</v>
      </c>
      <c r="O1064" s="88">
        <v>42847</v>
      </c>
      <c r="P1064" s="2766" t="s">
        <v>2498</v>
      </c>
      <c r="Q1064" s="2955"/>
      <c r="R1064" s="89">
        <v>84.745699999999999</v>
      </c>
      <c r="S1064" s="1946" t="s">
        <v>731</v>
      </c>
      <c r="T1064" s="77"/>
      <c r="U1064" s="1893"/>
      <c r="V1064" s="2079">
        <f t="shared" si="341"/>
        <v>0</v>
      </c>
      <c r="W1064" s="78">
        <f t="shared" si="342"/>
        <v>99.999925999999988</v>
      </c>
      <c r="X1064" s="1878" t="str">
        <f t="shared" si="339"/>
        <v xml:space="preserve">4.- R Aeolus 0010114-OT_005652  Vulcanizado (curación) 0001-007896 </v>
      </c>
      <c r="Z1064" s="19" t="str">
        <f t="shared" si="343"/>
        <v>ReencaucheReenc. MASTERCAUCHO</v>
      </c>
    </row>
    <row r="1065" spans="2:26" ht="15.2" customHeight="1">
      <c r="B1065" s="37"/>
      <c r="E1065" s="2393">
        <v>1</v>
      </c>
      <c r="F1065" s="2297" t="s">
        <v>723</v>
      </c>
      <c r="G1065" s="68" t="s">
        <v>737</v>
      </c>
      <c r="H1065" s="69" t="s">
        <v>2491</v>
      </c>
      <c r="I1065" s="68" t="s">
        <v>811</v>
      </c>
      <c r="J1065" s="70" t="s">
        <v>727</v>
      </c>
      <c r="K1065" s="2305" t="s">
        <v>2493</v>
      </c>
      <c r="L1065" s="72">
        <v>42825</v>
      </c>
      <c r="M1065" s="2306" t="s">
        <v>729</v>
      </c>
      <c r="N1065" s="74">
        <v>42835</v>
      </c>
      <c r="O1065" s="75">
        <f t="shared" ref="O1065:O1072" si="344">+N1065</f>
        <v>42835</v>
      </c>
      <c r="P1065" s="2765" t="s">
        <v>2494</v>
      </c>
      <c r="Q1065" s="2954"/>
      <c r="R1065" s="76">
        <v>84.745699999999999</v>
      </c>
      <c r="S1065" s="1945" t="s">
        <v>731</v>
      </c>
      <c r="T1065" s="77"/>
      <c r="U1065" s="1893"/>
      <c r="V1065" s="2079">
        <f t="shared" si="341"/>
        <v>0</v>
      </c>
      <c r="W1065" s="78">
        <f t="shared" si="342"/>
        <v>99.999925999999988</v>
      </c>
      <c r="X1065" s="1878" t="str">
        <f t="shared" si="339"/>
        <v xml:space="preserve">1.- R Vikrant 0010117-OT_005488  Vulcanizado (curación) 0001-007824 </v>
      </c>
      <c r="Z1065" s="19" t="str">
        <f t="shared" si="343"/>
        <v>ReencaucheReenc. MASTERCAUCHO</v>
      </c>
    </row>
    <row r="1066" spans="2:26" ht="15.2" customHeight="1">
      <c r="B1066" s="37"/>
      <c r="E1066" s="2393">
        <v>2</v>
      </c>
      <c r="F1066" s="2297" t="s">
        <v>732</v>
      </c>
      <c r="G1066" s="68" t="s">
        <v>737</v>
      </c>
      <c r="H1066" s="69" t="s">
        <v>1039</v>
      </c>
      <c r="I1066" s="68" t="s">
        <v>726</v>
      </c>
      <c r="J1066" s="70" t="s">
        <v>727</v>
      </c>
      <c r="K1066" s="71" t="s">
        <v>2493</v>
      </c>
      <c r="L1066" s="72">
        <v>42825</v>
      </c>
      <c r="M1066" s="2306" t="s">
        <v>729</v>
      </c>
      <c r="N1066" s="74">
        <v>42835</v>
      </c>
      <c r="O1066" s="75">
        <f t="shared" si="344"/>
        <v>42835</v>
      </c>
      <c r="P1066" s="2765" t="s">
        <v>2494</v>
      </c>
      <c r="Q1066" s="2954"/>
      <c r="R1066" s="76">
        <v>279.66000000000003</v>
      </c>
      <c r="S1066" s="1945" t="s">
        <v>731</v>
      </c>
      <c r="T1066" s="77"/>
      <c r="U1066" s="1893"/>
      <c r="V1066" s="2079">
        <f t="shared" si="341"/>
        <v>0</v>
      </c>
      <c r="W1066" s="78">
        <f t="shared" si="342"/>
        <v>329.99880000000002</v>
      </c>
      <c r="X1066" s="1878" t="str">
        <f t="shared" si="339"/>
        <v xml:space="preserve">2.- C Vikrant 0781009-OT_005488  Reencauche 0001-007824 </v>
      </c>
      <c r="Z1066" s="19" t="str">
        <f t="shared" si="343"/>
        <v>Transpl BandaReenc. MASTERCAUCHO</v>
      </c>
    </row>
    <row r="1067" spans="2:26" ht="15.2" customHeight="1">
      <c r="B1067" s="37"/>
      <c r="E1067" s="2393">
        <v>3</v>
      </c>
      <c r="F1067" s="2297" t="s">
        <v>732</v>
      </c>
      <c r="G1067" s="68" t="s">
        <v>737</v>
      </c>
      <c r="H1067" s="69" t="s">
        <v>1434</v>
      </c>
      <c r="I1067" s="68" t="s">
        <v>726</v>
      </c>
      <c r="J1067" s="70" t="s">
        <v>727</v>
      </c>
      <c r="K1067" s="71" t="s">
        <v>2493</v>
      </c>
      <c r="L1067" s="72">
        <v>42825</v>
      </c>
      <c r="M1067" s="2306" t="s">
        <v>729</v>
      </c>
      <c r="N1067" s="74">
        <v>42835</v>
      </c>
      <c r="O1067" s="75">
        <f t="shared" si="344"/>
        <v>42835</v>
      </c>
      <c r="P1067" s="2765" t="s">
        <v>2494</v>
      </c>
      <c r="Q1067" s="2954"/>
      <c r="R1067" s="76">
        <v>279.66000000000003</v>
      </c>
      <c r="S1067" s="1945" t="s">
        <v>731</v>
      </c>
      <c r="T1067" s="77"/>
      <c r="U1067" s="1893"/>
      <c r="V1067" s="2079">
        <f t="shared" si="341"/>
        <v>0</v>
      </c>
      <c r="W1067" s="78">
        <f t="shared" si="342"/>
        <v>329.99880000000002</v>
      </c>
      <c r="X1067" s="1878" t="str">
        <f t="shared" si="339"/>
        <v xml:space="preserve">3.- C Vikrant 1581105-OT_005488  Reencauche 0001-007824 </v>
      </c>
      <c r="Z1067" s="19" t="str">
        <f t="shared" si="343"/>
        <v>Sacar_BandaReenc. MASTERCAUCHO</v>
      </c>
    </row>
    <row r="1068" spans="2:26" ht="15.2" customHeight="1">
      <c r="B1068" s="37"/>
      <c r="E1068" s="2393">
        <v>4</v>
      </c>
      <c r="F1068" s="2297" t="s">
        <v>732</v>
      </c>
      <c r="G1068" s="68" t="s">
        <v>733</v>
      </c>
      <c r="H1068" s="69" t="s">
        <v>1232</v>
      </c>
      <c r="I1068" s="68" t="s">
        <v>726</v>
      </c>
      <c r="J1068" s="70" t="s">
        <v>727</v>
      </c>
      <c r="K1068" s="71" t="s">
        <v>2493</v>
      </c>
      <c r="L1068" s="72">
        <v>42825</v>
      </c>
      <c r="M1068" s="2306" t="s">
        <v>729</v>
      </c>
      <c r="N1068" s="74">
        <v>42835</v>
      </c>
      <c r="O1068" s="75">
        <f t="shared" si="344"/>
        <v>42835</v>
      </c>
      <c r="P1068" s="2765" t="s">
        <v>2494</v>
      </c>
      <c r="Q1068" s="2954"/>
      <c r="R1068" s="76">
        <v>279.66000000000003</v>
      </c>
      <c r="S1068" s="1945" t="s">
        <v>731</v>
      </c>
      <c r="T1068" s="77"/>
      <c r="U1068" s="1893"/>
      <c r="V1068" s="2079">
        <f t="shared" si="341"/>
        <v>0</v>
      </c>
      <c r="W1068" s="78">
        <f t="shared" si="342"/>
        <v>329.99880000000002</v>
      </c>
      <c r="X1068" s="1878" t="str">
        <f t="shared" si="339"/>
        <v xml:space="preserve">4.- C Lima Caucho 0680907-OT_005488  Reencauche 0001-007824 </v>
      </c>
      <c r="Z1068" s="19" t="str">
        <f t="shared" si="343"/>
        <v>ReencaucheReenc. MASTERCAUCHO</v>
      </c>
    </row>
    <row r="1069" spans="2:26" ht="15.2" customHeight="1">
      <c r="B1069" s="37"/>
      <c r="E1069" s="2393">
        <v>5</v>
      </c>
      <c r="F1069" s="2297" t="s">
        <v>732</v>
      </c>
      <c r="G1069" s="68" t="s">
        <v>733</v>
      </c>
      <c r="H1069" s="69" t="s">
        <v>751</v>
      </c>
      <c r="I1069" s="68" t="s">
        <v>740</v>
      </c>
      <c r="J1069" s="70" t="s">
        <v>727</v>
      </c>
      <c r="K1069" s="71" t="s">
        <v>2493</v>
      </c>
      <c r="L1069" s="72">
        <v>42825</v>
      </c>
      <c r="M1069" s="2306" t="s">
        <v>729</v>
      </c>
      <c r="N1069" s="74">
        <v>42835</v>
      </c>
      <c r="O1069" s="75">
        <f t="shared" si="344"/>
        <v>42835</v>
      </c>
      <c r="P1069" s="2765" t="s">
        <v>2494</v>
      </c>
      <c r="Q1069" s="2954"/>
      <c r="R1069" s="76">
        <v>127.12</v>
      </c>
      <c r="S1069" s="1945" t="s">
        <v>731</v>
      </c>
      <c r="T1069" s="77"/>
      <c r="U1069" s="1893"/>
      <c r="V1069" s="2079">
        <f t="shared" si="341"/>
        <v>0</v>
      </c>
      <c r="W1069" s="78">
        <f t="shared" si="342"/>
        <v>150.0016</v>
      </c>
      <c r="X1069" s="1878" t="str">
        <f t="shared" si="339"/>
        <v xml:space="preserve">5.- C Lima Caucho 0870908-OT_005488  Transpl Banda 0001-007824 </v>
      </c>
      <c r="Z1069" s="19" t="str">
        <f t="shared" si="343"/>
        <v>Vulcanizado (curación)Reenc. MASTERCAUCHO</v>
      </c>
    </row>
    <row r="1070" spans="2:26" ht="15.2" customHeight="1">
      <c r="B1070" s="37"/>
      <c r="E1070" s="79">
        <v>6</v>
      </c>
      <c r="F1070" s="2294" t="s">
        <v>732</v>
      </c>
      <c r="G1070" s="81" t="s">
        <v>733</v>
      </c>
      <c r="H1070" s="82" t="s">
        <v>2492</v>
      </c>
      <c r="I1070" s="81" t="s">
        <v>744</v>
      </c>
      <c r="J1070" s="83" t="s">
        <v>727</v>
      </c>
      <c r="K1070" s="84" t="s">
        <v>2493</v>
      </c>
      <c r="L1070" s="85">
        <v>42825</v>
      </c>
      <c r="M1070" s="2296" t="s">
        <v>729</v>
      </c>
      <c r="N1070" s="87">
        <v>42835</v>
      </c>
      <c r="O1070" s="88">
        <f t="shared" si="344"/>
        <v>42835</v>
      </c>
      <c r="P1070" s="2766" t="s">
        <v>2494</v>
      </c>
      <c r="Q1070" s="2955"/>
      <c r="R1070" s="89">
        <v>0</v>
      </c>
      <c r="S1070" s="1946" t="s">
        <v>731</v>
      </c>
      <c r="T1070" s="77"/>
      <c r="U1070" s="1893"/>
      <c r="V1070" s="2079">
        <f t="shared" si="341"/>
        <v>0</v>
      </c>
      <c r="W1070" s="78">
        <f t="shared" si="342"/>
        <v>0</v>
      </c>
      <c r="X1070" s="1878" t="str">
        <f t="shared" si="339"/>
        <v xml:space="preserve">6.- C Lima Caucho 050805-OT_005488  Sacar_Banda 0001-007824 </v>
      </c>
      <c r="Z1070" s="19" t="str">
        <f t="shared" si="340"/>
        <v>Vulcanizado (curación)Reenc. MASTERCAUCHO</v>
      </c>
    </row>
    <row r="1071" spans="2:26" ht="15.2" customHeight="1">
      <c r="B1071" s="37"/>
      <c r="E1071" s="2393">
        <v>1</v>
      </c>
      <c r="F1071" s="2297" t="s">
        <v>732</v>
      </c>
      <c r="G1071" s="68" t="s">
        <v>733</v>
      </c>
      <c r="H1071" s="69" t="s">
        <v>796</v>
      </c>
      <c r="I1071" s="68" t="s">
        <v>726</v>
      </c>
      <c r="J1071" s="70" t="s">
        <v>727</v>
      </c>
      <c r="K1071" s="2305" t="s">
        <v>2482</v>
      </c>
      <c r="L1071" s="72">
        <v>42816</v>
      </c>
      <c r="M1071" s="73" t="s">
        <v>729</v>
      </c>
      <c r="N1071" s="153">
        <v>42825</v>
      </c>
      <c r="O1071" s="154">
        <f t="shared" si="344"/>
        <v>42825</v>
      </c>
      <c r="P1071" s="344" t="s">
        <v>2488</v>
      </c>
      <c r="Q1071" s="2959"/>
      <c r="R1071" s="103">
        <v>279.66000000000003</v>
      </c>
      <c r="S1071" s="1945" t="s">
        <v>731</v>
      </c>
      <c r="T1071" s="77"/>
      <c r="U1071" s="1893"/>
      <c r="V1071" s="2079">
        <f t="shared" si="341"/>
        <v>0</v>
      </c>
      <c r="W1071" s="78">
        <f t="shared" si="342"/>
        <v>329.99880000000002</v>
      </c>
      <c r="X1071" s="1878" t="str">
        <f t="shared" si="339"/>
        <v xml:space="preserve">1.- C Lima Caucho 0810910-OT_005466  Reencauche 0001-007752 </v>
      </c>
      <c r="Z1071" s="19" t="str">
        <f t="shared" si="340"/>
        <v>Vulcanizado (curación)Reenc. MASTERCAUCHO</v>
      </c>
    </row>
    <row r="1072" spans="2:26" ht="15.2" customHeight="1">
      <c r="B1072" s="37"/>
      <c r="E1072" s="2393">
        <v>2</v>
      </c>
      <c r="F1072" s="2297" t="s">
        <v>723</v>
      </c>
      <c r="G1072" s="68" t="s">
        <v>724</v>
      </c>
      <c r="H1072" s="69" t="s">
        <v>820</v>
      </c>
      <c r="I1072" s="68" t="s">
        <v>811</v>
      </c>
      <c r="J1072" s="70" t="s">
        <v>727</v>
      </c>
      <c r="K1072" s="71" t="s">
        <v>2482</v>
      </c>
      <c r="L1072" s="72">
        <v>42816</v>
      </c>
      <c r="M1072" s="73" t="s">
        <v>729</v>
      </c>
      <c r="N1072" s="153">
        <v>42825</v>
      </c>
      <c r="O1072" s="154">
        <f t="shared" si="344"/>
        <v>42825</v>
      </c>
      <c r="P1072" s="344" t="s">
        <v>2488</v>
      </c>
      <c r="Q1072" s="2959"/>
      <c r="R1072" s="103">
        <v>84.745699999999999</v>
      </c>
      <c r="S1072" s="1945" t="s">
        <v>731</v>
      </c>
      <c r="T1072" s="77"/>
      <c r="U1072" s="1893"/>
      <c r="V1072" s="2079">
        <f t="shared" si="341"/>
        <v>0</v>
      </c>
      <c r="W1072" s="78">
        <f t="shared" si="342"/>
        <v>99.999925999999988</v>
      </c>
      <c r="X1072" s="1878" t="str">
        <f t="shared" si="339"/>
        <v xml:space="preserve">2.- R Aeolus 0140612-OT_005466  Vulcanizado (curación) 0001-007752 </v>
      </c>
      <c r="Z1072" s="19" t="str">
        <f t="shared" si="340"/>
        <v>Vulcanizado (curación)Reenc. MASTERCAUCHO</v>
      </c>
    </row>
    <row r="1073" spans="2:26" ht="15.2" customHeight="1">
      <c r="B1073" s="37"/>
      <c r="E1073" s="2385">
        <v>3</v>
      </c>
      <c r="F1073" s="2297" t="s">
        <v>732</v>
      </c>
      <c r="G1073" s="68" t="s">
        <v>737</v>
      </c>
      <c r="H1073" s="69" t="s">
        <v>1409</v>
      </c>
      <c r="I1073" s="68" t="s">
        <v>811</v>
      </c>
      <c r="J1073" s="70" t="s">
        <v>727</v>
      </c>
      <c r="K1073" s="71" t="s">
        <v>2482</v>
      </c>
      <c r="L1073" s="72">
        <v>42816</v>
      </c>
      <c r="M1073" s="73" t="s">
        <v>729</v>
      </c>
      <c r="N1073" s="153">
        <v>42825</v>
      </c>
      <c r="O1073" s="154">
        <v>42825</v>
      </c>
      <c r="P1073" s="344" t="s">
        <v>2488</v>
      </c>
      <c r="Q1073" s="2959"/>
      <c r="R1073" s="103">
        <v>84.745699999999999</v>
      </c>
      <c r="S1073" s="1945" t="s">
        <v>731</v>
      </c>
      <c r="T1073" s="77"/>
      <c r="U1073" s="1893"/>
      <c r="V1073" s="2079">
        <f t="shared" si="341"/>
        <v>0</v>
      </c>
      <c r="W1073" s="78">
        <f t="shared" si="342"/>
        <v>99.999925999999988</v>
      </c>
      <c r="X1073" s="1878" t="str">
        <f t="shared" si="339"/>
        <v xml:space="preserve">3.- C Vikrant 0020312-OT_005466  Vulcanizado (curación) 0001-007752 </v>
      </c>
      <c r="Z1073" s="19" t="str">
        <f t="shared" si="340"/>
        <v>Vulcanizado (curación)Reenc. MASTERCAUCHO</v>
      </c>
    </row>
    <row r="1074" spans="2:26" ht="15.2" customHeight="1">
      <c r="B1074" s="37"/>
      <c r="E1074" s="2385">
        <v>4</v>
      </c>
      <c r="F1074" s="2297" t="s">
        <v>732</v>
      </c>
      <c r="G1074" s="68" t="s">
        <v>733</v>
      </c>
      <c r="H1074" s="69" t="s">
        <v>1365</v>
      </c>
      <c r="I1074" s="68" t="s">
        <v>811</v>
      </c>
      <c r="J1074" s="70" t="s">
        <v>727</v>
      </c>
      <c r="K1074" s="71" t="s">
        <v>2482</v>
      </c>
      <c r="L1074" s="72">
        <v>42816</v>
      </c>
      <c r="M1074" s="73" t="s">
        <v>729</v>
      </c>
      <c r="N1074" s="153">
        <v>42825</v>
      </c>
      <c r="O1074" s="154">
        <v>42825</v>
      </c>
      <c r="P1074" s="344" t="s">
        <v>2488</v>
      </c>
      <c r="Q1074" s="2959"/>
      <c r="R1074" s="103">
        <v>84.745699999999999</v>
      </c>
      <c r="S1074" s="1945" t="s">
        <v>731</v>
      </c>
      <c r="T1074" s="77"/>
      <c r="U1074" s="1893"/>
      <c r="V1074" s="2079">
        <f t="shared" si="341"/>
        <v>0</v>
      </c>
      <c r="W1074" s="78">
        <f t="shared" si="342"/>
        <v>99.999925999999988</v>
      </c>
      <c r="X1074" s="1878" t="str">
        <f t="shared" si="339"/>
        <v xml:space="preserve">4.- C Lima Caucho 1131107-OT_005466  Vulcanizado (curación) 0001-007752 </v>
      </c>
      <c r="Z1074" s="19" t="str">
        <f t="shared" si="340"/>
        <v>Vulcanizado (curación)Reenc. MASTERCAUCHO</v>
      </c>
    </row>
    <row r="1075" spans="2:26" ht="15.2" customHeight="1">
      <c r="B1075" s="37"/>
      <c r="E1075" s="2385">
        <v>5</v>
      </c>
      <c r="F1075" s="2297" t="s">
        <v>732</v>
      </c>
      <c r="G1075" s="68" t="s">
        <v>733</v>
      </c>
      <c r="H1075" s="69" t="s">
        <v>1073</v>
      </c>
      <c r="I1075" s="68" t="s">
        <v>811</v>
      </c>
      <c r="J1075" s="70" t="s">
        <v>727</v>
      </c>
      <c r="K1075" s="71" t="s">
        <v>2482</v>
      </c>
      <c r="L1075" s="72">
        <v>42816</v>
      </c>
      <c r="M1075" s="73" t="s">
        <v>729</v>
      </c>
      <c r="N1075" s="153">
        <v>42825</v>
      </c>
      <c r="O1075" s="154">
        <v>42825</v>
      </c>
      <c r="P1075" s="344" t="s">
        <v>2488</v>
      </c>
      <c r="Q1075" s="2959"/>
      <c r="R1075" s="103">
        <v>84.745699999999999</v>
      </c>
      <c r="S1075" s="1945" t="s">
        <v>731</v>
      </c>
      <c r="T1075" s="77"/>
      <c r="U1075" s="1893"/>
      <c r="V1075" s="2079">
        <f t="shared" si="341"/>
        <v>0</v>
      </c>
      <c r="W1075" s="78">
        <f t="shared" si="342"/>
        <v>99.999925999999988</v>
      </c>
      <c r="X1075" s="1878" t="str">
        <f t="shared" si="339"/>
        <v xml:space="preserve">5.- C Lima Caucho 0220108-OT_005466  Vulcanizado (curación) 0001-007752 </v>
      </c>
      <c r="Z1075" s="19" t="str">
        <f t="shared" si="340"/>
        <v>Transpl BandaReenc. MASTERCAUCHO</v>
      </c>
    </row>
    <row r="1076" spans="2:26" ht="15.2" customHeight="1">
      <c r="B1076" s="37"/>
      <c r="E1076" s="2385">
        <v>6</v>
      </c>
      <c r="F1076" s="2297" t="s">
        <v>732</v>
      </c>
      <c r="G1076" s="68" t="s">
        <v>733</v>
      </c>
      <c r="H1076" s="69" t="s">
        <v>1737</v>
      </c>
      <c r="I1076" s="68" t="s">
        <v>811</v>
      </c>
      <c r="J1076" s="70" t="s">
        <v>727</v>
      </c>
      <c r="K1076" s="71" t="s">
        <v>2482</v>
      </c>
      <c r="L1076" s="72">
        <v>42816</v>
      </c>
      <c r="M1076" s="73" t="s">
        <v>729</v>
      </c>
      <c r="N1076" s="153">
        <v>42825</v>
      </c>
      <c r="O1076" s="154">
        <v>42825</v>
      </c>
      <c r="P1076" s="344" t="s">
        <v>2488</v>
      </c>
      <c r="Q1076" s="2959"/>
      <c r="R1076" s="103">
        <v>84.745699999999999</v>
      </c>
      <c r="S1076" s="1945" t="s">
        <v>731</v>
      </c>
      <c r="T1076" s="77"/>
      <c r="U1076" s="1893"/>
      <c r="V1076" s="2079">
        <f t="shared" si="341"/>
        <v>0</v>
      </c>
      <c r="W1076" s="78">
        <f t="shared" si="342"/>
        <v>99.999925999999988</v>
      </c>
      <c r="X1076" s="1878" t="str">
        <f t="shared" si="339"/>
        <v xml:space="preserve">6.- C Lima Caucho 0280507-OT_005466  Vulcanizado (curación) 0001-007752 </v>
      </c>
      <c r="Z1076" s="19" t="str">
        <f t="shared" si="340"/>
        <v>Transpl BandaReenc. MASTERCAUCHO</v>
      </c>
    </row>
    <row r="1077" spans="2:26" ht="15.2" customHeight="1">
      <c r="B1077" s="37"/>
      <c r="E1077" s="2385">
        <v>7</v>
      </c>
      <c r="F1077" s="2297" t="s">
        <v>732</v>
      </c>
      <c r="G1077" s="68" t="s">
        <v>733</v>
      </c>
      <c r="H1077" s="69" t="s">
        <v>897</v>
      </c>
      <c r="I1077" s="68" t="s">
        <v>811</v>
      </c>
      <c r="J1077" s="70" t="s">
        <v>727</v>
      </c>
      <c r="K1077" s="71" t="s">
        <v>2482</v>
      </c>
      <c r="L1077" s="72">
        <v>42816</v>
      </c>
      <c r="M1077" s="73" t="s">
        <v>729</v>
      </c>
      <c r="N1077" s="153">
        <v>42825</v>
      </c>
      <c r="O1077" s="154">
        <v>42825</v>
      </c>
      <c r="P1077" s="344" t="s">
        <v>2488</v>
      </c>
      <c r="Q1077" s="2959"/>
      <c r="R1077" s="103">
        <v>84.745699999999999</v>
      </c>
      <c r="S1077" s="1945" t="s">
        <v>731</v>
      </c>
      <c r="T1077" s="77"/>
      <c r="U1077" s="1893"/>
      <c r="V1077" s="2079">
        <f t="shared" si="341"/>
        <v>0</v>
      </c>
      <c r="W1077" s="78">
        <f t="shared" si="342"/>
        <v>99.999925999999988</v>
      </c>
      <c r="X1077" s="1878" t="str">
        <f t="shared" si="339"/>
        <v xml:space="preserve">7.- C Lima Caucho 0401112-OT_005466  Vulcanizado (curación) 0001-007752 </v>
      </c>
      <c r="Z1077" s="19" t="str">
        <f t="shared" si="340"/>
        <v>Sacar_BandaReenc. MASTERCAUCHO</v>
      </c>
    </row>
    <row r="1078" spans="2:26" ht="15.2" customHeight="1">
      <c r="B1078" s="37"/>
      <c r="E1078" s="2385">
        <v>8</v>
      </c>
      <c r="F1078" s="2297" t="s">
        <v>732</v>
      </c>
      <c r="G1078" s="68" t="s">
        <v>737</v>
      </c>
      <c r="H1078" s="69" t="s">
        <v>1178</v>
      </c>
      <c r="I1078" s="68" t="s">
        <v>740</v>
      </c>
      <c r="J1078" s="70" t="s">
        <v>727</v>
      </c>
      <c r="K1078" s="71" t="s">
        <v>2482</v>
      </c>
      <c r="L1078" s="72">
        <v>42816</v>
      </c>
      <c r="M1078" s="73" t="s">
        <v>729</v>
      </c>
      <c r="N1078" s="153">
        <v>42825</v>
      </c>
      <c r="O1078" s="154">
        <v>42825</v>
      </c>
      <c r="P1078" s="344" t="s">
        <v>2488</v>
      </c>
      <c r="Q1078" s="2959"/>
      <c r="R1078" s="103">
        <v>127.12</v>
      </c>
      <c r="S1078" s="1945" t="s">
        <v>731</v>
      </c>
      <c r="T1078" s="77"/>
      <c r="U1078" s="1893"/>
      <c r="V1078" s="2079">
        <f t="shared" si="341"/>
        <v>0</v>
      </c>
      <c r="W1078" s="78">
        <f t="shared" si="342"/>
        <v>150.0016</v>
      </c>
      <c r="X1078" s="1878" t="str">
        <f t="shared" si="339"/>
        <v xml:space="preserve">8.- C Vikrant 0250712-OT_005466  Transpl Banda 0001-007752 </v>
      </c>
      <c r="Z1078" s="19" t="str">
        <f>CONCATENATE(I1081,J1081)</f>
        <v>Sacar_BandaReenc. MASTERCAUCHO</v>
      </c>
    </row>
    <row r="1079" spans="2:26" ht="15.2" customHeight="1">
      <c r="B1079" s="37"/>
      <c r="E1079" s="2385">
        <v>9</v>
      </c>
      <c r="F1079" s="2297" t="s">
        <v>732</v>
      </c>
      <c r="G1079" s="68" t="s">
        <v>733</v>
      </c>
      <c r="H1079" s="69" t="s">
        <v>1285</v>
      </c>
      <c r="I1079" s="68" t="s">
        <v>740</v>
      </c>
      <c r="J1079" s="70" t="s">
        <v>727</v>
      </c>
      <c r="K1079" s="71" t="s">
        <v>2482</v>
      </c>
      <c r="L1079" s="72">
        <v>42816</v>
      </c>
      <c r="M1079" s="73" t="s">
        <v>729</v>
      </c>
      <c r="N1079" s="153">
        <v>42825</v>
      </c>
      <c r="O1079" s="154">
        <v>42825</v>
      </c>
      <c r="P1079" s="344" t="s">
        <v>2488</v>
      </c>
      <c r="Q1079" s="2959"/>
      <c r="R1079" s="103">
        <v>127.12</v>
      </c>
      <c r="S1079" s="1945" t="s">
        <v>731</v>
      </c>
      <c r="T1079" s="77"/>
      <c r="U1079" s="1893"/>
      <c r="V1079" s="2079">
        <f t="shared" si="341"/>
        <v>0</v>
      </c>
      <c r="W1079" s="78">
        <f t="shared" si="342"/>
        <v>150.0016</v>
      </c>
      <c r="X1079" s="1878" t="str">
        <f t="shared" si="339"/>
        <v xml:space="preserve">9.- C Lima Caucho 0540807-OT_005466  Transpl Banda 0001-007752 </v>
      </c>
      <c r="Z1079" s="19" t="str">
        <f t="shared" si="340"/>
        <v>Sacar_BandaReenc. MASTERCAUCHO</v>
      </c>
    </row>
    <row r="1080" spans="2:26" ht="15.2" customHeight="1">
      <c r="B1080" s="37"/>
      <c r="E1080" s="2385">
        <v>10</v>
      </c>
      <c r="F1080" s="2297" t="s">
        <v>732</v>
      </c>
      <c r="G1080" s="68" t="s">
        <v>733</v>
      </c>
      <c r="H1080" s="69" t="s">
        <v>810</v>
      </c>
      <c r="I1080" s="68" t="s">
        <v>744</v>
      </c>
      <c r="J1080" s="70" t="s">
        <v>727</v>
      </c>
      <c r="K1080" s="71" t="s">
        <v>2482</v>
      </c>
      <c r="L1080" s="72">
        <v>42816</v>
      </c>
      <c r="M1080" s="2306" t="s">
        <v>729</v>
      </c>
      <c r="N1080" s="153">
        <v>42825</v>
      </c>
      <c r="O1080" s="154">
        <f>+N1080</f>
        <v>42825</v>
      </c>
      <c r="P1080" s="344" t="s">
        <v>2490</v>
      </c>
      <c r="Q1080" s="2959"/>
      <c r="R1080" s="103">
        <v>0</v>
      </c>
      <c r="S1080" s="1945" t="s">
        <v>731</v>
      </c>
      <c r="T1080" s="77"/>
      <c r="U1080" s="1893"/>
      <c r="V1080" s="2079">
        <f t="shared" si="341"/>
        <v>0</v>
      </c>
      <c r="W1080" s="78">
        <f t="shared" si="342"/>
        <v>0</v>
      </c>
      <c r="X1080" s="1878" t="str">
        <f t="shared" si="339"/>
        <v xml:space="preserve">10.- C Lima Caucho 0260507-OT_005466  Sacar_Banda G0001-002474 </v>
      </c>
      <c r="Z1080" s="19" t="str">
        <f>CONCATENATE(I1083,J1083)</f>
        <v>Transpl BandaReenc. MASTERCAUCHO</v>
      </c>
    </row>
    <row r="1081" spans="2:26" ht="15.2" customHeight="1">
      <c r="B1081" s="37"/>
      <c r="E1081" s="2394">
        <v>11</v>
      </c>
      <c r="F1081" s="2297" t="s">
        <v>732</v>
      </c>
      <c r="G1081" s="68" t="s">
        <v>733</v>
      </c>
      <c r="H1081" s="69" t="s">
        <v>886</v>
      </c>
      <c r="I1081" s="68" t="s">
        <v>744</v>
      </c>
      <c r="J1081" s="70" t="s">
        <v>727</v>
      </c>
      <c r="K1081" s="71" t="s">
        <v>2482</v>
      </c>
      <c r="L1081" s="72">
        <v>42816</v>
      </c>
      <c r="M1081" s="2306" t="s">
        <v>729</v>
      </c>
      <c r="N1081" s="153">
        <v>42825</v>
      </c>
      <c r="O1081" s="154">
        <f>+N1081</f>
        <v>42825</v>
      </c>
      <c r="P1081" s="344" t="s">
        <v>2490</v>
      </c>
      <c r="Q1081" s="2959"/>
      <c r="R1081" s="103">
        <v>0</v>
      </c>
      <c r="S1081" s="1945" t="s">
        <v>731</v>
      </c>
      <c r="T1081" s="77"/>
      <c r="U1081" s="1893"/>
      <c r="V1081" s="2079">
        <f t="shared" si="341"/>
        <v>0</v>
      </c>
      <c r="W1081" s="78">
        <f t="shared" si="342"/>
        <v>0</v>
      </c>
      <c r="X1081" s="1878" t="str">
        <f t="shared" si="339"/>
        <v xml:space="preserve">11.- C Lima Caucho 0800910-OT_005466  Sacar_Banda G0001-002474 </v>
      </c>
      <c r="Z1081" s="19" t="str">
        <f t="shared" si="340"/>
        <v>ReencaucheReencauchadora RENOVA</v>
      </c>
    </row>
    <row r="1082" spans="2:26" ht="15.2" customHeight="1">
      <c r="B1082" s="37"/>
      <c r="E1082" s="2385">
        <v>12</v>
      </c>
      <c r="F1082" s="2297" t="s">
        <v>732</v>
      </c>
      <c r="G1082" s="68" t="s">
        <v>733</v>
      </c>
      <c r="H1082" s="69" t="s">
        <v>2484</v>
      </c>
      <c r="I1082" s="68" t="s">
        <v>744</v>
      </c>
      <c r="J1082" s="70" t="s">
        <v>727</v>
      </c>
      <c r="K1082" s="71" t="s">
        <v>2482</v>
      </c>
      <c r="L1082" s="72">
        <v>42816</v>
      </c>
      <c r="M1082" s="2306" t="s">
        <v>729</v>
      </c>
      <c r="N1082" s="153">
        <v>42825</v>
      </c>
      <c r="O1082" s="154">
        <f>+N1082</f>
        <v>42825</v>
      </c>
      <c r="P1082" s="344" t="s">
        <v>2490</v>
      </c>
      <c r="Q1082" s="2959"/>
      <c r="R1082" s="103">
        <v>0</v>
      </c>
      <c r="S1082" s="1945" t="s">
        <v>731</v>
      </c>
      <c r="T1082" s="1875" t="s">
        <v>2489</v>
      </c>
      <c r="U1082" s="1893"/>
      <c r="V1082" s="2079">
        <f t="shared" si="341"/>
        <v>0</v>
      </c>
      <c r="W1082" s="78">
        <f t="shared" si="342"/>
        <v>0</v>
      </c>
      <c r="X1082" s="1878" t="str">
        <f t="shared" si="339"/>
        <v>12.- C Lima Caucho 2105-OT_005466  Sacar_Banda G0001-002474 Devuelto, G0001-002474 X</v>
      </c>
      <c r="Z1082" s="19" t="str">
        <f t="shared" si="340"/>
        <v>ReencaucheReencauchadora RENOVA</v>
      </c>
    </row>
    <row r="1083" spans="2:26" ht="15.2" customHeight="1">
      <c r="B1083" s="37"/>
      <c r="E1083" s="79">
        <v>13</v>
      </c>
      <c r="F1083" s="2294" t="s">
        <v>732</v>
      </c>
      <c r="G1083" s="81" t="s">
        <v>757</v>
      </c>
      <c r="H1083" s="82" t="s">
        <v>2483</v>
      </c>
      <c r="I1083" s="81" t="s">
        <v>740</v>
      </c>
      <c r="J1083" s="83" t="s">
        <v>727</v>
      </c>
      <c r="K1083" s="84" t="s">
        <v>2482</v>
      </c>
      <c r="L1083" s="85">
        <v>42816</v>
      </c>
      <c r="M1083" s="2296" t="s">
        <v>729</v>
      </c>
      <c r="N1083" s="606">
        <v>3103</v>
      </c>
      <c r="O1083" s="607">
        <f>+N1083</f>
        <v>3103</v>
      </c>
      <c r="P1083" s="2774" t="s">
        <v>2490</v>
      </c>
      <c r="Q1083" s="2965"/>
      <c r="R1083" s="113">
        <v>0</v>
      </c>
      <c r="S1083" s="1946" t="s">
        <v>731</v>
      </c>
      <c r="T1083" s="1875" t="s">
        <v>2487</v>
      </c>
      <c r="U1083" s="1893"/>
      <c r="V1083" s="2079">
        <f t="shared" si="341"/>
        <v>0</v>
      </c>
      <c r="W1083" s="78">
        <f t="shared" si="342"/>
        <v>0</v>
      </c>
      <c r="X1083" s="1878" t="str">
        <f t="shared" si="339"/>
        <v>13.- C Goodyear 0406-OT_005466  Transpl Banda G0001-002474 Rechazada, G0001-002474 X</v>
      </c>
      <c r="Z1083" s="19" t="str">
        <f>CONCATENATE(I1086,J1086)</f>
        <v>ReencaucheReencauchadora RENOVA</v>
      </c>
    </row>
    <row r="1084" spans="2:26" ht="15.2" customHeight="1">
      <c r="B1084" s="37"/>
      <c r="E1084" s="2385">
        <v>1</v>
      </c>
      <c r="F1084" s="2297" t="s">
        <v>732</v>
      </c>
      <c r="G1084" s="68" t="s">
        <v>733</v>
      </c>
      <c r="H1084" s="69" t="s">
        <v>1332</v>
      </c>
      <c r="I1084" s="68" t="s">
        <v>726</v>
      </c>
      <c r="J1084" s="70" t="s">
        <v>760</v>
      </c>
      <c r="K1084" s="2305" t="s">
        <v>2477</v>
      </c>
      <c r="L1084" s="72">
        <v>42815</v>
      </c>
      <c r="M1084" s="2306" t="s">
        <v>729</v>
      </c>
      <c r="N1084" s="74">
        <v>42818</v>
      </c>
      <c r="O1084" s="75">
        <f>+N1084</f>
        <v>42818</v>
      </c>
      <c r="P1084" s="2765" t="s">
        <v>2486</v>
      </c>
      <c r="Q1084" s="2954">
        <v>90.26</v>
      </c>
      <c r="R1084" s="76"/>
      <c r="S1084" s="1945" t="s">
        <v>731</v>
      </c>
      <c r="T1084" s="77"/>
      <c r="U1084" s="1893"/>
      <c r="V1084" s="2079">
        <f t="shared" si="341"/>
        <v>106.5068</v>
      </c>
      <c r="W1084" s="78">
        <f t="shared" si="342"/>
        <v>0</v>
      </c>
      <c r="X1084" s="1878" t="str">
        <f t="shared" si="339"/>
        <v xml:space="preserve">1.- C Lima Caucho 0421112-OT_232926  Reencauche 030-0064248 </v>
      </c>
      <c r="Z1084" s="19" t="str">
        <f>CONCATENATE(I1087,J1087)</f>
        <v>ReencaucheReencauchadora RENOVA</v>
      </c>
    </row>
    <row r="1085" spans="2:26" ht="15.2" customHeight="1">
      <c r="B1085" s="37"/>
      <c r="E1085" s="2385">
        <v>2</v>
      </c>
      <c r="F1085" s="2297" t="s">
        <v>732</v>
      </c>
      <c r="G1085" s="68" t="s">
        <v>733</v>
      </c>
      <c r="H1085" s="69" t="s">
        <v>2475</v>
      </c>
      <c r="I1085" s="68" t="s">
        <v>726</v>
      </c>
      <c r="J1085" s="70" t="s">
        <v>760</v>
      </c>
      <c r="K1085" s="71" t="s">
        <v>2477</v>
      </c>
      <c r="L1085" s="72">
        <v>42815</v>
      </c>
      <c r="M1085" s="2306" t="s">
        <v>729</v>
      </c>
      <c r="N1085" s="74">
        <v>42818</v>
      </c>
      <c r="O1085" s="75">
        <f t="shared" ref="O1085:O1093" si="345">+N1085</f>
        <v>42818</v>
      </c>
      <c r="P1085" s="2765" t="s">
        <v>2486</v>
      </c>
      <c r="Q1085" s="2954">
        <v>90.26</v>
      </c>
      <c r="R1085" s="76"/>
      <c r="S1085" s="1945" t="s">
        <v>731</v>
      </c>
      <c r="T1085" s="77"/>
      <c r="U1085" s="1893"/>
      <c r="V1085" s="2079">
        <f t="shared" si="341"/>
        <v>106.5068</v>
      </c>
      <c r="W1085" s="78">
        <f t="shared" si="342"/>
        <v>0</v>
      </c>
      <c r="X1085" s="1878" t="str">
        <f t="shared" si="339"/>
        <v xml:space="preserve">2.- C Lima Caucho 0070113-OT_232926  Reencauche 030-0064248 </v>
      </c>
      <c r="Z1085" s="19" t="str">
        <f>CONCATENATE(I1088,J1088)</f>
        <v>ReencaucheReencauchadora RENOVA</v>
      </c>
    </row>
    <row r="1086" spans="2:26" ht="15.2" customHeight="1">
      <c r="B1086" s="37"/>
      <c r="E1086" s="66">
        <v>3</v>
      </c>
      <c r="F1086" s="2297" t="s">
        <v>732</v>
      </c>
      <c r="G1086" s="68" t="s">
        <v>733</v>
      </c>
      <c r="H1086" s="69" t="s">
        <v>947</v>
      </c>
      <c r="I1086" s="68" t="s">
        <v>726</v>
      </c>
      <c r="J1086" s="70" t="s">
        <v>760</v>
      </c>
      <c r="K1086" s="71" t="s">
        <v>2477</v>
      </c>
      <c r="L1086" s="72">
        <v>42815</v>
      </c>
      <c r="M1086" s="2306" t="s">
        <v>729</v>
      </c>
      <c r="N1086" s="74">
        <v>42818</v>
      </c>
      <c r="O1086" s="75">
        <f t="shared" si="345"/>
        <v>42818</v>
      </c>
      <c r="P1086" s="2765" t="s">
        <v>2486</v>
      </c>
      <c r="Q1086" s="2954">
        <v>90.26</v>
      </c>
      <c r="R1086" s="2143"/>
      <c r="S1086" s="1945" t="s">
        <v>731</v>
      </c>
      <c r="T1086" s="77"/>
      <c r="U1086" s="1893"/>
      <c r="V1086" s="2079">
        <f t="shared" si="341"/>
        <v>106.5068</v>
      </c>
      <c r="W1086" s="78">
        <f t="shared" si="342"/>
        <v>0</v>
      </c>
      <c r="X1086" s="1878" t="str">
        <f t="shared" si="339"/>
        <v xml:space="preserve">3.- C Lima Caucho 0020113-OT_232926  Reencauche 030-0064248 </v>
      </c>
      <c r="Z1086" s="19" t="str">
        <f>CONCATENATE(I1089,J1089)</f>
        <v>ReencaucheReencauchadora RENOVA</v>
      </c>
    </row>
    <row r="1087" spans="2:26" ht="15.2" customHeight="1">
      <c r="B1087" s="37"/>
      <c r="E1087" s="66">
        <v>4</v>
      </c>
      <c r="F1087" s="2297" t="s">
        <v>732</v>
      </c>
      <c r="G1087" s="68" t="s">
        <v>733</v>
      </c>
      <c r="H1087" s="69" t="s">
        <v>2476</v>
      </c>
      <c r="I1087" s="68" t="s">
        <v>726</v>
      </c>
      <c r="J1087" s="70" t="s">
        <v>760</v>
      </c>
      <c r="K1087" s="71" t="s">
        <v>2477</v>
      </c>
      <c r="L1087" s="72">
        <v>42815</v>
      </c>
      <c r="M1087" s="2306" t="s">
        <v>729</v>
      </c>
      <c r="N1087" s="74">
        <v>42818</v>
      </c>
      <c r="O1087" s="75">
        <f t="shared" si="345"/>
        <v>42818</v>
      </c>
      <c r="P1087" s="2765" t="s">
        <v>2486</v>
      </c>
      <c r="Q1087" s="2954">
        <v>90.26</v>
      </c>
      <c r="R1087" s="76"/>
      <c r="S1087" s="1945" t="s">
        <v>731</v>
      </c>
      <c r="T1087" s="77"/>
      <c r="U1087" s="1893"/>
      <c r="V1087" s="2079">
        <f t="shared" si="341"/>
        <v>106.5068</v>
      </c>
      <c r="W1087" s="78">
        <f t="shared" si="342"/>
        <v>0</v>
      </c>
      <c r="X1087" s="1878" t="str">
        <f t="shared" si="339"/>
        <v xml:space="preserve">4.- C Lima Caucho 0451112-OT_232926  Reencauche 030-0064248 </v>
      </c>
      <c r="Z1087" s="19" t="str">
        <f>CONCATENATE(I1090,J1090)</f>
        <v>ReencaucheReencauchadora RENOVA</v>
      </c>
    </row>
    <row r="1088" spans="2:26" ht="15.2" customHeight="1">
      <c r="B1088" s="37"/>
      <c r="E1088" s="66">
        <v>5</v>
      </c>
      <c r="F1088" s="2297" t="s">
        <v>732</v>
      </c>
      <c r="G1088" s="68" t="s">
        <v>737</v>
      </c>
      <c r="H1088" s="69" t="s">
        <v>2485</v>
      </c>
      <c r="I1088" s="68" t="s">
        <v>726</v>
      </c>
      <c r="J1088" s="70" t="s">
        <v>760</v>
      </c>
      <c r="K1088" s="71" t="s">
        <v>2477</v>
      </c>
      <c r="L1088" s="72">
        <v>42815</v>
      </c>
      <c r="M1088" s="2306" t="s">
        <v>729</v>
      </c>
      <c r="N1088" s="74">
        <v>42818</v>
      </c>
      <c r="O1088" s="75">
        <f t="shared" si="345"/>
        <v>42818</v>
      </c>
      <c r="P1088" s="2765" t="s">
        <v>2486</v>
      </c>
      <c r="Q1088" s="2954">
        <v>90.26</v>
      </c>
      <c r="R1088" s="76"/>
      <c r="S1088" s="1945" t="s">
        <v>731</v>
      </c>
      <c r="T1088" s="77"/>
      <c r="U1088" s="1893"/>
      <c r="V1088" s="2079">
        <f t="shared" si="341"/>
        <v>106.5068</v>
      </c>
      <c r="W1088" s="78">
        <f t="shared" si="342"/>
        <v>0</v>
      </c>
      <c r="X1088" s="1878" t="str">
        <f t="shared" si="339"/>
        <v xml:space="preserve">5.- C Vikrant 00540769-OT_232926  Reencauche 030-0064248 </v>
      </c>
      <c r="Z1088" s="19" t="str">
        <f t="shared" ref="Z1088:Z1110" si="346">CONCATENATE(I1091,J1091)</f>
        <v>ReencaucheReencauchadora RENOVA</v>
      </c>
    </row>
    <row r="1089" spans="2:26" ht="15.2" customHeight="1">
      <c r="B1089" s="37"/>
      <c r="E1089" s="2288">
        <v>6</v>
      </c>
      <c r="F1089" s="2297" t="s">
        <v>723</v>
      </c>
      <c r="G1089" s="68" t="s">
        <v>724</v>
      </c>
      <c r="H1089" s="69" t="s">
        <v>658</v>
      </c>
      <c r="I1089" s="68" t="s">
        <v>726</v>
      </c>
      <c r="J1089" s="70" t="s">
        <v>760</v>
      </c>
      <c r="K1089" s="2305" t="s">
        <v>2481</v>
      </c>
      <c r="L1089" s="72">
        <v>42815</v>
      </c>
      <c r="M1089" s="2306" t="s">
        <v>729</v>
      </c>
      <c r="N1089" s="74">
        <v>42818</v>
      </c>
      <c r="O1089" s="75">
        <f t="shared" si="345"/>
        <v>42818</v>
      </c>
      <c r="P1089" s="2765" t="s">
        <v>2486</v>
      </c>
      <c r="Q1089" s="2954">
        <v>100.9</v>
      </c>
      <c r="R1089" s="76"/>
      <c r="S1089" s="1945" t="s">
        <v>731</v>
      </c>
      <c r="T1089" s="77"/>
      <c r="U1089" s="1893"/>
      <c r="V1089" s="2079">
        <f t="shared" si="341"/>
        <v>119.062</v>
      </c>
      <c r="W1089" s="78">
        <f t="shared" si="342"/>
        <v>0</v>
      </c>
      <c r="X1089" s="1878" t="str">
        <f t="shared" si="339"/>
        <v xml:space="preserve">6.- R Aeolus 0150114-OT_232927  Reencauche 030-0064248 </v>
      </c>
      <c r="Z1089" s="19" t="str">
        <f t="shared" si="346"/>
        <v>ReencaucheReencauchadora RENOVA</v>
      </c>
    </row>
    <row r="1090" spans="2:26" ht="15.2" customHeight="1">
      <c r="B1090" s="37"/>
      <c r="E1090" s="2288">
        <v>7</v>
      </c>
      <c r="F1090" s="2297" t="s">
        <v>723</v>
      </c>
      <c r="G1090" s="68" t="s">
        <v>724</v>
      </c>
      <c r="H1090" s="69" t="s">
        <v>2478</v>
      </c>
      <c r="I1090" s="68" t="s">
        <v>726</v>
      </c>
      <c r="J1090" s="70" t="s">
        <v>760</v>
      </c>
      <c r="K1090" s="71" t="s">
        <v>2481</v>
      </c>
      <c r="L1090" s="72">
        <v>42815</v>
      </c>
      <c r="M1090" s="2306" t="s">
        <v>729</v>
      </c>
      <c r="N1090" s="74">
        <v>42818</v>
      </c>
      <c r="O1090" s="75">
        <f t="shared" si="345"/>
        <v>42818</v>
      </c>
      <c r="P1090" s="2765" t="s">
        <v>2486</v>
      </c>
      <c r="Q1090" s="2954">
        <v>100.9</v>
      </c>
      <c r="R1090" s="76"/>
      <c r="S1090" s="1945" t="s">
        <v>731</v>
      </c>
      <c r="T1090" s="77"/>
      <c r="U1090" s="1893"/>
      <c r="V1090" s="2079">
        <f t="shared" si="341"/>
        <v>119.062</v>
      </c>
      <c r="W1090" s="78">
        <f t="shared" si="342"/>
        <v>0</v>
      </c>
      <c r="X1090" s="1878" t="str">
        <f t="shared" si="339"/>
        <v xml:space="preserve">7.- R Aeolus 0531214-OT_232927  Reencauche 030-0064248 </v>
      </c>
      <c r="Z1090" s="19" t="str">
        <f t="shared" si="346"/>
        <v>ReencaucheReencauchadora RENOVA</v>
      </c>
    </row>
    <row r="1091" spans="2:26" ht="15.2" customHeight="1">
      <c r="B1091" s="37"/>
      <c r="E1091" s="2332">
        <v>8</v>
      </c>
      <c r="F1091" s="2297" t="s">
        <v>723</v>
      </c>
      <c r="G1091" s="68" t="s">
        <v>724</v>
      </c>
      <c r="H1091" s="69" t="s">
        <v>2479</v>
      </c>
      <c r="I1091" s="68" t="s">
        <v>726</v>
      </c>
      <c r="J1091" s="70" t="s">
        <v>760</v>
      </c>
      <c r="K1091" s="71" t="s">
        <v>2481</v>
      </c>
      <c r="L1091" s="72">
        <v>42815</v>
      </c>
      <c r="M1091" s="2306" t="s">
        <v>729</v>
      </c>
      <c r="N1091" s="74">
        <v>42818</v>
      </c>
      <c r="O1091" s="75">
        <f t="shared" si="345"/>
        <v>42818</v>
      </c>
      <c r="P1091" s="2765" t="s">
        <v>2486</v>
      </c>
      <c r="Q1091" s="2954">
        <v>100.9</v>
      </c>
      <c r="R1091" s="76"/>
      <c r="S1091" s="1945" t="s">
        <v>731</v>
      </c>
      <c r="T1091" s="77"/>
      <c r="U1091" s="1893"/>
      <c r="V1091" s="2079">
        <f t="shared" si="341"/>
        <v>119.062</v>
      </c>
      <c r="W1091" s="78">
        <f t="shared" si="342"/>
        <v>0</v>
      </c>
      <c r="X1091" s="1878" t="str">
        <f t="shared" si="339"/>
        <v xml:space="preserve">8.- R Aeolus 0511214-OT_232927  Reencauche 030-0064248 </v>
      </c>
      <c r="Z1091" s="19" t="str">
        <f t="shared" si="346"/>
        <v>ReencaucheReenc. MASTERCAUCHO</v>
      </c>
    </row>
    <row r="1092" spans="2:26" ht="15.2" customHeight="1">
      <c r="B1092" s="37"/>
      <c r="E1092" s="2332">
        <v>9</v>
      </c>
      <c r="F1092" s="2297" t="s">
        <v>723</v>
      </c>
      <c r="G1092" s="68" t="s">
        <v>724</v>
      </c>
      <c r="H1092" s="69" t="s">
        <v>1176</v>
      </c>
      <c r="I1092" s="68" t="s">
        <v>726</v>
      </c>
      <c r="J1092" s="70" t="s">
        <v>760</v>
      </c>
      <c r="K1092" s="71" t="s">
        <v>2481</v>
      </c>
      <c r="L1092" s="72">
        <v>42815</v>
      </c>
      <c r="M1092" s="2306" t="s">
        <v>729</v>
      </c>
      <c r="N1092" s="74">
        <v>42818</v>
      </c>
      <c r="O1092" s="75">
        <f t="shared" si="345"/>
        <v>42818</v>
      </c>
      <c r="P1092" s="2765" t="s">
        <v>2486</v>
      </c>
      <c r="Q1092" s="2954">
        <v>100.9</v>
      </c>
      <c r="R1092" s="76"/>
      <c r="S1092" s="1945" t="s">
        <v>731</v>
      </c>
      <c r="T1092" s="77"/>
      <c r="U1092" s="1893"/>
      <c r="V1092" s="2079">
        <f t="shared" si="341"/>
        <v>119.062</v>
      </c>
      <c r="W1092" s="78">
        <f t="shared" si="342"/>
        <v>0</v>
      </c>
      <c r="X1092" s="1878" t="str">
        <f t="shared" si="339"/>
        <v xml:space="preserve">9.- R Aeolus 0501214-OT_232927  Reencauche 030-0064248 </v>
      </c>
      <c r="Z1092" s="19" t="str">
        <f t="shared" si="346"/>
        <v>ReencaucheReenc. MASTERCAUCHO</v>
      </c>
    </row>
    <row r="1093" spans="2:26" ht="15.2" customHeight="1">
      <c r="B1093" s="37"/>
      <c r="E1093" s="79">
        <v>10</v>
      </c>
      <c r="F1093" s="2294" t="s">
        <v>723</v>
      </c>
      <c r="G1093" s="81" t="s">
        <v>724</v>
      </c>
      <c r="H1093" s="82" t="s">
        <v>2480</v>
      </c>
      <c r="I1093" s="81" t="s">
        <v>726</v>
      </c>
      <c r="J1093" s="83" t="s">
        <v>760</v>
      </c>
      <c r="K1093" s="84" t="s">
        <v>2481</v>
      </c>
      <c r="L1093" s="85">
        <v>42815</v>
      </c>
      <c r="M1093" s="2296" t="s">
        <v>729</v>
      </c>
      <c r="N1093" s="87">
        <v>42818</v>
      </c>
      <c r="O1093" s="88">
        <f t="shared" si="345"/>
        <v>42818</v>
      </c>
      <c r="P1093" s="2766" t="s">
        <v>2486</v>
      </c>
      <c r="Q1093" s="2955">
        <v>100.9</v>
      </c>
      <c r="R1093" s="89"/>
      <c r="S1093" s="1946" t="s">
        <v>731</v>
      </c>
      <c r="T1093" s="77"/>
      <c r="U1093" s="1893"/>
      <c r="V1093" s="2079">
        <f t="shared" si="341"/>
        <v>119.062</v>
      </c>
      <c r="W1093" s="78">
        <f t="shared" si="342"/>
        <v>0</v>
      </c>
      <c r="X1093" s="1879" t="str">
        <f t="shared" si="339"/>
        <v xml:space="preserve">10.- R Aeolus 0521214-OT_232927  Reencauche 030-0064248 </v>
      </c>
      <c r="Z1093" s="19" t="str">
        <f t="shared" si="346"/>
        <v>ReencaucheReenc. MASTERCAUCHO</v>
      </c>
    </row>
    <row r="1094" spans="2:26" ht="15.2" customHeight="1">
      <c r="B1094" s="37"/>
      <c r="E1094" s="2332">
        <v>1</v>
      </c>
      <c r="F1094" s="2297" t="s">
        <v>2825</v>
      </c>
      <c r="G1094" s="68" t="s">
        <v>2459</v>
      </c>
      <c r="H1094" s="69" t="s">
        <v>2461</v>
      </c>
      <c r="I1094" s="68" t="s">
        <v>726</v>
      </c>
      <c r="J1094" s="70" t="s">
        <v>727</v>
      </c>
      <c r="K1094" s="2305" t="s">
        <v>2463</v>
      </c>
      <c r="L1094" s="72">
        <v>42789</v>
      </c>
      <c r="M1094" s="2306" t="s">
        <v>729</v>
      </c>
      <c r="N1094" s="74">
        <v>42793</v>
      </c>
      <c r="O1094" s="75">
        <f>+N1094</f>
        <v>42793</v>
      </c>
      <c r="P1094" s="2765" t="s">
        <v>2469</v>
      </c>
      <c r="Q1094" s="2954"/>
      <c r="R1094" s="76">
        <v>542.37289999999996</v>
      </c>
      <c r="S1094" s="1945" t="s">
        <v>731</v>
      </c>
      <c r="T1094" s="77" t="s">
        <v>2472</v>
      </c>
      <c r="U1094" s="1893"/>
      <c r="V1094" s="2079">
        <f t="shared" si="341"/>
        <v>0</v>
      </c>
      <c r="W1094" s="78">
        <f t="shared" si="342"/>
        <v>640.00002199999994</v>
      </c>
      <c r="X1094" s="1879" t="str">
        <f t="shared" si="339"/>
        <v>1.- B LING LONG 2314-OT_005219  Reencauche 0001-007461 Cod: 803-03-17</v>
      </c>
      <c r="Z1094" s="19" t="str">
        <f t="shared" si="346"/>
        <v>ReencaucheReenc. MASTERCAUCHO</v>
      </c>
    </row>
    <row r="1095" spans="2:26" ht="15.2" customHeight="1">
      <c r="B1095" s="37"/>
      <c r="E1095" s="79">
        <v>2</v>
      </c>
      <c r="F1095" s="2294" t="s">
        <v>2825</v>
      </c>
      <c r="G1095" s="81" t="s">
        <v>2460</v>
      </c>
      <c r="H1095" s="82" t="s">
        <v>2462</v>
      </c>
      <c r="I1095" s="81" t="s">
        <v>726</v>
      </c>
      <c r="J1095" s="83" t="s">
        <v>727</v>
      </c>
      <c r="K1095" s="2295" t="s">
        <v>2463</v>
      </c>
      <c r="L1095" s="85">
        <v>42789</v>
      </c>
      <c r="M1095" s="2296" t="s">
        <v>729</v>
      </c>
      <c r="N1095" s="87">
        <v>42793</v>
      </c>
      <c r="O1095" s="88">
        <f>+N1095</f>
        <v>42793</v>
      </c>
      <c r="P1095" s="2766" t="s">
        <v>2469</v>
      </c>
      <c r="Q1095" s="2955"/>
      <c r="R1095" s="89">
        <v>542.37289999999996</v>
      </c>
      <c r="S1095" s="1946" t="s">
        <v>731</v>
      </c>
      <c r="T1095" s="77" t="s">
        <v>2473</v>
      </c>
      <c r="U1095" s="1893"/>
      <c r="V1095" s="2079">
        <f t="shared" si="341"/>
        <v>0</v>
      </c>
      <c r="W1095" s="78">
        <f t="shared" si="342"/>
        <v>640.00002199999994</v>
      </c>
      <c r="X1095" s="1879" t="str">
        <f t="shared" si="339"/>
        <v>2.- B MICHELLIN 226-OT_005219  Reencauche 0001-007461 Cod: 804-03-17</v>
      </c>
      <c r="Z1095" s="19" t="str">
        <f t="shared" si="346"/>
        <v>Transpl BandaReenc. MASTERCAUCHO</v>
      </c>
    </row>
    <row r="1096" spans="2:26" ht="15.2" customHeight="1">
      <c r="B1096" s="37"/>
      <c r="E1096" s="38">
        <v>1</v>
      </c>
      <c r="F1096" s="2375" t="s">
        <v>732</v>
      </c>
      <c r="G1096" s="40" t="s">
        <v>733</v>
      </c>
      <c r="H1096" s="41" t="s">
        <v>1041</v>
      </c>
      <c r="I1096" s="40" t="s">
        <v>726</v>
      </c>
      <c r="J1096" s="677" t="s">
        <v>727</v>
      </c>
      <c r="K1096" s="43" t="s">
        <v>2445</v>
      </c>
      <c r="L1096" s="44">
        <v>42782</v>
      </c>
      <c r="M1096" s="2386" t="s">
        <v>729</v>
      </c>
      <c r="N1096" s="46">
        <v>42798</v>
      </c>
      <c r="O1096" s="47">
        <f t="shared" ref="O1096:O1104" si="347">+N1096</f>
        <v>42798</v>
      </c>
      <c r="P1096" s="2763" t="s">
        <v>2469</v>
      </c>
      <c r="Q1096" s="2952"/>
      <c r="R1096" s="48">
        <v>279.66000000000003</v>
      </c>
      <c r="S1096" s="1945" t="s">
        <v>731</v>
      </c>
      <c r="T1096" s="77"/>
      <c r="U1096" s="1893"/>
      <c r="V1096" s="2079">
        <f t="shared" si="341"/>
        <v>0</v>
      </c>
      <c r="W1096" s="78">
        <f t="shared" si="342"/>
        <v>329.99880000000002</v>
      </c>
      <c r="X1096" s="1879" t="str">
        <f t="shared" si="339"/>
        <v xml:space="preserve">1.- C Lima Caucho 1041208-OT_005208  Reencauche 0001-007461 </v>
      </c>
      <c r="Z1096" s="19" t="str">
        <f>CONCATENATE(I1099,J1099)</f>
        <v>Sacar_BandaReenc. MASTERCAUCHO</v>
      </c>
    </row>
    <row r="1097" spans="2:26" ht="15.2" customHeight="1">
      <c r="B1097" s="37"/>
      <c r="E1097" s="2352">
        <v>2</v>
      </c>
      <c r="F1097" s="2297" t="s">
        <v>732</v>
      </c>
      <c r="G1097" s="68" t="s">
        <v>733</v>
      </c>
      <c r="H1097" s="69" t="s">
        <v>1018</v>
      </c>
      <c r="I1097" s="68" t="s">
        <v>726</v>
      </c>
      <c r="J1097" s="70" t="s">
        <v>727</v>
      </c>
      <c r="K1097" s="71" t="s">
        <v>2445</v>
      </c>
      <c r="L1097" s="72">
        <v>42782</v>
      </c>
      <c r="M1097" s="73" t="s">
        <v>729</v>
      </c>
      <c r="N1097" s="74">
        <v>42789</v>
      </c>
      <c r="O1097" s="75">
        <f t="shared" si="347"/>
        <v>42789</v>
      </c>
      <c r="P1097" s="2765" t="s">
        <v>2469</v>
      </c>
      <c r="Q1097" s="2954"/>
      <c r="R1097" s="2384">
        <v>279.66000000000003</v>
      </c>
      <c r="S1097" s="1945" t="s">
        <v>731</v>
      </c>
      <c r="T1097" s="77"/>
      <c r="U1097" s="1893"/>
      <c r="V1097" s="2079">
        <f t="shared" si="341"/>
        <v>0</v>
      </c>
      <c r="W1097" s="78">
        <f t="shared" si="342"/>
        <v>329.99880000000002</v>
      </c>
      <c r="X1097" s="1879" t="str">
        <f t="shared" si="339"/>
        <v xml:space="preserve">2.- C Lima Caucho 1491207-OT_005208  Reencauche 0001-007461 </v>
      </c>
      <c r="Z1097" s="19" t="str">
        <f>CONCATENATE(I1100,J1100)</f>
        <v>ReencaucheReenc. MASTERCAUCHO</v>
      </c>
    </row>
    <row r="1098" spans="2:26" ht="15.2" customHeight="1">
      <c r="B1098" s="37"/>
      <c r="E1098" s="2376">
        <v>3</v>
      </c>
      <c r="F1098" s="2297" t="s">
        <v>732</v>
      </c>
      <c r="G1098" s="68" t="s">
        <v>737</v>
      </c>
      <c r="H1098" s="69" t="s">
        <v>843</v>
      </c>
      <c r="I1098" s="68" t="s">
        <v>740</v>
      </c>
      <c r="J1098" s="70" t="s">
        <v>727</v>
      </c>
      <c r="K1098" s="71" t="s">
        <v>2445</v>
      </c>
      <c r="L1098" s="72">
        <v>42782</v>
      </c>
      <c r="M1098" s="73" t="s">
        <v>729</v>
      </c>
      <c r="N1098" s="74">
        <v>42789</v>
      </c>
      <c r="O1098" s="75">
        <f t="shared" si="347"/>
        <v>42789</v>
      </c>
      <c r="P1098" s="2765" t="s">
        <v>2469</v>
      </c>
      <c r="Q1098" s="2954"/>
      <c r="R1098" s="2384">
        <v>127.12</v>
      </c>
      <c r="S1098" s="1945" t="s">
        <v>731</v>
      </c>
      <c r="T1098" s="77"/>
      <c r="U1098" s="1893"/>
      <c r="V1098" s="2079">
        <f t="shared" si="341"/>
        <v>0</v>
      </c>
      <c r="W1098" s="78">
        <f t="shared" si="342"/>
        <v>150.0016</v>
      </c>
      <c r="X1098" s="1878" t="str">
        <f t="shared" si="339"/>
        <v xml:space="preserve">3.- C Vikrant 0260211-OT_005208  Transpl Banda 0001-007461 </v>
      </c>
      <c r="Z1098" s="19" t="str">
        <f t="shared" si="346"/>
        <v>Transpl BandaReenc. MASTERCAUCHO</v>
      </c>
    </row>
    <row r="1099" spans="2:26" ht="15.2" customHeight="1">
      <c r="B1099" s="37"/>
      <c r="E1099" s="2352">
        <v>4</v>
      </c>
      <c r="F1099" s="2297" t="s">
        <v>732</v>
      </c>
      <c r="G1099" s="2365" t="s">
        <v>737</v>
      </c>
      <c r="H1099" s="2387" t="s">
        <v>894</v>
      </c>
      <c r="I1099" s="2365" t="s">
        <v>744</v>
      </c>
      <c r="J1099" s="2367" t="s">
        <v>727</v>
      </c>
      <c r="K1099" s="2368" t="s">
        <v>2445</v>
      </c>
      <c r="L1099" s="2369">
        <v>42782</v>
      </c>
      <c r="M1099" s="2306" t="s">
        <v>729</v>
      </c>
      <c r="N1099" s="74">
        <v>42798</v>
      </c>
      <c r="O1099" s="75">
        <f>+N1099</f>
        <v>42798</v>
      </c>
      <c r="P1099" s="2765" t="s">
        <v>2470</v>
      </c>
      <c r="Q1099" s="2954"/>
      <c r="R1099" s="76">
        <v>0</v>
      </c>
      <c r="S1099" s="1945" t="s">
        <v>731</v>
      </c>
      <c r="T1099" s="77"/>
      <c r="U1099" s="1893"/>
      <c r="V1099" s="2079">
        <f t="shared" si="341"/>
        <v>0</v>
      </c>
      <c r="W1099" s="78">
        <f t="shared" si="342"/>
        <v>0</v>
      </c>
      <c r="X1099" s="1879" t="str">
        <f t="shared" si="339"/>
        <v xml:space="preserve">4.- C Vikrant 0470506-OT_005208  Sacar_Banda G0001-002370 </v>
      </c>
      <c r="Z1099" s="19" t="str">
        <f t="shared" si="346"/>
        <v>Vulcanizado (curación)Reenc. MASTERCAUCHO</v>
      </c>
    </row>
    <row r="1100" spans="2:26" ht="15.2" customHeight="1">
      <c r="B1100" s="37"/>
      <c r="E1100" s="204">
        <v>5</v>
      </c>
      <c r="F1100" s="2382" t="s">
        <v>732</v>
      </c>
      <c r="G1100" s="206" t="s">
        <v>757</v>
      </c>
      <c r="H1100" s="207" t="s">
        <v>1025</v>
      </c>
      <c r="I1100" s="206" t="s">
        <v>726</v>
      </c>
      <c r="J1100" s="208" t="s">
        <v>727</v>
      </c>
      <c r="K1100" s="2383" t="s">
        <v>2445</v>
      </c>
      <c r="L1100" s="210">
        <v>42782</v>
      </c>
      <c r="M1100" s="211" t="s">
        <v>729</v>
      </c>
      <c r="N1100" s="212">
        <v>42789</v>
      </c>
      <c r="O1100" s="213">
        <f t="shared" si="347"/>
        <v>42789</v>
      </c>
      <c r="P1100" s="2775" t="s">
        <v>2471</v>
      </c>
      <c r="Q1100" s="2966"/>
      <c r="R1100" s="214">
        <v>0</v>
      </c>
      <c r="S1100" s="1954" t="s">
        <v>731</v>
      </c>
      <c r="T1100" s="1875" t="s">
        <v>2457</v>
      </c>
      <c r="U1100" s="1893"/>
      <c r="V1100" s="2079">
        <f t="shared" si="341"/>
        <v>0</v>
      </c>
      <c r="W1100" s="78">
        <f t="shared" si="342"/>
        <v>0</v>
      </c>
      <c r="X1100" s="1878" t="str">
        <f t="shared" si="339"/>
        <v>5.- C Goodyear 1130704-OT_005208  Reencauche G0001-002366 Rechazada, G0001-0023600 X</v>
      </c>
      <c r="Z1100" s="19" t="str">
        <f>CONCATENATE(I1103,J1103)</f>
        <v>Sacar_BandaReenc. MASTERCAUCHO</v>
      </c>
    </row>
    <row r="1101" spans="2:26" ht="15.2" customHeight="1">
      <c r="B1101" s="37"/>
      <c r="E1101" s="2332">
        <v>6</v>
      </c>
      <c r="F1101" s="2297" t="s">
        <v>723</v>
      </c>
      <c r="G1101" s="2365" t="s">
        <v>151</v>
      </c>
      <c r="H1101" s="2366" t="s">
        <v>2394</v>
      </c>
      <c r="I1101" s="2365" t="s">
        <v>740</v>
      </c>
      <c r="J1101" s="2367" t="s">
        <v>727</v>
      </c>
      <c r="K1101" s="2368" t="s">
        <v>2445</v>
      </c>
      <c r="L1101" s="2369">
        <v>42782</v>
      </c>
      <c r="M1101" s="2306" t="s">
        <v>729</v>
      </c>
      <c r="N1101" s="74">
        <v>42798</v>
      </c>
      <c r="O1101" s="75">
        <f t="shared" si="347"/>
        <v>42798</v>
      </c>
      <c r="P1101" s="2765" t="s">
        <v>2469</v>
      </c>
      <c r="Q1101" s="2954"/>
      <c r="R1101" s="76">
        <v>211.86439999999999</v>
      </c>
      <c r="S1101" s="1945" t="s">
        <v>731</v>
      </c>
      <c r="T1101" s="77"/>
      <c r="U1101" s="1893"/>
      <c r="V1101" s="2079">
        <f t="shared" si="341"/>
        <v>0</v>
      </c>
      <c r="W1101" s="78">
        <f t="shared" si="342"/>
        <v>249.99999199999996</v>
      </c>
      <c r="X1101" s="1878" t="str">
        <f t="shared" si="339"/>
        <v xml:space="preserve">6.- R WindPower 0811215-OT_005208  Transpl Banda 0001-007461 </v>
      </c>
      <c r="Z1101" s="19" t="str">
        <f>CONCATENATE(I1104,J1104)</f>
        <v>ReencaucheReenc. MASTERCAUCHO</v>
      </c>
    </row>
    <row r="1102" spans="2:26" ht="15.2" customHeight="1">
      <c r="B1102" s="37"/>
      <c r="E1102" s="2376">
        <v>7</v>
      </c>
      <c r="F1102" s="2297" t="s">
        <v>723</v>
      </c>
      <c r="G1102" s="2370" t="s">
        <v>724</v>
      </c>
      <c r="H1102" s="2371" t="s">
        <v>2458</v>
      </c>
      <c r="I1102" s="2370" t="s">
        <v>811</v>
      </c>
      <c r="J1102" s="2372" t="s">
        <v>727</v>
      </c>
      <c r="K1102" s="2373" t="s">
        <v>2445</v>
      </c>
      <c r="L1102" s="2374">
        <v>42782</v>
      </c>
      <c r="M1102" s="2306" t="s">
        <v>729</v>
      </c>
      <c r="N1102" s="74">
        <v>42789</v>
      </c>
      <c r="O1102" s="75">
        <f t="shared" si="347"/>
        <v>42789</v>
      </c>
      <c r="P1102" s="2765" t="s">
        <v>2469</v>
      </c>
      <c r="Q1102" s="2954"/>
      <c r="R1102" s="2384">
        <v>84.745699999999999</v>
      </c>
      <c r="S1102" s="1945" t="s">
        <v>731</v>
      </c>
      <c r="T1102" s="77"/>
      <c r="U1102" s="1893"/>
      <c r="V1102" s="2079">
        <f t="shared" si="341"/>
        <v>0</v>
      </c>
      <c r="W1102" s="78">
        <f t="shared" si="342"/>
        <v>99.999925999999988</v>
      </c>
      <c r="X1102" s="1878" t="str">
        <f t="shared" si="339"/>
        <v xml:space="preserve">7.- R Aeolus 0270215-OT_005208  Vulcanizado (curación) 0001-007461 </v>
      </c>
      <c r="Z1102" s="19" t="str">
        <f t="shared" si="346"/>
        <v>ReencaucheReencauchadora RENOVA</v>
      </c>
    </row>
    <row r="1103" spans="2:26" ht="15.2" customHeight="1">
      <c r="B1103" s="37"/>
      <c r="E1103" s="2332">
        <v>8</v>
      </c>
      <c r="F1103" s="2297" t="s">
        <v>723</v>
      </c>
      <c r="G1103" s="2365" t="s">
        <v>724</v>
      </c>
      <c r="H1103" s="2366" t="s">
        <v>828</v>
      </c>
      <c r="I1103" s="2365" t="s">
        <v>744</v>
      </c>
      <c r="J1103" s="2367" t="s">
        <v>727</v>
      </c>
      <c r="K1103" s="2368" t="s">
        <v>2445</v>
      </c>
      <c r="L1103" s="2369">
        <v>42782</v>
      </c>
      <c r="M1103" s="73" t="s">
        <v>729</v>
      </c>
      <c r="N1103" s="74">
        <v>42789</v>
      </c>
      <c r="O1103" s="75">
        <f>+N1103</f>
        <v>42789</v>
      </c>
      <c r="P1103" s="2765" t="s">
        <v>2471</v>
      </c>
      <c r="Q1103" s="2954"/>
      <c r="R1103" s="76">
        <v>0</v>
      </c>
      <c r="S1103" s="1945" t="s">
        <v>731</v>
      </c>
      <c r="T1103" s="77"/>
      <c r="U1103" s="1893"/>
      <c r="V1103" s="2079">
        <f t="shared" si="341"/>
        <v>0</v>
      </c>
      <c r="W1103" s="78">
        <f t="shared" si="342"/>
        <v>0</v>
      </c>
      <c r="X1103" s="1878" t="str">
        <f t="shared" si="339"/>
        <v xml:space="preserve">8.- R Aeolus 0150612-OT_005208  Sacar_Banda G0001-002366 </v>
      </c>
      <c r="Z1103" s="19" t="str">
        <f t="shared" si="346"/>
        <v>ReencaucheReencauchadora RENOVA</v>
      </c>
    </row>
    <row r="1104" spans="2:26" ht="15.2" customHeight="1">
      <c r="B1104" s="37"/>
      <c r="E1104" s="79">
        <v>9</v>
      </c>
      <c r="F1104" s="2294" t="s">
        <v>723</v>
      </c>
      <c r="G1104" s="81" t="s">
        <v>724</v>
      </c>
      <c r="H1104" s="82" t="s">
        <v>36</v>
      </c>
      <c r="I1104" s="81" t="s">
        <v>726</v>
      </c>
      <c r="J1104" s="83" t="s">
        <v>727</v>
      </c>
      <c r="K1104" s="84" t="s">
        <v>2445</v>
      </c>
      <c r="L1104" s="85">
        <v>42782</v>
      </c>
      <c r="M1104" s="86" t="s">
        <v>729</v>
      </c>
      <c r="N1104" s="87">
        <v>42789</v>
      </c>
      <c r="O1104" s="88">
        <f t="shared" si="347"/>
        <v>42789</v>
      </c>
      <c r="P1104" s="2766" t="s">
        <v>2471</v>
      </c>
      <c r="Q1104" s="2955"/>
      <c r="R1104" s="89">
        <v>0</v>
      </c>
      <c r="S1104" s="1946" t="s">
        <v>731</v>
      </c>
      <c r="T1104" s="1875" t="s">
        <v>2457</v>
      </c>
      <c r="U1104" s="1893"/>
      <c r="V1104" s="2079">
        <f t="shared" si="341"/>
        <v>0</v>
      </c>
      <c r="W1104" s="78">
        <f t="shared" si="342"/>
        <v>0</v>
      </c>
      <c r="X1104" s="1878" t="str">
        <f t="shared" si="339"/>
        <v>9.- R Aeolus 0160114-OT_005208  Reencauche G0001-002366 Rechazada, G0001-0023600 X</v>
      </c>
      <c r="Z1104" s="19" t="str">
        <f t="shared" si="346"/>
        <v>ReencaucheReencauchadora RENOVA</v>
      </c>
    </row>
    <row r="1105" spans="2:26" ht="15.2" customHeight="1">
      <c r="B1105" s="37"/>
      <c r="E1105" s="2332">
        <v>1</v>
      </c>
      <c r="F1105" s="2297" t="s">
        <v>732</v>
      </c>
      <c r="G1105" s="68" t="s">
        <v>733</v>
      </c>
      <c r="H1105" s="69" t="s">
        <v>2418</v>
      </c>
      <c r="I1105" s="68" t="s">
        <v>726</v>
      </c>
      <c r="J1105" s="70" t="s">
        <v>760</v>
      </c>
      <c r="K1105" s="2305" t="s">
        <v>2420</v>
      </c>
      <c r="L1105" s="72">
        <v>42766</v>
      </c>
      <c r="M1105" s="2306" t="s">
        <v>729</v>
      </c>
      <c r="N1105" s="74">
        <v>42774</v>
      </c>
      <c r="O1105" s="75">
        <f t="shared" ref="O1105:O1117" si="348">+N1105</f>
        <v>42774</v>
      </c>
      <c r="P1105" s="2765" t="s">
        <v>2440</v>
      </c>
      <c r="Q1105" s="2954">
        <v>90.26</v>
      </c>
      <c r="R1105" s="76"/>
      <c r="S1105" s="1945" t="s">
        <v>731</v>
      </c>
      <c r="T1105" s="77"/>
      <c r="U1105" s="1893"/>
      <c r="V1105" s="2079">
        <f t="shared" si="341"/>
        <v>106.5068</v>
      </c>
      <c r="W1105" s="78">
        <f t="shared" si="342"/>
        <v>0</v>
      </c>
      <c r="X1105" s="1878" t="str">
        <f t="shared" si="339"/>
        <v xml:space="preserve">1.- C Lima Caucho 0431112-OT_232240  Reencauche F101-00007543 </v>
      </c>
      <c r="Z1105" s="19" t="str">
        <f t="shared" si="346"/>
        <v>ReencaucheReencauchadora RENOVA</v>
      </c>
    </row>
    <row r="1106" spans="2:26" ht="15.2" customHeight="1">
      <c r="B1106" s="37"/>
      <c r="E1106" s="2332">
        <v>2</v>
      </c>
      <c r="F1106" s="2297" t="s">
        <v>732</v>
      </c>
      <c r="G1106" s="68" t="s">
        <v>737</v>
      </c>
      <c r="H1106" s="69" t="s">
        <v>2419</v>
      </c>
      <c r="I1106" s="68" t="s">
        <v>726</v>
      </c>
      <c r="J1106" s="70" t="s">
        <v>760</v>
      </c>
      <c r="K1106" s="71" t="s">
        <v>2420</v>
      </c>
      <c r="L1106" s="72">
        <v>42766</v>
      </c>
      <c r="M1106" s="2306" t="s">
        <v>729</v>
      </c>
      <c r="N1106" s="74">
        <v>42774</v>
      </c>
      <c r="O1106" s="75">
        <f t="shared" si="348"/>
        <v>42774</v>
      </c>
      <c r="P1106" s="2765" t="s">
        <v>2440</v>
      </c>
      <c r="Q1106" s="2954">
        <v>90.26</v>
      </c>
      <c r="R1106" s="76"/>
      <c r="S1106" s="1945" t="s">
        <v>731</v>
      </c>
      <c r="T1106" s="77"/>
      <c r="U1106" s="1893"/>
      <c r="V1106" s="2079">
        <f t="shared" si="341"/>
        <v>106.5068</v>
      </c>
      <c r="W1106" s="78">
        <f t="shared" si="342"/>
        <v>0</v>
      </c>
      <c r="X1106" s="1878" t="str">
        <f t="shared" si="339"/>
        <v xml:space="preserve">2.- C Vikrant 01201009-OT_232240  Reencauche F101-00007543 </v>
      </c>
      <c r="Z1106" s="19" t="str">
        <f t="shared" si="346"/>
        <v>ReencaucheReencauchadora RENOVA</v>
      </c>
    </row>
    <row r="1107" spans="2:26" ht="15.2" customHeight="1">
      <c r="B1107" s="37"/>
      <c r="E1107" s="2332">
        <v>3</v>
      </c>
      <c r="F1107" s="2297" t="s">
        <v>732</v>
      </c>
      <c r="G1107" s="68" t="s">
        <v>737</v>
      </c>
      <c r="H1107" s="69" t="s">
        <v>1066</v>
      </c>
      <c r="I1107" s="68" t="s">
        <v>726</v>
      </c>
      <c r="J1107" s="70" t="s">
        <v>760</v>
      </c>
      <c r="K1107" s="71" t="s">
        <v>2420</v>
      </c>
      <c r="L1107" s="72">
        <v>42766</v>
      </c>
      <c r="M1107" s="2306" t="s">
        <v>729</v>
      </c>
      <c r="N1107" s="74">
        <v>42774</v>
      </c>
      <c r="O1107" s="75">
        <f t="shared" si="348"/>
        <v>42774</v>
      </c>
      <c r="P1107" s="2765" t="s">
        <v>2440</v>
      </c>
      <c r="Q1107" s="2954">
        <v>90.26</v>
      </c>
      <c r="R1107" s="76"/>
      <c r="S1107" s="1945" t="s">
        <v>731</v>
      </c>
      <c r="T1107" s="77"/>
      <c r="U1107" s="1893"/>
      <c r="V1107" s="2079">
        <f t="shared" si="341"/>
        <v>106.5068</v>
      </c>
      <c r="W1107" s="78">
        <f t="shared" si="342"/>
        <v>0</v>
      </c>
      <c r="X1107" s="1878" t="str">
        <f t="shared" si="339"/>
        <v xml:space="preserve">3.- C Vikrant 0670809-OT_232240  Reencauche F101-00007543 </v>
      </c>
      <c r="Z1107" s="19" t="str">
        <f t="shared" si="346"/>
        <v>ReencaucheReencauchadora RENOVA</v>
      </c>
    </row>
    <row r="1108" spans="2:26" ht="15.2" customHeight="1">
      <c r="B1108" s="37"/>
      <c r="E1108" s="2332">
        <v>4</v>
      </c>
      <c r="F1108" s="2297" t="s">
        <v>732</v>
      </c>
      <c r="G1108" s="68" t="s">
        <v>737</v>
      </c>
      <c r="H1108" s="69" t="s">
        <v>1068</v>
      </c>
      <c r="I1108" s="68" t="s">
        <v>726</v>
      </c>
      <c r="J1108" s="70" t="s">
        <v>760</v>
      </c>
      <c r="K1108" s="71" t="s">
        <v>2421</v>
      </c>
      <c r="L1108" s="72">
        <v>42766</v>
      </c>
      <c r="M1108" s="2306" t="s">
        <v>729</v>
      </c>
      <c r="N1108" s="74">
        <v>42774</v>
      </c>
      <c r="O1108" s="75">
        <f t="shared" si="348"/>
        <v>42774</v>
      </c>
      <c r="P1108" s="2765" t="s">
        <v>2440</v>
      </c>
      <c r="Q1108" s="2954">
        <v>90.26</v>
      </c>
      <c r="R1108" s="76"/>
      <c r="S1108" s="1945" t="s">
        <v>731</v>
      </c>
      <c r="T1108" s="77"/>
      <c r="U1108" s="1893"/>
      <c r="V1108" s="2079">
        <f t="shared" si="341"/>
        <v>106.5068</v>
      </c>
      <c r="W1108" s="78">
        <f t="shared" si="342"/>
        <v>0</v>
      </c>
      <c r="X1108" s="1878" t="str">
        <f t="shared" si="339"/>
        <v xml:space="preserve">4.- C Vikrant 010022010-OT_232239  Reencauche F101-00007543 </v>
      </c>
      <c r="Z1108" s="19" t="str">
        <f t="shared" si="346"/>
        <v>ReencaucheReencauchadora RENOVA</v>
      </c>
    </row>
    <row r="1109" spans="2:26" ht="15.2" customHeight="1">
      <c r="B1109" s="37"/>
      <c r="E1109" s="2332">
        <v>5</v>
      </c>
      <c r="F1109" s="2297" t="s">
        <v>732</v>
      </c>
      <c r="G1109" s="68" t="s">
        <v>733</v>
      </c>
      <c r="H1109" s="69" t="s">
        <v>1829</v>
      </c>
      <c r="I1109" s="68" t="s">
        <v>726</v>
      </c>
      <c r="J1109" s="70" t="s">
        <v>760</v>
      </c>
      <c r="K1109" s="71" t="s">
        <v>2421</v>
      </c>
      <c r="L1109" s="72">
        <v>42766</v>
      </c>
      <c r="M1109" s="2306" t="s">
        <v>729</v>
      </c>
      <c r="N1109" s="74">
        <v>42774</v>
      </c>
      <c r="O1109" s="75">
        <f t="shared" si="348"/>
        <v>42774</v>
      </c>
      <c r="P1109" s="2765" t="s">
        <v>2440</v>
      </c>
      <c r="Q1109" s="2954">
        <v>90.26</v>
      </c>
      <c r="R1109" s="76"/>
      <c r="S1109" s="1945" t="s">
        <v>731</v>
      </c>
      <c r="T1109" s="77"/>
      <c r="U1109" s="1893"/>
      <c r="V1109" s="2079">
        <f t="shared" si="341"/>
        <v>106.5068</v>
      </c>
      <c r="W1109" s="78">
        <f t="shared" si="342"/>
        <v>0</v>
      </c>
      <c r="X1109" s="1878" t="str">
        <f t="shared" si="339"/>
        <v xml:space="preserve">5.- C Lima Caucho 1151210-OT_232239  Reencauche F101-00007543 </v>
      </c>
      <c r="Z1109" s="19" t="str">
        <f t="shared" si="346"/>
        <v>ReencaucheReencauchadora RENOVA</v>
      </c>
    </row>
    <row r="1110" spans="2:26" ht="15.2" customHeight="1">
      <c r="B1110" s="37"/>
      <c r="E1110" s="2332">
        <v>6</v>
      </c>
      <c r="F1110" s="2297" t="s">
        <v>732</v>
      </c>
      <c r="G1110" s="68" t="s">
        <v>733</v>
      </c>
      <c r="H1110" s="69" t="s">
        <v>788</v>
      </c>
      <c r="I1110" s="68" t="s">
        <v>726</v>
      </c>
      <c r="J1110" s="70" t="s">
        <v>760</v>
      </c>
      <c r="K1110" s="71" t="s">
        <v>2421</v>
      </c>
      <c r="L1110" s="72">
        <v>42766</v>
      </c>
      <c r="M1110" s="2306" t="s">
        <v>729</v>
      </c>
      <c r="N1110" s="74">
        <v>42774</v>
      </c>
      <c r="O1110" s="75">
        <f t="shared" si="348"/>
        <v>42774</v>
      </c>
      <c r="P1110" s="2765" t="s">
        <v>2440</v>
      </c>
      <c r="Q1110" s="2954">
        <v>90.26</v>
      </c>
      <c r="R1110" s="76"/>
      <c r="S1110" s="1945" t="s">
        <v>731</v>
      </c>
      <c r="T1110" s="77"/>
      <c r="U1110" s="1893"/>
      <c r="V1110" s="2079">
        <f t="shared" si="341"/>
        <v>106.5068</v>
      </c>
      <c r="W1110" s="78">
        <f t="shared" si="342"/>
        <v>0</v>
      </c>
      <c r="X1110" s="1878" t="str">
        <f t="shared" si="339"/>
        <v xml:space="preserve">6.- C Lima Caucho 0370707-OT_232239  Reencauche F101-00007543 </v>
      </c>
      <c r="Z1110" s="19" t="str">
        <f t="shared" si="346"/>
        <v>ReencaucheReencauchadora RENOVA</v>
      </c>
    </row>
    <row r="1111" spans="2:26" ht="15.2" customHeight="1">
      <c r="B1111" s="37"/>
      <c r="E1111" s="2332">
        <v>7</v>
      </c>
      <c r="F1111" s="2297" t="s">
        <v>732</v>
      </c>
      <c r="G1111" s="68" t="s">
        <v>733</v>
      </c>
      <c r="H1111" s="69" t="s">
        <v>1281</v>
      </c>
      <c r="I1111" s="68" t="s">
        <v>726</v>
      </c>
      <c r="J1111" s="70" t="s">
        <v>760</v>
      </c>
      <c r="K1111" s="71" t="s">
        <v>2421</v>
      </c>
      <c r="L1111" s="72">
        <v>42766</v>
      </c>
      <c r="M1111" s="2306" t="s">
        <v>729</v>
      </c>
      <c r="N1111" s="74">
        <v>42774</v>
      </c>
      <c r="O1111" s="75">
        <f t="shared" si="348"/>
        <v>42774</v>
      </c>
      <c r="P1111" s="2765" t="s">
        <v>2440</v>
      </c>
      <c r="Q1111" s="2954">
        <v>90.26</v>
      </c>
      <c r="R1111" s="76"/>
      <c r="S1111" s="1945" t="s">
        <v>731</v>
      </c>
      <c r="T1111" s="77"/>
      <c r="U1111" s="1893"/>
      <c r="V1111" s="2079">
        <f t="shared" si="341"/>
        <v>106.5068</v>
      </c>
      <c r="W1111" s="78">
        <f t="shared" si="342"/>
        <v>0</v>
      </c>
      <c r="X1111" s="1878" t="str">
        <f t="shared" si="339"/>
        <v xml:space="preserve">7.- C Lima Caucho 0650810-OT_232239  Reencauche F101-00007543 </v>
      </c>
      <c r="Z1111" s="19" t="str">
        <f t="shared" ref="Z1111:Z1157" si="349">CONCATENATE(I1114,J1114)</f>
        <v>ReencaucheReencauchadora RENOVA</v>
      </c>
    </row>
    <row r="1112" spans="2:26" ht="15.2" customHeight="1">
      <c r="B1112" s="37"/>
      <c r="E1112" s="2332">
        <v>8</v>
      </c>
      <c r="F1112" s="2297" t="s">
        <v>732</v>
      </c>
      <c r="G1112" s="68" t="s">
        <v>733</v>
      </c>
      <c r="H1112" s="69" t="s">
        <v>1225</v>
      </c>
      <c r="I1112" s="68" t="s">
        <v>726</v>
      </c>
      <c r="J1112" s="70" t="s">
        <v>760</v>
      </c>
      <c r="K1112" s="71" t="s">
        <v>2421</v>
      </c>
      <c r="L1112" s="72">
        <v>42766</v>
      </c>
      <c r="M1112" s="2306" t="s">
        <v>729</v>
      </c>
      <c r="N1112" s="74">
        <v>42774</v>
      </c>
      <c r="O1112" s="75">
        <f t="shared" si="348"/>
        <v>42774</v>
      </c>
      <c r="P1112" s="2765" t="s">
        <v>2440</v>
      </c>
      <c r="Q1112" s="2954">
        <v>90.26</v>
      </c>
      <c r="R1112" s="76"/>
      <c r="S1112" s="1945" t="s">
        <v>731</v>
      </c>
      <c r="T1112" s="77"/>
      <c r="U1112" s="1893"/>
      <c r="V1112" s="2079">
        <f t="shared" si="341"/>
        <v>106.5068</v>
      </c>
      <c r="W1112" s="78">
        <f t="shared" si="342"/>
        <v>0</v>
      </c>
      <c r="X1112" s="1878" t="str">
        <f t="shared" si="339"/>
        <v xml:space="preserve">8.- C Lima Caucho 0310508-OT_232239  Reencauche F101-00007543 </v>
      </c>
      <c r="Z1112" s="19" t="str">
        <f t="shared" si="349"/>
        <v>ReencaucheReencauchadora RENOVA</v>
      </c>
    </row>
    <row r="1113" spans="2:26" ht="15.2" customHeight="1">
      <c r="B1113" s="37"/>
      <c r="E1113" s="2332">
        <v>9</v>
      </c>
      <c r="F1113" s="2297" t="s">
        <v>732</v>
      </c>
      <c r="G1113" s="68" t="s">
        <v>757</v>
      </c>
      <c r="H1113" s="69" t="s">
        <v>2423</v>
      </c>
      <c r="I1113" s="68" t="s">
        <v>726</v>
      </c>
      <c r="J1113" s="70" t="s">
        <v>760</v>
      </c>
      <c r="K1113" s="71" t="s">
        <v>2421</v>
      </c>
      <c r="L1113" s="72">
        <v>42766</v>
      </c>
      <c r="M1113" s="2306" t="s">
        <v>729</v>
      </c>
      <c r="N1113" s="74">
        <v>42774</v>
      </c>
      <c r="O1113" s="75">
        <f t="shared" si="348"/>
        <v>42774</v>
      </c>
      <c r="P1113" s="2765" t="s">
        <v>2440</v>
      </c>
      <c r="Q1113" s="2954">
        <v>90.26</v>
      </c>
      <c r="R1113" s="76"/>
      <c r="S1113" s="1945" t="s">
        <v>731</v>
      </c>
      <c r="T1113" s="77"/>
      <c r="U1113" s="1893"/>
      <c r="V1113" s="2079">
        <f t="shared" si="341"/>
        <v>106.5068</v>
      </c>
      <c r="W1113" s="78">
        <f t="shared" si="342"/>
        <v>0</v>
      </c>
      <c r="X1113" s="1878" t="str">
        <f t="shared" si="339"/>
        <v xml:space="preserve">9.- C Goodyear 06200404-OT_232239  Reencauche F101-00007543 </v>
      </c>
      <c r="Z1113" s="19" t="str">
        <f t="shared" si="349"/>
        <v>ReencaucheReencauchadora RENOVA</v>
      </c>
    </row>
    <row r="1114" spans="2:26" ht="15.2" customHeight="1">
      <c r="B1114" s="37"/>
      <c r="E1114" s="2288">
        <v>10</v>
      </c>
      <c r="F1114" s="2297" t="s">
        <v>732</v>
      </c>
      <c r="G1114" s="68" t="s">
        <v>733</v>
      </c>
      <c r="H1114" s="69" t="s">
        <v>2424</v>
      </c>
      <c r="I1114" s="68" t="s">
        <v>726</v>
      </c>
      <c r="J1114" s="70" t="s">
        <v>760</v>
      </c>
      <c r="K1114" s="71" t="s">
        <v>2421</v>
      </c>
      <c r="L1114" s="72">
        <v>42766</v>
      </c>
      <c r="M1114" s="2306" t="s">
        <v>729</v>
      </c>
      <c r="N1114" s="74">
        <v>42774</v>
      </c>
      <c r="O1114" s="75">
        <f t="shared" si="348"/>
        <v>42774</v>
      </c>
      <c r="P1114" s="2765" t="s">
        <v>2440</v>
      </c>
      <c r="Q1114" s="2954">
        <v>90.26</v>
      </c>
      <c r="R1114" s="76"/>
      <c r="S1114" s="1945" t="s">
        <v>731</v>
      </c>
      <c r="T1114" s="77"/>
      <c r="U1114" s="1893"/>
      <c r="V1114" s="2079">
        <f t="shared" si="341"/>
        <v>106.5068</v>
      </c>
      <c r="W1114" s="78">
        <f t="shared" si="342"/>
        <v>0</v>
      </c>
      <c r="X1114" s="1878" t="str">
        <f t="shared" si="339"/>
        <v xml:space="preserve">10.- C Lima Caucho 0040113-OT_232239  Reencauche F101-00007543 </v>
      </c>
      <c r="Z1114" s="19" t="str">
        <f t="shared" si="349"/>
        <v>ReencaucheReencauchadora RENOVA</v>
      </c>
    </row>
    <row r="1115" spans="2:26" ht="15.2" customHeight="1">
      <c r="B1115" s="37"/>
      <c r="E1115" s="2288">
        <v>11</v>
      </c>
      <c r="F1115" s="2297" t="s">
        <v>732</v>
      </c>
      <c r="G1115" s="68" t="s">
        <v>776</v>
      </c>
      <c r="H1115" s="69" t="s">
        <v>1201</v>
      </c>
      <c r="I1115" s="68" t="s">
        <v>726</v>
      </c>
      <c r="J1115" s="70" t="s">
        <v>760</v>
      </c>
      <c r="K1115" s="2305" t="s">
        <v>2421</v>
      </c>
      <c r="L1115" s="72">
        <v>42766</v>
      </c>
      <c r="M1115" s="2306" t="s">
        <v>729</v>
      </c>
      <c r="N1115" s="74">
        <v>42774</v>
      </c>
      <c r="O1115" s="75">
        <f t="shared" si="348"/>
        <v>42774</v>
      </c>
      <c r="P1115" s="2765" t="s">
        <v>2440</v>
      </c>
      <c r="Q1115" s="2954">
        <v>85.79</v>
      </c>
      <c r="R1115" s="76"/>
      <c r="S1115" s="1945" t="s">
        <v>731</v>
      </c>
      <c r="T1115" s="77"/>
      <c r="U1115" s="1893"/>
      <c r="V1115" s="2079">
        <f t="shared" si="341"/>
        <v>101.23220000000001</v>
      </c>
      <c r="W1115" s="78">
        <f t="shared" si="342"/>
        <v>0</v>
      </c>
      <c r="X1115" s="1878" t="str">
        <f t="shared" si="339"/>
        <v xml:space="preserve">11.- C Altura 0630911-OT_232239  Reencauche F101-00007543 </v>
      </c>
      <c r="Z1115" s="19" t="str">
        <f t="shared" si="349"/>
        <v>ReencaucheReencauchadora RENOVA</v>
      </c>
    </row>
    <row r="1116" spans="2:26" ht="15.2" customHeight="1">
      <c r="B1116" s="37"/>
      <c r="E1116" s="2288">
        <v>12</v>
      </c>
      <c r="F1116" s="2297" t="s">
        <v>732</v>
      </c>
      <c r="G1116" s="68" t="s">
        <v>733</v>
      </c>
      <c r="H1116" s="69" t="s">
        <v>1018</v>
      </c>
      <c r="I1116" s="68" t="s">
        <v>726</v>
      </c>
      <c r="J1116" s="70" t="s">
        <v>760</v>
      </c>
      <c r="K1116" s="71" t="s">
        <v>2421</v>
      </c>
      <c r="L1116" s="72">
        <v>42766</v>
      </c>
      <c r="M1116" s="2306" t="s">
        <v>729</v>
      </c>
      <c r="N1116" s="74">
        <v>42774</v>
      </c>
      <c r="O1116" s="75">
        <f t="shared" si="348"/>
        <v>42774</v>
      </c>
      <c r="P1116" s="2765" t="s">
        <v>2441</v>
      </c>
      <c r="Q1116" s="2954">
        <v>0</v>
      </c>
      <c r="R1116" s="76"/>
      <c r="S1116" s="1945" t="s">
        <v>731</v>
      </c>
      <c r="T1116" s="1875" t="s">
        <v>2442</v>
      </c>
      <c r="U1116" s="1893"/>
      <c r="V1116" s="2079">
        <f t="shared" si="341"/>
        <v>0</v>
      </c>
      <c r="W1116" s="78">
        <f t="shared" si="342"/>
        <v>0</v>
      </c>
      <c r="X1116" s="1878" t="str">
        <f t="shared" si="339"/>
        <v>12.- C Lima Caucho 1491207-OT_232239  Reencauche G030-0063247 Rechazada, G030-0063247</v>
      </c>
      <c r="Z1116" s="19" t="str">
        <f t="shared" si="349"/>
        <v>ReencaucheReencauchadora RENOVA</v>
      </c>
    </row>
    <row r="1117" spans="2:26" ht="15.2" customHeight="1">
      <c r="B1117" s="37"/>
      <c r="E1117" s="79">
        <v>13</v>
      </c>
      <c r="F1117" s="2294" t="s">
        <v>732</v>
      </c>
      <c r="G1117" s="81" t="s">
        <v>733</v>
      </c>
      <c r="H1117" s="82" t="s">
        <v>2422</v>
      </c>
      <c r="I1117" s="81" t="s">
        <v>726</v>
      </c>
      <c r="J1117" s="83" t="s">
        <v>760</v>
      </c>
      <c r="K1117" s="84" t="s">
        <v>2421</v>
      </c>
      <c r="L1117" s="85">
        <v>42766</v>
      </c>
      <c r="M1117" s="2296" t="s">
        <v>729</v>
      </c>
      <c r="N1117" s="87">
        <v>42774</v>
      </c>
      <c r="O1117" s="88">
        <f t="shared" si="348"/>
        <v>42774</v>
      </c>
      <c r="P1117" s="2766" t="s">
        <v>2441</v>
      </c>
      <c r="Q1117" s="2955">
        <v>0</v>
      </c>
      <c r="R1117" s="89"/>
      <c r="S1117" s="1946" t="s">
        <v>731</v>
      </c>
      <c r="T1117" s="1875" t="s">
        <v>2442</v>
      </c>
      <c r="U1117" s="1893"/>
      <c r="V1117" s="2079">
        <f t="shared" si="341"/>
        <v>0</v>
      </c>
      <c r="W1117" s="78">
        <f t="shared" si="342"/>
        <v>0</v>
      </c>
      <c r="X1117" s="1878" t="str">
        <f t="shared" si="339"/>
        <v>13.- C Lima Caucho 1441208-OT_232239  Reencauche G030-0063247 Rechazada, G030-0063247</v>
      </c>
      <c r="Z1117" s="19" t="str">
        <f t="shared" si="349"/>
        <v>ReencaucheReencauchadora RENOVA</v>
      </c>
    </row>
    <row r="1118" spans="2:26" ht="15.2" customHeight="1">
      <c r="B1118" s="37"/>
      <c r="E1118" s="2288">
        <v>1</v>
      </c>
      <c r="F1118" s="2297" t="s">
        <v>732</v>
      </c>
      <c r="G1118" s="68" t="s">
        <v>733</v>
      </c>
      <c r="H1118" s="69" t="s">
        <v>2403</v>
      </c>
      <c r="I1118" s="68" t="s">
        <v>726</v>
      </c>
      <c r="J1118" s="70" t="s">
        <v>760</v>
      </c>
      <c r="K1118" s="2305" t="s">
        <v>2402</v>
      </c>
      <c r="L1118" s="72">
        <v>42746</v>
      </c>
      <c r="M1118" s="73" t="s">
        <v>729</v>
      </c>
      <c r="N1118" s="74">
        <v>42758</v>
      </c>
      <c r="O1118" s="75">
        <v>42758</v>
      </c>
      <c r="P1118" s="2765" t="s">
        <v>2407</v>
      </c>
      <c r="Q1118" s="2954">
        <v>90.26</v>
      </c>
      <c r="R1118" s="76"/>
      <c r="S1118" s="1945" t="s">
        <v>731</v>
      </c>
      <c r="T1118" s="77"/>
      <c r="U1118" s="1893"/>
      <c r="V1118" s="2079">
        <f t="shared" si="341"/>
        <v>106.5068</v>
      </c>
      <c r="W1118" s="78">
        <f t="shared" si="342"/>
        <v>0</v>
      </c>
      <c r="X1118" s="1878" t="str">
        <f t="shared" si="339"/>
        <v xml:space="preserve">1.- C Lima Caucho 1111210-OT_231293  Reencauche F101-00007271 </v>
      </c>
      <c r="Z1118" s="19" t="str">
        <f t="shared" si="349"/>
        <v>ReencaucheReencauchadora RENOVA</v>
      </c>
    </row>
    <row r="1119" spans="2:26" ht="15.2" customHeight="1">
      <c r="B1119" s="37"/>
      <c r="E1119" s="2288">
        <v>2</v>
      </c>
      <c r="F1119" s="2297" t="s">
        <v>732</v>
      </c>
      <c r="G1119" s="68" t="s">
        <v>733</v>
      </c>
      <c r="H1119" s="69" t="s">
        <v>2404</v>
      </c>
      <c r="I1119" s="68" t="s">
        <v>726</v>
      </c>
      <c r="J1119" s="70" t="s">
        <v>760</v>
      </c>
      <c r="K1119" s="2305" t="s">
        <v>2402</v>
      </c>
      <c r="L1119" s="72">
        <v>42746</v>
      </c>
      <c r="M1119" s="2306" t="s">
        <v>729</v>
      </c>
      <c r="N1119" s="74">
        <v>42758</v>
      </c>
      <c r="O1119" s="75">
        <f>+N1119</f>
        <v>42758</v>
      </c>
      <c r="P1119" s="2765" t="s">
        <v>2407</v>
      </c>
      <c r="Q1119" s="2954">
        <v>90.26</v>
      </c>
      <c r="R1119" s="76"/>
      <c r="S1119" s="1945" t="s">
        <v>731</v>
      </c>
      <c r="T1119" s="77"/>
      <c r="U1119" s="1893"/>
      <c r="V1119" s="2079">
        <f t="shared" si="341"/>
        <v>106.5068</v>
      </c>
      <c r="W1119" s="78">
        <f t="shared" si="342"/>
        <v>0</v>
      </c>
      <c r="X1119" s="1878" t="str">
        <f t="shared" si="339"/>
        <v xml:space="preserve">2.- C Lima Caucho 1071210-OT_231293  Reencauche F101-00007271 </v>
      </c>
      <c r="Z1119" s="19" t="str">
        <f t="shared" si="349"/>
        <v>ReencaucheReencauchadora RENOVA</v>
      </c>
    </row>
    <row r="1120" spans="2:26" ht="15.2" customHeight="1">
      <c r="B1120" s="37"/>
      <c r="E1120" s="2288">
        <v>3</v>
      </c>
      <c r="F1120" s="2297" t="s">
        <v>732</v>
      </c>
      <c r="G1120" s="68" t="s">
        <v>733</v>
      </c>
      <c r="H1120" s="69" t="s">
        <v>908</v>
      </c>
      <c r="I1120" s="68" t="s">
        <v>726</v>
      </c>
      <c r="J1120" s="70" t="s">
        <v>760</v>
      </c>
      <c r="K1120" s="2305" t="s">
        <v>2402</v>
      </c>
      <c r="L1120" s="72">
        <v>42746</v>
      </c>
      <c r="M1120" s="73" t="s">
        <v>729</v>
      </c>
      <c r="N1120" s="74">
        <v>42758</v>
      </c>
      <c r="O1120" s="75">
        <v>42758</v>
      </c>
      <c r="P1120" s="2765" t="s">
        <v>2407</v>
      </c>
      <c r="Q1120" s="2954">
        <v>90.26</v>
      </c>
      <c r="R1120" s="76"/>
      <c r="S1120" s="1945" t="s">
        <v>731</v>
      </c>
      <c r="T1120" s="77"/>
      <c r="U1120" s="1893"/>
      <c r="V1120" s="2079">
        <f t="shared" si="341"/>
        <v>106.5068</v>
      </c>
      <c r="W1120" s="78">
        <f t="shared" si="342"/>
        <v>0</v>
      </c>
      <c r="X1120" s="1878" t="str">
        <f t="shared" si="339"/>
        <v xml:space="preserve">3.- C Lima Caucho 0830910-OT_231293  Reencauche F101-00007271 </v>
      </c>
      <c r="Z1120" s="19" t="str">
        <f t="shared" si="349"/>
        <v>ReencaucheReencauchadora RENOVA</v>
      </c>
    </row>
    <row r="1121" spans="2:26" ht="15.2" customHeight="1">
      <c r="B1121" s="37"/>
      <c r="E1121" s="2288">
        <v>4</v>
      </c>
      <c r="F1121" s="2297" t="s">
        <v>732</v>
      </c>
      <c r="G1121" s="68" t="s">
        <v>733</v>
      </c>
      <c r="H1121" s="69" t="s">
        <v>1360</v>
      </c>
      <c r="I1121" s="68" t="s">
        <v>726</v>
      </c>
      <c r="J1121" s="70" t="s">
        <v>760</v>
      </c>
      <c r="K1121" s="2305" t="s">
        <v>2402</v>
      </c>
      <c r="L1121" s="72">
        <v>42746</v>
      </c>
      <c r="M1121" s="73" t="s">
        <v>729</v>
      </c>
      <c r="N1121" s="74">
        <v>42758</v>
      </c>
      <c r="O1121" s="75">
        <v>42758</v>
      </c>
      <c r="P1121" s="2765" t="s">
        <v>2407</v>
      </c>
      <c r="Q1121" s="2954">
        <v>90.26</v>
      </c>
      <c r="R1121" s="76"/>
      <c r="S1121" s="1945" t="s">
        <v>731</v>
      </c>
      <c r="T1121" s="77"/>
      <c r="U1121" s="1893"/>
      <c r="V1121" s="2079">
        <f t="shared" si="341"/>
        <v>106.5068</v>
      </c>
      <c r="W1121" s="78">
        <f t="shared" si="342"/>
        <v>0</v>
      </c>
      <c r="X1121" s="1878" t="str">
        <f t="shared" si="339"/>
        <v xml:space="preserve">4.- C Lima Caucho 0941010-OT_231293  Reencauche F101-00007271 </v>
      </c>
      <c r="Z1121" s="19" t="str">
        <f t="shared" si="349"/>
        <v>ReencaucheReencauchadora RENOVA</v>
      </c>
    </row>
    <row r="1122" spans="2:26" ht="15.2" customHeight="1">
      <c r="B1122" s="37"/>
      <c r="E1122" s="2288">
        <v>5</v>
      </c>
      <c r="F1122" s="2297" t="s">
        <v>732</v>
      </c>
      <c r="G1122" s="68" t="s">
        <v>737</v>
      </c>
      <c r="H1122" s="69" t="s">
        <v>958</v>
      </c>
      <c r="I1122" s="68" t="s">
        <v>726</v>
      </c>
      <c r="J1122" s="70" t="s">
        <v>760</v>
      </c>
      <c r="K1122" s="2305" t="s">
        <v>2402</v>
      </c>
      <c r="L1122" s="72">
        <v>42746</v>
      </c>
      <c r="M1122" s="73" t="s">
        <v>729</v>
      </c>
      <c r="N1122" s="74">
        <v>42758</v>
      </c>
      <c r="O1122" s="75">
        <v>42758</v>
      </c>
      <c r="P1122" s="2765" t="s">
        <v>2407</v>
      </c>
      <c r="Q1122" s="2954">
        <v>90.26</v>
      </c>
      <c r="R1122" s="76"/>
      <c r="S1122" s="1945" t="s">
        <v>731</v>
      </c>
      <c r="T1122" s="77"/>
      <c r="U1122" s="1893"/>
      <c r="V1122" s="2079">
        <f t="shared" si="341"/>
        <v>106.5068</v>
      </c>
      <c r="W1122" s="78">
        <f t="shared" si="342"/>
        <v>0</v>
      </c>
      <c r="X1122" s="1878" t="str">
        <f t="shared" ref="X1122:X1185" si="350">CONCATENATE(E1122,".- ",F1122," ",G1122," ",H1122,"-OT_",K1122," "," ",I1122," ",P1122," ",T1122)</f>
        <v xml:space="preserve">5.- C Vikrant 0600709-OT_231293  Reencauche F101-00007271 </v>
      </c>
      <c r="Z1122" s="19" t="str">
        <f t="shared" si="349"/>
        <v>ReencaucheReencauchadora RENOVA</v>
      </c>
    </row>
    <row r="1123" spans="2:26" ht="15.2" customHeight="1">
      <c r="B1123" s="37"/>
      <c r="E1123" s="2288">
        <v>6</v>
      </c>
      <c r="F1123" s="2297" t="s">
        <v>732</v>
      </c>
      <c r="G1123" s="68" t="s">
        <v>737</v>
      </c>
      <c r="H1123" s="69" t="s">
        <v>1330</v>
      </c>
      <c r="I1123" s="68" t="s">
        <v>726</v>
      </c>
      <c r="J1123" s="70" t="s">
        <v>760</v>
      </c>
      <c r="K1123" s="2305" t="s">
        <v>2402</v>
      </c>
      <c r="L1123" s="72">
        <v>42746</v>
      </c>
      <c r="M1123" s="73" t="s">
        <v>729</v>
      </c>
      <c r="N1123" s="74">
        <v>42758</v>
      </c>
      <c r="O1123" s="75">
        <v>42758</v>
      </c>
      <c r="P1123" s="2765" t="s">
        <v>2407</v>
      </c>
      <c r="Q1123" s="2954">
        <v>90.26</v>
      </c>
      <c r="R1123" s="76"/>
      <c r="S1123" s="1945" t="s">
        <v>731</v>
      </c>
      <c r="T1123" s="77"/>
      <c r="U1123" s="1893"/>
      <c r="V1123" s="2079">
        <f t="shared" ref="V1123:V1186" si="351">+Q1123*(1.18)</f>
        <v>106.5068</v>
      </c>
      <c r="W1123" s="78">
        <f t="shared" ref="W1123:W1186" si="352">+R1123*(1.18)</f>
        <v>0</v>
      </c>
      <c r="X1123" s="1878" t="str">
        <f t="shared" si="350"/>
        <v xml:space="preserve">6.- C Vikrant 0831007-OT_231293  Reencauche F101-00007271 </v>
      </c>
      <c r="Z1123" s="19" t="str">
        <f t="shared" si="349"/>
        <v>ReencaucheReencauchadora RENOVA</v>
      </c>
    </row>
    <row r="1124" spans="2:26" ht="15.2" customHeight="1">
      <c r="B1124" s="37"/>
      <c r="E1124" s="2288">
        <v>7</v>
      </c>
      <c r="F1124" s="2297" t="s">
        <v>732</v>
      </c>
      <c r="G1124" s="68" t="s">
        <v>737</v>
      </c>
      <c r="H1124" s="69" t="s">
        <v>2405</v>
      </c>
      <c r="I1124" s="68" t="s">
        <v>726</v>
      </c>
      <c r="J1124" s="70" t="s">
        <v>760</v>
      </c>
      <c r="K1124" s="2305" t="s">
        <v>2402</v>
      </c>
      <c r="L1124" s="72">
        <v>42746</v>
      </c>
      <c r="M1124" s="73" t="s">
        <v>729</v>
      </c>
      <c r="N1124" s="74">
        <v>42758</v>
      </c>
      <c r="O1124" s="75">
        <v>42758</v>
      </c>
      <c r="P1124" s="2765" t="s">
        <v>2407</v>
      </c>
      <c r="Q1124" s="2954">
        <v>90.26</v>
      </c>
      <c r="R1124" s="76"/>
      <c r="S1124" s="1945" t="s">
        <v>731</v>
      </c>
      <c r="T1124" s="77"/>
      <c r="U1124" s="1893"/>
      <c r="V1124" s="2079">
        <f t="shared" si="351"/>
        <v>106.5068</v>
      </c>
      <c r="W1124" s="78">
        <f t="shared" si="352"/>
        <v>0</v>
      </c>
      <c r="X1124" s="1878" t="str">
        <f t="shared" si="350"/>
        <v xml:space="preserve">7.- C Vikrant 0420510-OT_231293  Reencauche F101-00007271 </v>
      </c>
      <c r="Z1124" s="19" t="str">
        <f t="shared" si="349"/>
        <v>ReencaucheReencauchadora RENOVA</v>
      </c>
    </row>
    <row r="1125" spans="2:26" ht="15.2" customHeight="1">
      <c r="B1125" s="37"/>
      <c r="E1125" s="2288">
        <v>8</v>
      </c>
      <c r="F1125" s="2297" t="s">
        <v>732</v>
      </c>
      <c r="G1125" s="68" t="s">
        <v>757</v>
      </c>
      <c r="H1125" s="69" t="s">
        <v>1025</v>
      </c>
      <c r="I1125" s="68" t="s">
        <v>726</v>
      </c>
      <c r="J1125" s="70" t="s">
        <v>760</v>
      </c>
      <c r="K1125" s="2305" t="s">
        <v>2402</v>
      </c>
      <c r="L1125" s="72">
        <v>42746</v>
      </c>
      <c r="M1125" s="73" t="s">
        <v>729</v>
      </c>
      <c r="N1125" s="74">
        <v>42758</v>
      </c>
      <c r="O1125" s="75">
        <v>42758</v>
      </c>
      <c r="P1125" s="2765" t="s">
        <v>2408</v>
      </c>
      <c r="Q1125" s="2954"/>
      <c r="R1125" s="76">
        <v>0</v>
      </c>
      <c r="S1125" s="1946" t="s">
        <v>731</v>
      </c>
      <c r="T1125" s="1875" t="s">
        <v>2409</v>
      </c>
      <c r="U1125" s="1893"/>
      <c r="V1125" s="2079">
        <f t="shared" si="351"/>
        <v>0</v>
      </c>
      <c r="W1125" s="78">
        <f t="shared" si="352"/>
        <v>0</v>
      </c>
      <c r="X1125" s="1878" t="str">
        <f t="shared" si="350"/>
        <v>8.- C Goodyear 1130704-OT_231293  Reencauche G030-0062775 Rechazada, G030-0062775</v>
      </c>
      <c r="Z1125" s="19" t="str">
        <f t="shared" si="349"/>
        <v>ReencaucheReencauchadora RENOVA</v>
      </c>
    </row>
    <row r="1126" spans="2:26" ht="15.2" customHeight="1">
      <c r="B1126" s="37"/>
      <c r="E1126" s="2288">
        <v>9</v>
      </c>
      <c r="F1126" s="2297" t="s">
        <v>723</v>
      </c>
      <c r="G1126" s="68" t="s">
        <v>151</v>
      </c>
      <c r="H1126" s="69" t="s">
        <v>2394</v>
      </c>
      <c r="I1126" s="68" t="s">
        <v>726</v>
      </c>
      <c r="J1126" s="70" t="s">
        <v>760</v>
      </c>
      <c r="K1126" s="71" t="s">
        <v>2401</v>
      </c>
      <c r="L1126" s="72">
        <v>42746</v>
      </c>
      <c r="M1126" s="73" t="s">
        <v>729</v>
      </c>
      <c r="N1126" s="74">
        <v>42758</v>
      </c>
      <c r="O1126" s="75">
        <v>42758</v>
      </c>
      <c r="P1126" s="2776" t="s">
        <v>2408</v>
      </c>
      <c r="Q1126" s="2954"/>
      <c r="R1126" s="76">
        <v>0</v>
      </c>
      <c r="S1126" s="1946" t="s">
        <v>731</v>
      </c>
      <c r="T1126" s="1875" t="s">
        <v>2409</v>
      </c>
      <c r="U1126" s="1893"/>
      <c r="V1126" s="2079">
        <f t="shared" si="351"/>
        <v>0</v>
      </c>
      <c r="W1126" s="78">
        <f t="shared" si="352"/>
        <v>0</v>
      </c>
      <c r="X1126" s="1878" t="str">
        <f t="shared" si="350"/>
        <v>9.- R WindPower 0811215-OT_231292  Reencauche G030-0062775 Rechazada, G030-0062775</v>
      </c>
      <c r="Z1126" s="19" t="str">
        <f t="shared" si="349"/>
        <v>ReencaucheReencauchadora RENOVA</v>
      </c>
    </row>
    <row r="1127" spans="2:26" ht="15.2" customHeight="1">
      <c r="B1127" s="37"/>
      <c r="E1127" s="2288">
        <v>10</v>
      </c>
      <c r="F1127" s="2297" t="s">
        <v>723</v>
      </c>
      <c r="G1127" s="68" t="s">
        <v>724</v>
      </c>
      <c r="H1127" s="69" t="s">
        <v>2393</v>
      </c>
      <c r="I1127" s="68" t="s">
        <v>726</v>
      </c>
      <c r="J1127" s="70" t="s">
        <v>760</v>
      </c>
      <c r="K1127" s="71" t="s">
        <v>2401</v>
      </c>
      <c r="L1127" s="72">
        <v>42746</v>
      </c>
      <c r="M1127" s="2306" t="s">
        <v>729</v>
      </c>
      <c r="N1127" s="74">
        <v>42753</v>
      </c>
      <c r="O1127" s="75">
        <f>+N1127</f>
        <v>42753</v>
      </c>
      <c r="P1127" s="2765" t="s">
        <v>2406</v>
      </c>
      <c r="Q1127" s="2954">
        <v>100.9</v>
      </c>
      <c r="R1127" s="76"/>
      <c r="S1127" s="1945" t="s">
        <v>731</v>
      </c>
      <c r="T1127" s="77"/>
      <c r="U1127" s="1893"/>
      <c r="V1127" s="2079">
        <f t="shared" si="351"/>
        <v>119.062</v>
      </c>
      <c r="W1127" s="78">
        <f t="shared" si="352"/>
        <v>0</v>
      </c>
      <c r="X1127" s="1878" t="str">
        <f t="shared" si="350"/>
        <v xml:space="preserve">10.- R Aeolus 01360114-OT_231292  Reencauche F101-00007171 </v>
      </c>
      <c r="Z1127" s="19" t="str">
        <f t="shared" si="349"/>
        <v>ReencaucheReencauchadora RENOVA</v>
      </c>
    </row>
    <row r="1128" spans="2:26" ht="15.2" customHeight="1">
      <c r="B1128" s="37"/>
      <c r="E1128" s="2288">
        <v>11</v>
      </c>
      <c r="F1128" s="2297" t="s">
        <v>723</v>
      </c>
      <c r="G1128" s="68" t="s">
        <v>724</v>
      </c>
      <c r="H1128" s="69" t="s">
        <v>2395</v>
      </c>
      <c r="I1128" s="68" t="s">
        <v>726</v>
      </c>
      <c r="J1128" s="70" t="s">
        <v>760</v>
      </c>
      <c r="K1128" s="71" t="s">
        <v>2401</v>
      </c>
      <c r="L1128" s="72">
        <v>42746</v>
      </c>
      <c r="M1128" s="73" t="s">
        <v>729</v>
      </c>
      <c r="N1128" s="74">
        <v>42753</v>
      </c>
      <c r="O1128" s="75">
        <v>42753</v>
      </c>
      <c r="P1128" s="2765" t="s">
        <v>2406</v>
      </c>
      <c r="Q1128" s="2954">
        <v>100.9</v>
      </c>
      <c r="R1128" s="76"/>
      <c r="S1128" s="1945" t="s">
        <v>731</v>
      </c>
      <c r="T1128" s="77"/>
      <c r="U1128" s="1893"/>
      <c r="V1128" s="2079">
        <f t="shared" si="351"/>
        <v>119.062</v>
      </c>
      <c r="W1128" s="78">
        <f t="shared" si="352"/>
        <v>0</v>
      </c>
      <c r="X1128" s="1878" t="str">
        <f t="shared" si="350"/>
        <v xml:space="preserve">11.- R Aeolus 0380814-OT_231292  Reencauche F101-00007171 </v>
      </c>
      <c r="Z1128" s="19" t="str">
        <f t="shared" si="349"/>
        <v>ReencaucheReencauchadora RENOVA</v>
      </c>
    </row>
    <row r="1129" spans="2:26" ht="15.2" customHeight="1">
      <c r="B1129" s="37"/>
      <c r="E1129" s="2288">
        <v>12</v>
      </c>
      <c r="F1129" s="2297" t="s">
        <v>723</v>
      </c>
      <c r="G1129" s="68" t="s">
        <v>724</v>
      </c>
      <c r="H1129" s="69" t="s">
        <v>2396</v>
      </c>
      <c r="I1129" s="68" t="s">
        <v>726</v>
      </c>
      <c r="J1129" s="70" t="s">
        <v>760</v>
      </c>
      <c r="K1129" s="71" t="s">
        <v>2401</v>
      </c>
      <c r="L1129" s="72">
        <v>42746</v>
      </c>
      <c r="M1129" s="73" t="s">
        <v>729</v>
      </c>
      <c r="N1129" s="74">
        <v>42753</v>
      </c>
      <c r="O1129" s="75">
        <v>42753</v>
      </c>
      <c r="P1129" s="2765" t="s">
        <v>2406</v>
      </c>
      <c r="Q1129" s="2954">
        <v>100.9</v>
      </c>
      <c r="R1129" s="76"/>
      <c r="S1129" s="1945" t="s">
        <v>731</v>
      </c>
      <c r="T1129" s="77"/>
      <c r="U1129" s="1893"/>
      <c r="V1129" s="2079">
        <f t="shared" si="351"/>
        <v>119.062</v>
      </c>
      <c r="W1129" s="78">
        <f t="shared" si="352"/>
        <v>0</v>
      </c>
      <c r="X1129" s="1878" t="str">
        <f t="shared" si="350"/>
        <v xml:space="preserve">12.- R Aeolus 0200514-OT_231292  Reencauche F101-00007171 </v>
      </c>
      <c r="Z1129" s="19" t="str">
        <f t="shared" si="349"/>
        <v>ReencaucheReencauchadora RENOVA</v>
      </c>
    </row>
    <row r="1130" spans="2:26" ht="15.2" customHeight="1">
      <c r="B1130" s="37"/>
      <c r="E1130" s="2288">
        <v>13</v>
      </c>
      <c r="F1130" s="2297" t="s">
        <v>723</v>
      </c>
      <c r="G1130" s="68" t="s">
        <v>724</v>
      </c>
      <c r="H1130" s="69" t="s">
        <v>2397</v>
      </c>
      <c r="I1130" s="68" t="s">
        <v>726</v>
      </c>
      <c r="J1130" s="70" t="s">
        <v>760</v>
      </c>
      <c r="K1130" s="71" t="s">
        <v>2401</v>
      </c>
      <c r="L1130" s="72">
        <v>42746</v>
      </c>
      <c r="M1130" s="73" t="s">
        <v>729</v>
      </c>
      <c r="N1130" s="74">
        <v>42753</v>
      </c>
      <c r="O1130" s="75">
        <v>42753</v>
      </c>
      <c r="P1130" s="2765" t="s">
        <v>2406</v>
      </c>
      <c r="Q1130" s="2954">
        <v>100.9</v>
      </c>
      <c r="R1130" s="76"/>
      <c r="S1130" s="1945" t="s">
        <v>731</v>
      </c>
      <c r="T1130" s="77"/>
      <c r="U1130" s="1893"/>
      <c r="V1130" s="2079">
        <f t="shared" si="351"/>
        <v>119.062</v>
      </c>
      <c r="W1130" s="78">
        <f t="shared" si="352"/>
        <v>0</v>
      </c>
      <c r="X1130" s="1878" t="str">
        <f t="shared" si="350"/>
        <v xml:space="preserve">13.- R Aeolus 0130113-OT_231292  Reencauche F101-00007171 </v>
      </c>
      <c r="Z1130" s="19" t="str">
        <f t="shared" si="349"/>
        <v>ReencaucheReencauchadora RENOVA</v>
      </c>
    </row>
    <row r="1131" spans="2:26" ht="15.2" customHeight="1">
      <c r="B1131" s="37"/>
      <c r="E1131" s="2288">
        <v>14</v>
      </c>
      <c r="F1131" s="2297" t="s">
        <v>723</v>
      </c>
      <c r="G1131" s="68" t="s">
        <v>724</v>
      </c>
      <c r="H1131" s="69" t="s">
        <v>2398</v>
      </c>
      <c r="I1131" s="68" t="s">
        <v>726</v>
      </c>
      <c r="J1131" s="70" t="s">
        <v>760</v>
      </c>
      <c r="K1131" s="71" t="s">
        <v>2401</v>
      </c>
      <c r="L1131" s="72">
        <v>42746</v>
      </c>
      <c r="M1131" s="73" t="s">
        <v>729</v>
      </c>
      <c r="N1131" s="74">
        <v>42753</v>
      </c>
      <c r="O1131" s="75">
        <v>42753</v>
      </c>
      <c r="P1131" s="2765" t="s">
        <v>2406</v>
      </c>
      <c r="Q1131" s="2954">
        <v>100.9</v>
      </c>
      <c r="R1131" s="76"/>
      <c r="S1131" s="1945" t="s">
        <v>731</v>
      </c>
      <c r="T1131" s="77"/>
      <c r="U1131" s="1893"/>
      <c r="V1131" s="2079">
        <f t="shared" si="351"/>
        <v>119.062</v>
      </c>
      <c r="W1131" s="78">
        <f t="shared" si="352"/>
        <v>0</v>
      </c>
      <c r="X1131" s="1878" t="str">
        <f t="shared" si="350"/>
        <v xml:space="preserve">14.- R Aeolus 0310912-OT_231292  Reencauche F101-00007171 </v>
      </c>
      <c r="Z1131" s="19" t="str">
        <f t="shared" si="349"/>
        <v>RECLAMOReenc. MASTERCAUCHO</v>
      </c>
    </row>
    <row r="1132" spans="2:26" ht="15.2" customHeight="1">
      <c r="B1132" s="37"/>
      <c r="E1132" s="2288">
        <v>15</v>
      </c>
      <c r="F1132" s="2297" t="s">
        <v>723</v>
      </c>
      <c r="G1132" s="68" t="s">
        <v>724</v>
      </c>
      <c r="H1132" s="69" t="s">
        <v>2399</v>
      </c>
      <c r="I1132" s="68" t="s">
        <v>726</v>
      </c>
      <c r="J1132" s="70" t="s">
        <v>760</v>
      </c>
      <c r="K1132" s="71" t="s">
        <v>2401</v>
      </c>
      <c r="L1132" s="72">
        <v>42746</v>
      </c>
      <c r="M1132" s="73" t="s">
        <v>729</v>
      </c>
      <c r="N1132" s="74">
        <v>42753</v>
      </c>
      <c r="O1132" s="75">
        <v>42753</v>
      </c>
      <c r="P1132" s="2765" t="s">
        <v>2406</v>
      </c>
      <c r="Q1132" s="2954">
        <v>100.9</v>
      </c>
      <c r="R1132" s="76"/>
      <c r="S1132" s="1945" t="s">
        <v>731</v>
      </c>
      <c r="T1132" s="77"/>
      <c r="U1132" s="1893"/>
      <c r="V1132" s="2079">
        <f t="shared" si="351"/>
        <v>119.062</v>
      </c>
      <c r="W1132" s="78">
        <f t="shared" si="352"/>
        <v>0</v>
      </c>
      <c r="X1132" s="1878" t="str">
        <f t="shared" si="350"/>
        <v xml:space="preserve">15.- R Aeolus 0050114-OT_231292  Reencauche F101-00007171 </v>
      </c>
      <c r="Z1132" s="19" t="str">
        <f t="shared" si="349"/>
        <v>ReencaucheReenc. MASTERCAUCHO</v>
      </c>
    </row>
    <row r="1133" spans="2:26" ht="15.2" customHeight="1">
      <c r="B1133" s="37"/>
      <c r="E1133" s="79">
        <v>16</v>
      </c>
      <c r="F1133" s="2294" t="s">
        <v>723</v>
      </c>
      <c r="G1133" s="81" t="s">
        <v>757</v>
      </c>
      <c r="H1133" s="82" t="s">
        <v>2400</v>
      </c>
      <c r="I1133" s="81" t="s">
        <v>726</v>
      </c>
      <c r="J1133" s="83" t="s">
        <v>760</v>
      </c>
      <c r="K1133" s="84" t="s">
        <v>2401</v>
      </c>
      <c r="L1133" s="85">
        <v>42746</v>
      </c>
      <c r="M1133" s="86" t="s">
        <v>729</v>
      </c>
      <c r="N1133" s="87">
        <v>42753</v>
      </c>
      <c r="O1133" s="88">
        <v>42753</v>
      </c>
      <c r="P1133" s="2766" t="s">
        <v>2406</v>
      </c>
      <c r="Q1133" s="2955">
        <v>100.9</v>
      </c>
      <c r="R1133" s="89"/>
      <c r="S1133" s="1946" t="s">
        <v>731</v>
      </c>
      <c r="T1133" s="77"/>
      <c r="U1133" s="1893"/>
      <c r="V1133" s="2079">
        <f t="shared" si="351"/>
        <v>119.062</v>
      </c>
      <c r="W1133" s="78">
        <f t="shared" si="352"/>
        <v>0</v>
      </c>
      <c r="X1133" s="1878" t="str">
        <f t="shared" si="350"/>
        <v xml:space="preserve">16.- R Goodyear 00230614-OT_231292  Reencauche F101-00007171 </v>
      </c>
      <c r="Z1133" s="19" t="str">
        <f t="shared" si="349"/>
        <v>ReencaucheReenc. MASTERCAUCHO</v>
      </c>
    </row>
    <row r="1134" spans="2:26" ht="15.2" customHeight="1">
      <c r="B1134" s="37"/>
      <c r="E1134" s="79">
        <v>1</v>
      </c>
      <c r="F1134" s="2294" t="s">
        <v>732</v>
      </c>
      <c r="G1134" s="81" t="s">
        <v>757</v>
      </c>
      <c r="H1134" s="82" t="s">
        <v>124</v>
      </c>
      <c r="I1134" s="81" t="s">
        <v>816</v>
      </c>
      <c r="J1134" s="83" t="s">
        <v>727</v>
      </c>
      <c r="K1134" s="2295" t="s">
        <v>857</v>
      </c>
      <c r="L1134" s="85">
        <v>42747</v>
      </c>
      <c r="M1134" s="2296" t="s">
        <v>729</v>
      </c>
      <c r="N1134" s="87">
        <v>42747</v>
      </c>
      <c r="O1134" s="88">
        <f>+N1134</f>
        <v>42747</v>
      </c>
      <c r="P1134" s="2766" t="s">
        <v>941</v>
      </c>
      <c r="Q1134" s="2955"/>
      <c r="R1134" s="89">
        <v>0</v>
      </c>
      <c r="S1134" s="1946" t="s">
        <v>731</v>
      </c>
      <c r="T1134" s="77"/>
      <c r="U1134" s="1893"/>
      <c r="V1134" s="2079">
        <f t="shared" si="351"/>
        <v>0</v>
      </c>
      <c r="W1134" s="78">
        <f t="shared" si="352"/>
        <v>0</v>
      </c>
      <c r="X1134" s="1878" t="str">
        <f t="shared" si="350"/>
        <v xml:space="preserve">1.- C Goodyear S/N-OT_S/D  RECLAMO S/F </v>
      </c>
      <c r="Z1134" s="19" t="str">
        <f t="shared" si="349"/>
        <v>ReencaucheReenc. MASTERCAUCHO</v>
      </c>
    </row>
    <row r="1135" spans="2:26" ht="15.2" customHeight="1">
      <c r="B1135" s="37"/>
      <c r="E1135" s="66">
        <v>1</v>
      </c>
      <c r="F1135" s="67" t="s">
        <v>732</v>
      </c>
      <c r="G1135" s="68" t="s">
        <v>733</v>
      </c>
      <c r="H1135" s="69" t="s">
        <v>883</v>
      </c>
      <c r="I1135" s="68" t="s">
        <v>726</v>
      </c>
      <c r="J1135" s="70" t="s">
        <v>727</v>
      </c>
      <c r="K1135" s="71" t="s">
        <v>433</v>
      </c>
      <c r="L1135" s="72">
        <v>42725</v>
      </c>
      <c r="M1135" s="73" t="s">
        <v>729</v>
      </c>
      <c r="N1135" s="74">
        <v>42731</v>
      </c>
      <c r="O1135" s="75">
        <v>42731</v>
      </c>
      <c r="P1135" s="2765" t="s">
        <v>2375</v>
      </c>
      <c r="Q1135" s="2954"/>
      <c r="R1135" s="76">
        <v>279.66000000000003</v>
      </c>
      <c r="S1135" s="1945" t="s">
        <v>731</v>
      </c>
      <c r="T1135" s="77"/>
      <c r="U1135" s="1893"/>
      <c r="V1135" s="2079">
        <f t="shared" si="351"/>
        <v>0</v>
      </c>
      <c r="W1135" s="78">
        <f t="shared" si="352"/>
        <v>329.99880000000002</v>
      </c>
      <c r="X1135" s="1878" t="str">
        <f t="shared" si="350"/>
        <v xml:space="preserve">1.- C Lima Caucho 1091210-OT_004545  Reencauche 0001-006945 </v>
      </c>
      <c r="Z1135" s="19" t="str">
        <f t="shared" si="349"/>
        <v>ReencaucheReenc. MASTERCAUCHO</v>
      </c>
    </row>
    <row r="1136" spans="2:26" ht="15.2" customHeight="1">
      <c r="B1136" s="37"/>
      <c r="E1136" s="66">
        <v>2</v>
      </c>
      <c r="F1136" s="67" t="s">
        <v>732</v>
      </c>
      <c r="G1136" s="68" t="s">
        <v>737</v>
      </c>
      <c r="H1136" s="69" t="s">
        <v>1530</v>
      </c>
      <c r="I1136" s="68" t="s">
        <v>726</v>
      </c>
      <c r="J1136" s="70" t="s">
        <v>727</v>
      </c>
      <c r="K1136" s="71" t="s">
        <v>433</v>
      </c>
      <c r="L1136" s="72">
        <v>42725</v>
      </c>
      <c r="M1136" s="73" t="s">
        <v>729</v>
      </c>
      <c r="N1136" s="74">
        <v>42731</v>
      </c>
      <c r="O1136" s="75">
        <v>42731</v>
      </c>
      <c r="P1136" s="2765" t="s">
        <v>2375</v>
      </c>
      <c r="Q1136" s="2954"/>
      <c r="R1136" s="76">
        <v>279.66000000000003</v>
      </c>
      <c r="S1136" s="1945" t="s">
        <v>731</v>
      </c>
      <c r="T1136" s="77"/>
      <c r="U1136" s="1893"/>
      <c r="V1136" s="2079">
        <f t="shared" si="351"/>
        <v>0</v>
      </c>
      <c r="W1136" s="78">
        <f t="shared" si="352"/>
        <v>329.99880000000002</v>
      </c>
      <c r="X1136" s="1878" t="str">
        <f t="shared" si="350"/>
        <v xml:space="preserve">2.- C Vikrant 09022010-OT_004545  Reencauche 0001-006945 </v>
      </c>
      <c r="Z1136" s="19" t="str">
        <f t="shared" si="349"/>
        <v>ReencaucheReenc. MASTERCAUCHO</v>
      </c>
    </row>
    <row r="1137" spans="2:26" ht="15.2" customHeight="1">
      <c r="B1137" s="37"/>
      <c r="E1137" s="66">
        <v>3</v>
      </c>
      <c r="F1137" s="67" t="s">
        <v>732</v>
      </c>
      <c r="G1137" s="68" t="s">
        <v>737</v>
      </c>
      <c r="H1137" s="69" t="s">
        <v>1669</v>
      </c>
      <c r="I1137" s="68" t="s">
        <v>726</v>
      </c>
      <c r="J1137" s="70" t="s">
        <v>727</v>
      </c>
      <c r="K1137" s="71" t="s">
        <v>433</v>
      </c>
      <c r="L1137" s="72">
        <v>42725</v>
      </c>
      <c r="M1137" s="73" t="s">
        <v>729</v>
      </c>
      <c r="N1137" s="74">
        <v>42731</v>
      </c>
      <c r="O1137" s="75">
        <v>42731</v>
      </c>
      <c r="P1137" s="2765" t="s">
        <v>2375</v>
      </c>
      <c r="Q1137" s="2954"/>
      <c r="R1137" s="76">
        <v>279.66000000000003</v>
      </c>
      <c r="S1137" s="1945" t="s">
        <v>731</v>
      </c>
      <c r="T1137" s="77"/>
      <c r="U1137" s="1893"/>
      <c r="V1137" s="2079">
        <f t="shared" si="351"/>
        <v>0</v>
      </c>
      <c r="W1137" s="78">
        <f t="shared" si="352"/>
        <v>329.99880000000002</v>
      </c>
      <c r="X1137" s="1878" t="str">
        <f t="shared" si="350"/>
        <v xml:space="preserve">3.- C Vikrant 0240211-OT_004545  Reencauche 0001-006945 </v>
      </c>
      <c r="Z1137" s="19" t="str">
        <f t="shared" si="349"/>
        <v>ReencaucheReenc. MASTERCAUCHO</v>
      </c>
    </row>
    <row r="1138" spans="2:26" ht="15.2" customHeight="1">
      <c r="B1138" s="37"/>
      <c r="E1138" s="66">
        <v>4</v>
      </c>
      <c r="F1138" s="67" t="s">
        <v>732</v>
      </c>
      <c r="G1138" s="68" t="s">
        <v>737</v>
      </c>
      <c r="H1138" s="69" t="s">
        <v>1374</v>
      </c>
      <c r="I1138" s="68" t="s">
        <v>726</v>
      </c>
      <c r="J1138" s="70" t="s">
        <v>727</v>
      </c>
      <c r="K1138" s="71" t="s">
        <v>433</v>
      </c>
      <c r="L1138" s="72">
        <v>42725</v>
      </c>
      <c r="M1138" s="73" t="s">
        <v>729</v>
      </c>
      <c r="N1138" s="74">
        <v>42731</v>
      </c>
      <c r="O1138" s="75">
        <v>42731</v>
      </c>
      <c r="P1138" s="2765" t="s">
        <v>2375</v>
      </c>
      <c r="Q1138" s="2954"/>
      <c r="R1138" s="76">
        <v>279.66000000000003</v>
      </c>
      <c r="S1138" s="1945" t="s">
        <v>731</v>
      </c>
      <c r="T1138" s="77"/>
      <c r="U1138" s="1893"/>
      <c r="V1138" s="2079">
        <f t="shared" si="351"/>
        <v>0</v>
      </c>
      <c r="W1138" s="78">
        <f t="shared" si="352"/>
        <v>329.99880000000002</v>
      </c>
      <c r="X1138" s="1878" t="str">
        <f t="shared" si="350"/>
        <v xml:space="preserve">4.- C Vikrant 0440411-OT_004545  Reencauche 0001-006945 </v>
      </c>
      <c r="Z1138" s="19" t="str">
        <f t="shared" si="349"/>
        <v>Transpl BandaReenc. MASTERCAUCHO</v>
      </c>
    </row>
    <row r="1139" spans="2:26" ht="15.2" customHeight="1">
      <c r="B1139" s="37"/>
      <c r="E1139" s="66">
        <v>5</v>
      </c>
      <c r="F1139" s="67" t="s">
        <v>732</v>
      </c>
      <c r="G1139" s="68" t="s">
        <v>737</v>
      </c>
      <c r="H1139" s="69" t="s">
        <v>2173</v>
      </c>
      <c r="I1139" s="68" t="s">
        <v>726</v>
      </c>
      <c r="J1139" s="70" t="s">
        <v>727</v>
      </c>
      <c r="K1139" s="71" t="s">
        <v>433</v>
      </c>
      <c r="L1139" s="72">
        <v>42725</v>
      </c>
      <c r="M1139" s="73" t="s">
        <v>729</v>
      </c>
      <c r="N1139" s="74">
        <v>42731</v>
      </c>
      <c r="O1139" s="75">
        <v>42731</v>
      </c>
      <c r="P1139" s="2765" t="s">
        <v>2375</v>
      </c>
      <c r="Q1139" s="2954"/>
      <c r="R1139" s="76">
        <v>279.66000000000003</v>
      </c>
      <c r="S1139" s="1945" t="s">
        <v>731</v>
      </c>
      <c r="T1139" s="77"/>
      <c r="U1139" s="1893"/>
      <c r="V1139" s="2079">
        <f t="shared" si="351"/>
        <v>0</v>
      </c>
      <c r="W1139" s="78">
        <f t="shared" si="352"/>
        <v>329.99880000000002</v>
      </c>
      <c r="X1139" s="1878" t="str">
        <f t="shared" si="350"/>
        <v xml:space="preserve">5.- C Vikrant 0520708-OT_004545  Reencauche 0001-006945 </v>
      </c>
      <c r="Z1139" s="19" t="str">
        <f t="shared" si="349"/>
        <v>Vulcanizado (curación)Reenc. MASTERCAUCHO</v>
      </c>
    </row>
    <row r="1140" spans="2:26" ht="15.2" customHeight="1">
      <c r="B1140" s="37"/>
      <c r="E1140" s="66">
        <v>6</v>
      </c>
      <c r="F1140" s="67" t="s">
        <v>723</v>
      </c>
      <c r="G1140" s="68" t="s">
        <v>724</v>
      </c>
      <c r="H1140" s="69" t="s">
        <v>2374</v>
      </c>
      <c r="I1140" s="68" t="s">
        <v>726</v>
      </c>
      <c r="J1140" s="70" t="s">
        <v>727</v>
      </c>
      <c r="K1140" s="71" t="s">
        <v>433</v>
      </c>
      <c r="L1140" s="72">
        <v>42725</v>
      </c>
      <c r="M1140" s="73" t="s">
        <v>729</v>
      </c>
      <c r="N1140" s="74">
        <v>42731</v>
      </c>
      <c r="O1140" s="75">
        <f>+N1140</f>
        <v>42731</v>
      </c>
      <c r="P1140" s="2765" t="s">
        <v>2375</v>
      </c>
      <c r="Q1140" s="2954"/>
      <c r="R1140" s="76">
        <v>305.0847</v>
      </c>
      <c r="S1140" s="1945" t="s">
        <v>731</v>
      </c>
      <c r="T1140" s="77"/>
      <c r="U1140" s="1893"/>
      <c r="V1140" s="2079">
        <f t="shared" si="351"/>
        <v>0</v>
      </c>
      <c r="W1140" s="78">
        <f t="shared" si="352"/>
        <v>359.99994599999997</v>
      </c>
      <c r="X1140" s="1878" t="str">
        <f t="shared" si="350"/>
        <v xml:space="preserve">6.- R Aeolus 0411114-OT_004545  Reencauche 0001-006945 </v>
      </c>
      <c r="Z1140" s="19" t="str">
        <f t="shared" si="349"/>
        <v>Transpl BandaReenc. MASTERCAUCHO</v>
      </c>
    </row>
    <row r="1141" spans="2:26" ht="15.2" customHeight="1">
      <c r="B1141" s="37"/>
      <c r="E1141" s="66">
        <v>7</v>
      </c>
      <c r="F1141" s="67" t="s">
        <v>732</v>
      </c>
      <c r="G1141" s="68" t="s">
        <v>733</v>
      </c>
      <c r="H1141" s="69" t="s">
        <v>432</v>
      </c>
      <c r="I1141" s="68" t="s">
        <v>740</v>
      </c>
      <c r="J1141" s="70" t="s">
        <v>727</v>
      </c>
      <c r="K1141" s="71" t="s">
        <v>434</v>
      </c>
      <c r="L1141" s="72">
        <v>42725</v>
      </c>
      <c r="M1141" s="73" t="s">
        <v>729</v>
      </c>
      <c r="N1141" s="74">
        <v>42731</v>
      </c>
      <c r="O1141" s="75">
        <v>42731</v>
      </c>
      <c r="P1141" s="2765" t="s">
        <v>2375</v>
      </c>
      <c r="Q1141" s="2954"/>
      <c r="R1141" s="76">
        <v>127.12</v>
      </c>
      <c r="S1141" s="1945" t="s">
        <v>731</v>
      </c>
      <c r="T1141" s="77"/>
      <c r="U1141" s="1893"/>
      <c r="V1141" s="2079">
        <f t="shared" si="351"/>
        <v>0</v>
      </c>
      <c r="W1141" s="78">
        <f t="shared" si="352"/>
        <v>150.0016</v>
      </c>
      <c r="X1141" s="1878" t="str">
        <f t="shared" si="350"/>
        <v xml:space="preserve">7.- C Lima Caucho 1081210-OT_004546  Transpl Banda 0001-006945 </v>
      </c>
      <c r="Z1141" s="19" t="str">
        <f t="shared" si="349"/>
        <v>ReencaucheReenc. MASTERCAUCHO</v>
      </c>
    </row>
    <row r="1142" spans="2:26" ht="15.2" customHeight="1">
      <c r="B1142" s="37"/>
      <c r="E1142" s="66">
        <v>8</v>
      </c>
      <c r="F1142" s="67" t="s">
        <v>732</v>
      </c>
      <c r="G1142" s="68" t="s">
        <v>733</v>
      </c>
      <c r="H1142" s="69" t="s">
        <v>1580</v>
      </c>
      <c r="I1142" s="68" t="s">
        <v>811</v>
      </c>
      <c r="J1142" s="70" t="s">
        <v>727</v>
      </c>
      <c r="K1142" s="71" t="s">
        <v>434</v>
      </c>
      <c r="L1142" s="72">
        <v>42725</v>
      </c>
      <c r="M1142" s="73" t="s">
        <v>729</v>
      </c>
      <c r="N1142" s="74">
        <v>42731</v>
      </c>
      <c r="O1142" s="75">
        <v>42731</v>
      </c>
      <c r="P1142" s="2765" t="s">
        <v>2375</v>
      </c>
      <c r="Q1142" s="2954"/>
      <c r="R1142" s="76">
        <v>84.745800000000003</v>
      </c>
      <c r="S1142" s="1945" t="s">
        <v>731</v>
      </c>
      <c r="T1142" s="77"/>
      <c r="U1142" s="1893"/>
      <c r="V1142" s="2079">
        <f t="shared" si="351"/>
        <v>0</v>
      </c>
      <c r="W1142" s="78">
        <f t="shared" si="352"/>
        <v>100.000044</v>
      </c>
      <c r="X1142" s="1878" t="str">
        <f t="shared" si="350"/>
        <v xml:space="preserve">8.- C Lima Caucho 0520610-OT_004546  Vulcanizado (curación) 0001-006945 </v>
      </c>
      <c r="Z1142" s="19" t="str">
        <f t="shared" si="349"/>
        <v>Sacar_BandaReenc. MASTERCAUCHO</v>
      </c>
    </row>
    <row r="1143" spans="2:26" ht="15.2" customHeight="1">
      <c r="B1143" s="37"/>
      <c r="E1143" s="66">
        <v>9</v>
      </c>
      <c r="F1143" s="2264" t="s">
        <v>732</v>
      </c>
      <c r="G1143" s="2263" t="s">
        <v>733</v>
      </c>
      <c r="H1143" s="2265" t="s">
        <v>430</v>
      </c>
      <c r="I1143" s="2263" t="s">
        <v>740</v>
      </c>
      <c r="J1143" s="2266" t="s">
        <v>727</v>
      </c>
      <c r="K1143" s="2267" t="s">
        <v>433</v>
      </c>
      <c r="L1143" s="2268">
        <v>42725</v>
      </c>
      <c r="M1143" s="2269" t="s">
        <v>729</v>
      </c>
      <c r="N1143" s="2270">
        <v>42731</v>
      </c>
      <c r="O1143" s="2271">
        <f>+N1143</f>
        <v>42731</v>
      </c>
      <c r="P1143" s="2777" t="s">
        <v>2377</v>
      </c>
      <c r="Q1143" s="2956"/>
      <c r="R1143" s="2272">
        <v>0</v>
      </c>
      <c r="S1143" s="2273" t="s">
        <v>731</v>
      </c>
      <c r="T1143" s="2274" t="s">
        <v>2378</v>
      </c>
      <c r="U1143" s="1893"/>
      <c r="V1143" s="2079">
        <f t="shared" si="351"/>
        <v>0</v>
      </c>
      <c r="W1143" s="78">
        <f t="shared" si="352"/>
        <v>0</v>
      </c>
      <c r="X1143" s="1878" t="str">
        <f t="shared" si="350"/>
        <v>9.- C Lima Caucho 0400409-OT_004545  Transpl Banda G0001-002165 Se envio para reencauche</v>
      </c>
      <c r="Z1143" s="19" t="str">
        <f t="shared" si="349"/>
        <v>Sacar_BandaReenc. MASTERCAUCHO</v>
      </c>
    </row>
    <row r="1144" spans="2:26" ht="15.2" customHeight="1">
      <c r="B1144" s="37"/>
      <c r="E1144" s="66">
        <v>10</v>
      </c>
      <c r="F1144" s="67" t="s">
        <v>732</v>
      </c>
      <c r="G1144" s="68" t="s">
        <v>757</v>
      </c>
      <c r="H1144" s="69" t="s">
        <v>431</v>
      </c>
      <c r="I1144" s="68" t="s">
        <v>726</v>
      </c>
      <c r="J1144" s="70" t="s">
        <v>727</v>
      </c>
      <c r="K1144" s="71" t="s">
        <v>433</v>
      </c>
      <c r="L1144" s="72">
        <v>42725</v>
      </c>
      <c r="M1144" s="73" t="s">
        <v>729</v>
      </c>
      <c r="N1144" s="74">
        <v>42731</v>
      </c>
      <c r="O1144" s="75">
        <f>+N1144</f>
        <v>42731</v>
      </c>
      <c r="P1144" s="2765" t="s">
        <v>2377</v>
      </c>
      <c r="Q1144" s="2954"/>
      <c r="R1144" s="76">
        <v>0</v>
      </c>
      <c r="S1144" s="1945" t="s">
        <v>731</v>
      </c>
      <c r="T1144" s="1875" t="s">
        <v>2376</v>
      </c>
      <c r="U1144" s="1893"/>
      <c r="V1144" s="2079">
        <f t="shared" si="351"/>
        <v>0</v>
      </c>
      <c r="W1144" s="78">
        <f t="shared" si="352"/>
        <v>0</v>
      </c>
      <c r="X1144" s="1878" t="str">
        <f t="shared" si="350"/>
        <v>10.- C Goodyear 1200404-OT_004545  Reencauche G0001-002165 Rechazada, G0001-002165</v>
      </c>
      <c r="Z1144" s="19" t="str">
        <f t="shared" si="349"/>
        <v>ReencaucheReencauchadora RENOVA</v>
      </c>
    </row>
    <row r="1145" spans="2:26" ht="15.2" customHeight="1">
      <c r="B1145" s="37"/>
      <c r="E1145" s="66">
        <v>11</v>
      </c>
      <c r="F1145" s="67" t="s">
        <v>732</v>
      </c>
      <c r="G1145" s="68" t="s">
        <v>737</v>
      </c>
      <c r="H1145" s="69" t="s">
        <v>1265</v>
      </c>
      <c r="I1145" s="68" t="s">
        <v>744</v>
      </c>
      <c r="J1145" s="70" t="s">
        <v>727</v>
      </c>
      <c r="K1145" s="71" t="s">
        <v>434</v>
      </c>
      <c r="L1145" s="72">
        <v>42725</v>
      </c>
      <c r="M1145" s="73" t="s">
        <v>729</v>
      </c>
      <c r="N1145" s="74">
        <v>42731</v>
      </c>
      <c r="O1145" s="75">
        <f>+N1145</f>
        <v>42731</v>
      </c>
      <c r="P1145" s="2765" t="s">
        <v>2377</v>
      </c>
      <c r="Q1145" s="2954"/>
      <c r="R1145" s="76">
        <v>0</v>
      </c>
      <c r="S1145" s="1945" t="s">
        <v>731</v>
      </c>
      <c r="T1145" s="1875" t="s">
        <v>2376</v>
      </c>
      <c r="U1145" s="1893"/>
      <c r="V1145" s="2079">
        <f t="shared" si="351"/>
        <v>0</v>
      </c>
      <c r="W1145" s="78">
        <f t="shared" si="352"/>
        <v>0</v>
      </c>
      <c r="X1145" s="1878" t="str">
        <f t="shared" si="350"/>
        <v>11.- C Vikrant 06022010-OT_004546  Sacar_Banda G0001-002165 Rechazada, G0001-002165</v>
      </c>
      <c r="Z1145" s="19" t="str">
        <f t="shared" si="349"/>
        <v>ReencaucheReencauchadora RENOVA</v>
      </c>
    </row>
    <row r="1146" spans="2:26" ht="15.2" customHeight="1">
      <c r="B1146" s="37"/>
      <c r="E1146" s="79">
        <v>12</v>
      </c>
      <c r="F1146" s="80" t="s">
        <v>732</v>
      </c>
      <c r="G1146" s="81" t="s">
        <v>733</v>
      </c>
      <c r="H1146" s="82" t="s">
        <v>985</v>
      </c>
      <c r="I1146" s="81" t="s">
        <v>744</v>
      </c>
      <c r="J1146" s="83" t="s">
        <v>727</v>
      </c>
      <c r="K1146" s="84" t="s">
        <v>434</v>
      </c>
      <c r="L1146" s="85">
        <v>42725</v>
      </c>
      <c r="M1146" s="86" t="s">
        <v>729</v>
      </c>
      <c r="N1146" s="87">
        <v>42731</v>
      </c>
      <c r="O1146" s="88">
        <f>+N1146</f>
        <v>42731</v>
      </c>
      <c r="P1146" s="2766" t="s">
        <v>2377</v>
      </c>
      <c r="Q1146" s="2955"/>
      <c r="R1146" s="89">
        <v>0</v>
      </c>
      <c r="S1146" s="1946" t="s">
        <v>731</v>
      </c>
      <c r="T1146" s="77" t="s">
        <v>435</v>
      </c>
      <c r="U1146" s="1893"/>
      <c r="V1146" s="2079">
        <f t="shared" si="351"/>
        <v>0</v>
      </c>
      <c r="W1146" s="78">
        <f t="shared" si="352"/>
        <v>0</v>
      </c>
      <c r="X1146" s="1878" t="str">
        <f t="shared" si="350"/>
        <v>12.- C Lima Caucho 0890908-OT_004546  Sacar_Banda G0001-002165 Reclamo por parche lateral</v>
      </c>
      <c r="Z1146" s="19" t="str">
        <f t="shared" si="349"/>
        <v>ReencaucheReencauchadora RENOVA</v>
      </c>
    </row>
    <row r="1147" spans="2:26" ht="15.2" customHeight="1">
      <c r="B1147" s="37"/>
      <c r="E1147" s="66">
        <v>1</v>
      </c>
      <c r="F1147" s="67" t="s">
        <v>732</v>
      </c>
      <c r="G1147" s="68" t="s">
        <v>737</v>
      </c>
      <c r="H1147" s="69" t="s">
        <v>894</v>
      </c>
      <c r="I1147" s="68" t="s">
        <v>726</v>
      </c>
      <c r="J1147" s="70" t="s">
        <v>760</v>
      </c>
      <c r="K1147" s="71" t="s">
        <v>767</v>
      </c>
      <c r="L1147" s="72">
        <v>42723</v>
      </c>
      <c r="M1147" s="73" t="s">
        <v>729</v>
      </c>
      <c r="N1147" s="74">
        <v>42733</v>
      </c>
      <c r="O1147" s="75">
        <v>42733</v>
      </c>
      <c r="P1147" s="2765" t="s">
        <v>2381</v>
      </c>
      <c r="Q1147" s="2954">
        <v>90.26</v>
      </c>
      <c r="R1147" s="76"/>
      <c r="S1147" s="1945" t="s">
        <v>731</v>
      </c>
      <c r="T1147" s="77"/>
      <c r="U1147" s="1893"/>
      <c r="V1147" s="2079">
        <f t="shared" si="351"/>
        <v>106.5068</v>
      </c>
      <c r="W1147" s="78">
        <f t="shared" si="352"/>
        <v>0</v>
      </c>
      <c r="X1147" s="1878" t="str">
        <f t="shared" si="350"/>
        <v xml:space="preserve">1.- C Vikrant 0470506-OT_230195  Reencauche F101-00006856 </v>
      </c>
      <c r="Z1147" s="19" t="str">
        <f t="shared" si="349"/>
        <v>ReencaucheReencauchadora RENOVA</v>
      </c>
    </row>
    <row r="1148" spans="2:26" ht="15.2" customHeight="1">
      <c r="B1148" s="37"/>
      <c r="E1148" s="66">
        <v>2</v>
      </c>
      <c r="F1148" s="67" t="s">
        <v>732</v>
      </c>
      <c r="G1148" s="68" t="s">
        <v>737</v>
      </c>
      <c r="H1148" s="69" t="s">
        <v>1000</v>
      </c>
      <c r="I1148" s="68" t="s">
        <v>726</v>
      </c>
      <c r="J1148" s="70" t="s">
        <v>760</v>
      </c>
      <c r="K1148" s="71" t="s">
        <v>767</v>
      </c>
      <c r="L1148" s="72">
        <v>42723</v>
      </c>
      <c r="M1148" s="73" t="s">
        <v>729</v>
      </c>
      <c r="N1148" s="74">
        <v>42733</v>
      </c>
      <c r="O1148" s="75">
        <v>42733</v>
      </c>
      <c r="P1148" s="2765" t="s">
        <v>2381</v>
      </c>
      <c r="Q1148" s="2954">
        <v>90.26</v>
      </c>
      <c r="R1148" s="76"/>
      <c r="S1148" s="1945" t="s">
        <v>731</v>
      </c>
      <c r="T1148" s="77"/>
      <c r="U1148" s="1893"/>
      <c r="V1148" s="2079">
        <f t="shared" si="351"/>
        <v>106.5068</v>
      </c>
      <c r="W1148" s="78">
        <f t="shared" si="352"/>
        <v>0</v>
      </c>
      <c r="X1148" s="1878" t="str">
        <f t="shared" si="350"/>
        <v xml:space="preserve">2.- C Vikrant 0430411-OT_230195  Reencauche F101-00006856 </v>
      </c>
      <c r="Z1148" s="19" t="str">
        <f t="shared" si="349"/>
        <v>ReencaucheReencauchadora RENOVA</v>
      </c>
    </row>
    <row r="1149" spans="2:26" ht="15.2" customHeight="1">
      <c r="B1149" s="37"/>
      <c r="E1149" s="66">
        <v>3</v>
      </c>
      <c r="F1149" s="67" t="s">
        <v>732</v>
      </c>
      <c r="G1149" s="68" t="s">
        <v>737</v>
      </c>
      <c r="H1149" s="69" t="s">
        <v>1422</v>
      </c>
      <c r="I1149" s="68" t="s">
        <v>726</v>
      </c>
      <c r="J1149" s="70" t="s">
        <v>760</v>
      </c>
      <c r="K1149" s="71" t="s">
        <v>767</v>
      </c>
      <c r="L1149" s="72">
        <v>42723</v>
      </c>
      <c r="M1149" s="73" t="s">
        <v>729</v>
      </c>
      <c r="N1149" s="74">
        <v>42733</v>
      </c>
      <c r="O1149" s="75">
        <v>42733</v>
      </c>
      <c r="P1149" s="2765" t="s">
        <v>2381</v>
      </c>
      <c r="Q1149" s="2954">
        <v>90.26</v>
      </c>
      <c r="R1149" s="76"/>
      <c r="S1149" s="1945" t="s">
        <v>731</v>
      </c>
      <c r="T1149" s="77"/>
      <c r="U1149" s="1893"/>
      <c r="V1149" s="2079">
        <f t="shared" si="351"/>
        <v>106.5068</v>
      </c>
      <c r="W1149" s="78">
        <f t="shared" si="352"/>
        <v>0</v>
      </c>
      <c r="X1149" s="1878" t="str">
        <f t="shared" si="350"/>
        <v xml:space="preserve">3.- C Vikrant 0240310-OT_230195  Reencauche F101-00006856 </v>
      </c>
      <c r="Z1149" s="19" t="str">
        <f t="shared" si="349"/>
        <v>ReencaucheReencauchadora RENOVA</v>
      </c>
    </row>
    <row r="1150" spans="2:26" ht="15.2" customHeight="1">
      <c r="B1150" s="37"/>
      <c r="E1150" s="66">
        <v>4</v>
      </c>
      <c r="F1150" s="67" t="s">
        <v>732</v>
      </c>
      <c r="G1150" s="68" t="s">
        <v>733</v>
      </c>
      <c r="H1150" s="69" t="s">
        <v>1123</v>
      </c>
      <c r="I1150" s="68" t="s">
        <v>726</v>
      </c>
      <c r="J1150" s="70" t="s">
        <v>760</v>
      </c>
      <c r="K1150" s="71" t="s">
        <v>767</v>
      </c>
      <c r="L1150" s="72">
        <v>42723</v>
      </c>
      <c r="M1150" s="73" t="s">
        <v>729</v>
      </c>
      <c r="N1150" s="74">
        <v>42733</v>
      </c>
      <c r="O1150" s="75">
        <f>+N1150</f>
        <v>42733</v>
      </c>
      <c r="P1150" s="2765" t="s">
        <v>2381</v>
      </c>
      <c r="Q1150" s="2954">
        <v>90.26</v>
      </c>
      <c r="R1150" s="76"/>
      <c r="S1150" s="1945" t="s">
        <v>731</v>
      </c>
      <c r="T1150" s="77"/>
      <c r="U1150" s="1893"/>
      <c r="V1150" s="2079">
        <f t="shared" si="351"/>
        <v>106.5068</v>
      </c>
      <c r="W1150" s="78">
        <f t="shared" si="352"/>
        <v>0</v>
      </c>
      <c r="X1150" s="1878" t="str">
        <f t="shared" si="350"/>
        <v xml:space="preserve">4.- C Lima Caucho 0411112-OT_230195  Reencauche F101-00006856 </v>
      </c>
      <c r="Z1150" s="19" t="str">
        <f t="shared" si="349"/>
        <v>ReencaucheReencauchadora RENOVA</v>
      </c>
    </row>
    <row r="1151" spans="2:26" ht="15.2" customHeight="1">
      <c r="B1151" s="37"/>
      <c r="E1151" s="66">
        <v>5</v>
      </c>
      <c r="F1151" s="67" t="s">
        <v>732</v>
      </c>
      <c r="G1151" s="68" t="s">
        <v>733</v>
      </c>
      <c r="H1151" s="69" t="s">
        <v>766</v>
      </c>
      <c r="I1151" s="68" t="s">
        <v>726</v>
      </c>
      <c r="J1151" s="70" t="s">
        <v>760</v>
      </c>
      <c r="K1151" s="71" t="s">
        <v>767</v>
      </c>
      <c r="L1151" s="72">
        <v>42723</v>
      </c>
      <c r="M1151" s="73" t="s">
        <v>729</v>
      </c>
      <c r="N1151" s="74">
        <v>42733</v>
      </c>
      <c r="O1151" s="75">
        <v>42733</v>
      </c>
      <c r="P1151" s="2765" t="s">
        <v>2381</v>
      </c>
      <c r="Q1151" s="2954">
        <v>90.26</v>
      </c>
      <c r="R1151" s="76"/>
      <c r="S1151" s="1945" t="s">
        <v>731</v>
      </c>
      <c r="T1151" s="77"/>
      <c r="U1151" s="1893"/>
      <c r="V1151" s="2079">
        <f t="shared" si="351"/>
        <v>106.5068</v>
      </c>
      <c r="W1151" s="78">
        <f t="shared" si="352"/>
        <v>0</v>
      </c>
      <c r="X1151" s="1878" t="str">
        <f t="shared" si="350"/>
        <v xml:space="preserve">5.- C Lima Caucho 1101210-OT_230195  Reencauche F101-00006856 </v>
      </c>
      <c r="Z1151" s="19" t="str">
        <f t="shared" si="349"/>
        <v>ReencaucheReencauchadora RENOVA</v>
      </c>
    </row>
    <row r="1152" spans="2:26" ht="15.2" customHeight="1">
      <c r="B1152" s="37"/>
      <c r="E1152" s="66">
        <v>6</v>
      </c>
      <c r="F1152" s="67" t="s">
        <v>732</v>
      </c>
      <c r="G1152" s="68" t="s">
        <v>733</v>
      </c>
      <c r="H1152" s="69" t="s">
        <v>1069</v>
      </c>
      <c r="I1152" s="68" t="s">
        <v>726</v>
      </c>
      <c r="J1152" s="70" t="s">
        <v>760</v>
      </c>
      <c r="K1152" s="71" t="s">
        <v>767</v>
      </c>
      <c r="L1152" s="72">
        <v>42723</v>
      </c>
      <c r="M1152" s="73" t="s">
        <v>729</v>
      </c>
      <c r="N1152" s="74">
        <v>42733</v>
      </c>
      <c r="O1152" s="75">
        <v>42733</v>
      </c>
      <c r="P1152" s="2765" t="s">
        <v>2381</v>
      </c>
      <c r="Q1152" s="2954">
        <v>90.26</v>
      </c>
      <c r="R1152" s="76"/>
      <c r="S1152" s="1945" t="s">
        <v>731</v>
      </c>
      <c r="T1152" s="77"/>
      <c r="U1152" s="1893"/>
      <c r="V1152" s="2079">
        <f t="shared" si="351"/>
        <v>106.5068</v>
      </c>
      <c r="W1152" s="78">
        <f t="shared" si="352"/>
        <v>0</v>
      </c>
      <c r="X1152" s="1878" t="str">
        <f t="shared" si="350"/>
        <v xml:space="preserve">6.- C Lima Caucho 1131210-OT_230195  Reencauche F101-00006856 </v>
      </c>
      <c r="Z1152" s="19" t="str">
        <f t="shared" si="349"/>
        <v>ReencaucheReencauchadora RENOVA</v>
      </c>
    </row>
    <row r="1153" spans="2:26" ht="15.2" customHeight="1">
      <c r="B1153" s="37"/>
      <c r="E1153" s="191">
        <v>7</v>
      </c>
      <c r="F1153" s="192" t="s">
        <v>732</v>
      </c>
      <c r="G1153" s="193" t="s">
        <v>733</v>
      </c>
      <c r="H1153" s="194" t="s">
        <v>1715</v>
      </c>
      <c r="I1153" s="193" t="s">
        <v>726</v>
      </c>
      <c r="J1153" s="195" t="s">
        <v>760</v>
      </c>
      <c r="K1153" s="196" t="s">
        <v>767</v>
      </c>
      <c r="L1153" s="197">
        <v>42723</v>
      </c>
      <c r="M1153" s="198" t="s">
        <v>729</v>
      </c>
      <c r="N1153" s="199">
        <v>42733</v>
      </c>
      <c r="O1153" s="200">
        <f>+N1153</f>
        <v>42733</v>
      </c>
      <c r="P1153" s="2778" t="s">
        <v>2379</v>
      </c>
      <c r="Q1153" s="2967">
        <v>0</v>
      </c>
      <c r="R1153" s="201"/>
      <c r="S1153" s="1953" t="s">
        <v>731</v>
      </c>
      <c r="T1153" s="1875" t="s">
        <v>2380</v>
      </c>
      <c r="U1153" s="1893"/>
      <c r="V1153" s="2079">
        <f t="shared" si="351"/>
        <v>0</v>
      </c>
      <c r="W1153" s="78">
        <f t="shared" si="352"/>
        <v>0</v>
      </c>
      <c r="X1153" s="1878" t="str">
        <f t="shared" si="350"/>
        <v>7.- C Lima Caucho 0700808-OT_230195  Reencauche G030-0062372 Rechazada, G030-0062372</v>
      </c>
      <c r="Z1153" s="19" t="str">
        <f t="shared" si="349"/>
        <v>ReencaucheReencauchadora RENOVA</v>
      </c>
    </row>
    <row r="1154" spans="2:26" ht="15.2" customHeight="1">
      <c r="B1154" s="37"/>
      <c r="E1154" s="66">
        <v>1</v>
      </c>
      <c r="F1154" s="67" t="s">
        <v>723</v>
      </c>
      <c r="G1154" s="68" t="s">
        <v>724</v>
      </c>
      <c r="H1154" s="69" t="s">
        <v>764</v>
      </c>
      <c r="I1154" s="68" t="s">
        <v>726</v>
      </c>
      <c r="J1154" s="70" t="s">
        <v>760</v>
      </c>
      <c r="K1154" s="71" t="s">
        <v>765</v>
      </c>
      <c r="L1154" s="72">
        <v>42723</v>
      </c>
      <c r="M1154" s="73" t="s">
        <v>729</v>
      </c>
      <c r="N1154" s="74">
        <v>42733</v>
      </c>
      <c r="O1154" s="75">
        <f>+N1154</f>
        <v>42733</v>
      </c>
      <c r="P1154" s="2765" t="s">
        <v>2381</v>
      </c>
      <c r="Q1154" s="2954">
        <v>100.9</v>
      </c>
      <c r="R1154" s="76"/>
      <c r="S1154" s="1945" t="s">
        <v>731</v>
      </c>
      <c r="T1154" s="77"/>
      <c r="U1154" s="1893"/>
      <c r="V1154" s="2079">
        <f t="shared" si="351"/>
        <v>119.062</v>
      </c>
      <c r="W1154" s="78">
        <f t="shared" si="352"/>
        <v>0</v>
      </c>
      <c r="X1154" s="1878" t="str">
        <f t="shared" si="350"/>
        <v xml:space="preserve">1.- R Aeolus 0280814-OT_230196  Reencauche F101-00006856 </v>
      </c>
      <c r="Z1154" s="19" t="str">
        <f t="shared" si="349"/>
        <v>Vulcanizado (curación)Reenc. MASTERCAUCHO</v>
      </c>
    </row>
    <row r="1155" spans="2:26" ht="15.2" customHeight="1">
      <c r="B1155" s="37"/>
      <c r="E1155" s="66">
        <v>2</v>
      </c>
      <c r="F1155" s="67" t="s">
        <v>723</v>
      </c>
      <c r="G1155" s="68" t="s">
        <v>724</v>
      </c>
      <c r="H1155" s="69" t="s">
        <v>763</v>
      </c>
      <c r="I1155" s="68" t="s">
        <v>726</v>
      </c>
      <c r="J1155" s="70" t="s">
        <v>760</v>
      </c>
      <c r="K1155" s="71" t="s">
        <v>765</v>
      </c>
      <c r="L1155" s="72">
        <v>42723</v>
      </c>
      <c r="M1155" s="73" t="s">
        <v>729</v>
      </c>
      <c r="N1155" s="74">
        <v>42733</v>
      </c>
      <c r="O1155" s="75">
        <f>+N1155</f>
        <v>42733</v>
      </c>
      <c r="P1155" s="2765" t="s">
        <v>2381</v>
      </c>
      <c r="Q1155" s="2954">
        <v>100.9</v>
      </c>
      <c r="R1155" s="76"/>
      <c r="S1155" s="1945" t="s">
        <v>731</v>
      </c>
      <c r="T1155" s="77"/>
      <c r="U1155" s="1893"/>
      <c r="V1155" s="2079">
        <f t="shared" si="351"/>
        <v>119.062</v>
      </c>
      <c r="W1155" s="78">
        <f t="shared" si="352"/>
        <v>0</v>
      </c>
      <c r="X1155" s="1878" t="str">
        <f t="shared" si="350"/>
        <v xml:space="preserve">2.- R Aeolus 0431114-OT_230196  Reencauche F101-00006856 </v>
      </c>
      <c r="Z1155" s="19" t="str">
        <f t="shared" si="349"/>
        <v>Vulcanizado (curación)Reenc. MASTERCAUCHO</v>
      </c>
    </row>
    <row r="1156" spans="2:26" ht="15.2" customHeight="1">
      <c r="B1156" s="37"/>
      <c r="E1156" s="79">
        <v>3</v>
      </c>
      <c r="F1156" s="3150" t="s">
        <v>723</v>
      </c>
      <c r="G1156" s="2576" t="s">
        <v>724</v>
      </c>
      <c r="H1156" s="2577" t="s">
        <v>762</v>
      </c>
      <c r="I1156" s="2576" t="s">
        <v>726</v>
      </c>
      <c r="J1156" s="2578" t="s">
        <v>760</v>
      </c>
      <c r="K1156" s="2579" t="s">
        <v>765</v>
      </c>
      <c r="L1156" s="2580">
        <v>42723</v>
      </c>
      <c r="M1156" s="3132" t="s">
        <v>729</v>
      </c>
      <c r="N1156" s="2582">
        <v>42753</v>
      </c>
      <c r="O1156" s="2583">
        <v>42753</v>
      </c>
      <c r="P1156" s="2941" t="s">
        <v>2406</v>
      </c>
      <c r="Q1156" s="2957">
        <v>100.9</v>
      </c>
      <c r="R1156" s="2584"/>
      <c r="S1156" s="2585" t="s">
        <v>731</v>
      </c>
      <c r="T1156" s="77"/>
      <c r="U1156" s="1893"/>
      <c r="V1156" s="2079">
        <f t="shared" si="351"/>
        <v>119.062</v>
      </c>
      <c r="W1156" s="78">
        <f t="shared" si="352"/>
        <v>0</v>
      </c>
      <c r="X1156" s="1878" t="str">
        <f t="shared" si="350"/>
        <v xml:space="preserve">3.- R Aeolus 0270814-OT_230196  Reencauche F101-00007171 </v>
      </c>
      <c r="Z1156" s="19" t="str">
        <f t="shared" si="349"/>
        <v>ReencaucheReenc. MASTERCAUCHO</v>
      </c>
    </row>
    <row r="1157" spans="2:26" ht="15.2" customHeight="1">
      <c r="B1157" s="37"/>
      <c r="E1157" s="66">
        <v>1</v>
      </c>
      <c r="F1157" s="67" t="s">
        <v>723</v>
      </c>
      <c r="G1157" s="68" t="s">
        <v>724</v>
      </c>
      <c r="H1157" s="69" t="s">
        <v>973</v>
      </c>
      <c r="I1157" s="68" t="s">
        <v>811</v>
      </c>
      <c r="J1157" s="70" t="s">
        <v>727</v>
      </c>
      <c r="K1157" s="71" t="s">
        <v>320</v>
      </c>
      <c r="L1157" s="72">
        <v>42693</v>
      </c>
      <c r="M1157" s="73" t="s">
        <v>729</v>
      </c>
      <c r="N1157" s="74">
        <v>42711</v>
      </c>
      <c r="O1157" s="75">
        <v>12</v>
      </c>
      <c r="P1157" s="2765" t="s">
        <v>1305</v>
      </c>
      <c r="Q1157" s="2954"/>
      <c r="R1157" s="76">
        <v>84.745800000000003</v>
      </c>
      <c r="S1157" s="1945" t="s">
        <v>731</v>
      </c>
      <c r="T1157" s="77"/>
      <c r="U1157" s="1893"/>
      <c r="V1157" s="2079">
        <f t="shared" si="351"/>
        <v>0</v>
      </c>
      <c r="W1157" s="78">
        <f t="shared" si="352"/>
        <v>100.000044</v>
      </c>
      <c r="X1157" s="1878" t="str">
        <f t="shared" si="350"/>
        <v xml:space="preserve">1.- R Aeolus 0110612-OT_004286  Vulcanizado (curación) ???? </v>
      </c>
      <c r="Z1157" s="19" t="str">
        <f t="shared" si="349"/>
        <v>Vulcanizado (curación)Reenc. MASTERCAUCHO</v>
      </c>
    </row>
    <row r="1158" spans="2:26" ht="15.2" customHeight="1">
      <c r="B1158" s="37"/>
      <c r="E1158" s="79">
        <v>2</v>
      </c>
      <c r="F1158" s="80" t="s">
        <v>723</v>
      </c>
      <c r="G1158" s="81" t="s">
        <v>724</v>
      </c>
      <c r="H1158" s="82" t="s">
        <v>807</v>
      </c>
      <c r="I1158" s="81" t="s">
        <v>811</v>
      </c>
      <c r="J1158" s="83" t="s">
        <v>727</v>
      </c>
      <c r="K1158" s="84" t="s">
        <v>320</v>
      </c>
      <c r="L1158" s="85">
        <v>42693</v>
      </c>
      <c r="M1158" s="86" t="s">
        <v>729</v>
      </c>
      <c r="N1158" s="87">
        <v>42711</v>
      </c>
      <c r="O1158" s="88">
        <f>+N1158</f>
        <v>42711</v>
      </c>
      <c r="P1158" s="2766" t="s">
        <v>1305</v>
      </c>
      <c r="Q1158" s="2955"/>
      <c r="R1158" s="89">
        <v>84.745800000000003</v>
      </c>
      <c r="S1158" s="1946" t="s">
        <v>731</v>
      </c>
      <c r="T1158" s="77"/>
      <c r="U1158" s="1893"/>
      <c r="V1158" s="2079">
        <f t="shared" si="351"/>
        <v>0</v>
      </c>
      <c r="W1158" s="78">
        <f t="shared" si="352"/>
        <v>100.000044</v>
      </c>
      <c r="X1158" s="1878" t="str">
        <f t="shared" si="350"/>
        <v xml:space="preserve">2.- R Aeolus 0160612-OT_004286  Vulcanizado (curación) ???? </v>
      </c>
      <c r="Z1158" s="19" t="str">
        <f t="shared" ref="Z1158:Z1175" si="353">CONCATENATE(I1161,J1161)</f>
        <v>Vulcanizado (curación)Reenc. MASTERCAUCHO</v>
      </c>
    </row>
    <row r="1159" spans="2:26" ht="15.2" customHeight="1">
      <c r="B1159" s="37"/>
      <c r="E1159" s="66">
        <v>1</v>
      </c>
      <c r="F1159" s="67" t="s">
        <v>723</v>
      </c>
      <c r="G1159" s="68" t="s">
        <v>724</v>
      </c>
      <c r="H1159" s="69" t="s">
        <v>2203</v>
      </c>
      <c r="I1159" s="68" t="s">
        <v>726</v>
      </c>
      <c r="J1159" s="70" t="s">
        <v>727</v>
      </c>
      <c r="K1159" s="71" t="s">
        <v>104</v>
      </c>
      <c r="L1159" s="72">
        <v>42681</v>
      </c>
      <c r="M1159" s="73" t="s">
        <v>729</v>
      </c>
      <c r="N1159" s="74">
        <v>42691</v>
      </c>
      <c r="O1159" s="75">
        <f>+N1159</f>
        <v>42691</v>
      </c>
      <c r="P1159" s="2765" t="s">
        <v>2111</v>
      </c>
      <c r="Q1159" s="2954"/>
      <c r="R1159" s="76">
        <v>305.0847</v>
      </c>
      <c r="S1159" s="1945" t="s">
        <v>731</v>
      </c>
      <c r="T1159" s="77" t="s">
        <v>2112</v>
      </c>
      <c r="U1159" s="1893"/>
      <c r="V1159" s="2079">
        <f t="shared" si="351"/>
        <v>0</v>
      </c>
      <c r="W1159" s="78">
        <f t="shared" si="352"/>
        <v>359.99994599999997</v>
      </c>
      <c r="X1159" s="1878" t="str">
        <f t="shared" si="350"/>
        <v>1.- R Aeolus 0110113-OT_004282  Reencauche 0001-006702 TDY3 Bamdasol rem: 22mm</v>
      </c>
      <c r="Z1159" s="19" t="str">
        <f t="shared" si="353"/>
        <v>Vulcanizado (curación)Reenc. MASTERCAUCHO</v>
      </c>
    </row>
    <row r="1160" spans="2:26" ht="15.2" customHeight="1">
      <c r="B1160" s="37"/>
      <c r="E1160" s="66">
        <v>2</v>
      </c>
      <c r="F1160" s="67" t="s">
        <v>723</v>
      </c>
      <c r="G1160" s="68" t="s">
        <v>825</v>
      </c>
      <c r="H1160" s="69" t="s">
        <v>865</v>
      </c>
      <c r="I1160" s="68" t="s">
        <v>811</v>
      </c>
      <c r="J1160" s="70" t="s">
        <v>727</v>
      </c>
      <c r="K1160" s="71" t="s">
        <v>104</v>
      </c>
      <c r="L1160" s="72">
        <v>42681</v>
      </c>
      <c r="M1160" s="73" t="s">
        <v>729</v>
      </c>
      <c r="N1160" s="74">
        <v>42691</v>
      </c>
      <c r="O1160" s="75">
        <v>42691</v>
      </c>
      <c r="P1160" s="2765" t="s">
        <v>2111</v>
      </c>
      <c r="Q1160" s="2954"/>
      <c r="R1160" s="76">
        <v>84.745800000000003</v>
      </c>
      <c r="S1160" s="1945" t="s">
        <v>731</v>
      </c>
      <c r="T1160" s="77"/>
      <c r="U1160" s="1893"/>
      <c r="V1160" s="2079">
        <f t="shared" si="351"/>
        <v>0</v>
      </c>
      <c r="W1160" s="78">
        <f t="shared" si="352"/>
        <v>100.000044</v>
      </c>
      <c r="X1160" s="1878" t="str">
        <f t="shared" si="350"/>
        <v xml:space="preserve">2.- R Falken 0550611-OT_004282  Vulcanizado (curación) 0001-006702 </v>
      </c>
      <c r="Z1160" s="19" t="str">
        <f t="shared" si="353"/>
        <v>Llanta de 2da ReencReenc. MASTERCAUCHO</v>
      </c>
    </row>
    <row r="1161" spans="2:26" ht="15.2" customHeight="1">
      <c r="B1161" s="37"/>
      <c r="E1161" s="79">
        <v>3</v>
      </c>
      <c r="F1161" s="80" t="s">
        <v>723</v>
      </c>
      <c r="G1161" s="81" t="s">
        <v>724</v>
      </c>
      <c r="H1161" s="82" t="s">
        <v>820</v>
      </c>
      <c r="I1161" s="81" t="s">
        <v>811</v>
      </c>
      <c r="J1161" s="83" t="s">
        <v>727</v>
      </c>
      <c r="K1161" s="84" t="s">
        <v>104</v>
      </c>
      <c r="L1161" s="85">
        <v>42681</v>
      </c>
      <c r="M1161" s="86" t="s">
        <v>729</v>
      </c>
      <c r="N1161" s="87">
        <v>42691</v>
      </c>
      <c r="O1161" s="88">
        <v>42691</v>
      </c>
      <c r="P1161" s="2766" t="s">
        <v>2111</v>
      </c>
      <c r="Q1161" s="2955"/>
      <c r="R1161" s="89">
        <v>84.745800000000003</v>
      </c>
      <c r="S1161" s="1946" t="s">
        <v>731</v>
      </c>
      <c r="T1161" s="77"/>
      <c r="U1161" s="1893"/>
      <c r="V1161" s="2079">
        <f t="shared" si="351"/>
        <v>0</v>
      </c>
      <c r="W1161" s="78">
        <f t="shared" si="352"/>
        <v>100.000044</v>
      </c>
      <c r="X1161" s="1878" t="str">
        <f t="shared" si="350"/>
        <v xml:space="preserve">3.- R Aeolus 0140612-OT_004282  Vulcanizado (curación) 0001-006702 </v>
      </c>
      <c r="Z1161" s="19" t="str">
        <f t="shared" si="353"/>
        <v>Vulcanizado (curación)Reenc. MASTERCAUCHO</v>
      </c>
    </row>
    <row r="1162" spans="2:26" ht="15.2" customHeight="1">
      <c r="B1162" s="37"/>
      <c r="E1162" s="66">
        <v>1</v>
      </c>
      <c r="F1162" s="67" t="s">
        <v>723</v>
      </c>
      <c r="G1162" s="68" t="s">
        <v>724</v>
      </c>
      <c r="H1162" s="69" t="s">
        <v>823</v>
      </c>
      <c r="I1162" s="68" t="s">
        <v>811</v>
      </c>
      <c r="J1162" s="70" t="s">
        <v>727</v>
      </c>
      <c r="K1162" s="2202" t="s">
        <v>102</v>
      </c>
      <c r="L1162" s="72">
        <v>42676</v>
      </c>
      <c r="M1162" s="73" t="s">
        <v>729</v>
      </c>
      <c r="N1162" s="74">
        <v>42681</v>
      </c>
      <c r="O1162" s="75">
        <f>+N1162</f>
        <v>42681</v>
      </c>
      <c r="P1162" s="2765" t="s">
        <v>102</v>
      </c>
      <c r="Q1162" s="2954"/>
      <c r="R1162" s="76">
        <v>0</v>
      </c>
      <c r="S1162" s="1945" t="s">
        <v>731</v>
      </c>
      <c r="T1162" s="49" t="s">
        <v>1306</v>
      </c>
      <c r="U1162" s="1893"/>
      <c r="V1162" s="2079">
        <f t="shared" si="351"/>
        <v>0</v>
      </c>
      <c r="W1162" s="78">
        <f t="shared" si="352"/>
        <v>0</v>
      </c>
      <c r="X1162" s="1878" t="str">
        <f t="shared" si="350"/>
        <v>1.- R Aeolus 0180612-OT_G0001-002049  Vulcanizado (curación) G0001-002049 Falla en carcasa x corte, INSERVIBLE</v>
      </c>
      <c r="Z1162" s="19" t="str">
        <f t="shared" si="353"/>
        <v>ReencaucheReencauchadora RENOVA</v>
      </c>
    </row>
    <row r="1163" spans="2:26" ht="15.2" customHeight="1">
      <c r="B1163" s="37"/>
      <c r="E1163" s="79"/>
      <c r="F1163" s="80" t="s">
        <v>723</v>
      </c>
      <c r="G1163" s="81" t="s">
        <v>757</v>
      </c>
      <c r="H1163" s="82" t="s">
        <v>100</v>
      </c>
      <c r="I1163" s="81" t="s">
        <v>101</v>
      </c>
      <c r="J1163" s="83" t="s">
        <v>727</v>
      </c>
      <c r="K1163" s="2201" t="s">
        <v>102</v>
      </c>
      <c r="L1163" s="85" t="s">
        <v>941</v>
      </c>
      <c r="M1163" s="86" t="s">
        <v>729</v>
      </c>
      <c r="N1163" s="87">
        <v>42681</v>
      </c>
      <c r="O1163" s="88">
        <f>+N1163</f>
        <v>42681</v>
      </c>
      <c r="P1163" s="2766" t="s">
        <v>102</v>
      </c>
      <c r="Q1163" s="2955"/>
      <c r="R1163" s="89">
        <v>0</v>
      </c>
      <c r="S1163" s="1946" t="s">
        <v>731</v>
      </c>
      <c r="T1163" s="1941" t="s">
        <v>103</v>
      </c>
      <c r="U1163" s="1893"/>
      <c r="V1163" s="2079">
        <f t="shared" si="351"/>
        <v>0</v>
      </c>
      <c r="W1163" s="78">
        <f t="shared" si="352"/>
        <v>0</v>
      </c>
      <c r="X1163" s="1878" t="str">
        <f t="shared" si="350"/>
        <v>.- R Goodyear 8231116-OT_G0001-002049  Llanta de 2da Reenc G0001-002049 (DOT2707)  Reempl a Aeolus 0180612</v>
      </c>
      <c r="Z1163" s="19" t="str">
        <f t="shared" si="353"/>
        <v>ReencaucheReencauchadora RENOVA</v>
      </c>
    </row>
    <row r="1164" spans="2:26" ht="15.2" customHeight="1">
      <c r="B1164" s="37"/>
      <c r="E1164" s="79">
        <v>1</v>
      </c>
      <c r="F1164" s="80" t="s">
        <v>723</v>
      </c>
      <c r="G1164" s="81" t="s">
        <v>724</v>
      </c>
      <c r="H1164" s="82" t="s">
        <v>1293</v>
      </c>
      <c r="I1164" s="81" t="s">
        <v>811</v>
      </c>
      <c r="J1164" s="83" t="s">
        <v>727</v>
      </c>
      <c r="K1164" s="84" t="s">
        <v>1294</v>
      </c>
      <c r="L1164" s="85">
        <v>42672</v>
      </c>
      <c r="M1164" s="86" t="s">
        <v>729</v>
      </c>
      <c r="N1164" s="87">
        <v>42676</v>
      </c>
      <c r="O1164" s="88">
        <f>+N1164</f>
        <v>42676</v>
      </c>
      <c r="P1164" s="2766" t="s">
        <v>1295</v>
      </c>
      <c r="Q1164" s="2955"/>
      <c r="R1164" s="89">
        <v>84.745762711864415</v>
      </c>
      <c r="S1164" s="1946" t="s">
        <v>731</v>
      </c>
      <c r="T1164" s="77"/>
      <c r="U1164" s="1893"/>
      <c r="V1164" s="2079">
        <f t="shared" si="351"/>
        <v>0</v>
      </c>
      <c r="W1164" s="78">
        <f t="shared" si="352"/>
        <v>100</v>
      </c>
      <c r="X1164" s="1878" t="str">
        <f t="shared" si="350"/>
        <v xml:space="preserve">1.- R Aeolus 0120215-OT_004275  Vulcanizado (curación) 0001-006582 </v>
      </c>
      <c r="Z1164" s="19" t="str">
        <f t="shared" si="353"/>
        <v>ReencaucheReencauchadora RENOVA</v>
      </c>
    </row>
    <row r="1165" spans="2:26" ht="15.2" customHeight="1">
      <c r="B1165" s="37"/>
      <c r="E1165" s="66">
        <v>1</v>
      </c>
      <c r="F1165" s="67" t="s">
        <v>723</v>
      </c>
      <c r="G1165" s="68" t="s">
        <v>724</v>
      </c>
      <c r="H1165" s="69" t="s">
        <v>2206</v>
      </c>
      <c r="I1165" s="68" t="s">
        <v>726</v>
      </c>
      <c r="J1165" s="70" t="s">
        <v>760</v>
      </c>
      <c r="K1165" s="71" t="s">
        <v>2202</v>
      </c>
      <c r="L1165" s="72">
        <v>42670</v>
      </c>
      <c r="M1165" s="73" t="s">
        <v>729</v>
      </c>
      <c r="N1165" s="74">
        <v>42678</v>
      </c>
      <c r="O1165" s="75">
        <v>42678</v>
      </c>
      <c r="P1165" s="2765" t="s">
        <v>97</v>
      </c>
      <c r="Q1165" s="2954"/>
      <c r="R1165" s="76">
        <v>100.9</v>
      </c>
      <c r="S1165" s="1945" t="s">
        <v>731</v>
      </c>
      <c r="T1165" s="77"/>
      <c r="U1165" s="1893"/>
      <c r="V1165" s="2079">
        <f t="shared" si="351"/>
        <v>0</v>
      </c>
      <c r="W1165" s="78">
        <f t="shared" si="352"/>
        <v>119.062</v>
      </c>
      <c r="X1165" s="1878" t="str">
        <f t="shared" si="350"/>
        <v xml:space="preserve">1.- R Aeolus 0140113-OT_229025  Reencauche F101-00006005 </v>
      </c>
      <c r="Z1165" s="19" t="str">
        <f t="shared" si="353"/>
        <v>ReencaucheReencauchadora RENOVA</v>
      </c>
    </row>
    <row r="1166" spans="2:26" ht="15.2" customHeight="1">
      <c r="B1166" s="37"/>
      <c r="E1166" s="66">
        <v>2</v>
      </c>
      <c r="F1166" s="67" t="s">
        <v>723</v>
      </c>
      <c r="G1166" s="68" t="s">
        <v>724</v>
      </c>
      <c r="H1166" s="69" t="s">
        <v>2205</v>
      </c>
      <c r="I1166" s="68" t="s">
        <v>726</v>
      </c>
      <c r="J1166" s="70" t="s">
        <v>760</v>
      </c>
      <c r="K1166" s="71" t="s">
        <v>2202</v>
      </c>
      <c r="L1166" s="72">
        <v>42670</v>
      </c>
      <c r="M1166" s="142" t="s">
        <v>729</v>
      </c>
      <c r="N1166" s="74">
        <v>42678</v>
      </c>
      <c r="O1166" s="75">
        <f>+N1166</f>
        <v>42678</v>
      </c>
      <c r="P1166" s="2765" t="s">
        <v>97</v>
      </c>
      <c r="Q1166" s="2954"/>
      <c r="R1166" s="76">
        <v>100.9</v>
      </c>
      <c r="S1166" s="1945" t="s">
        <v>731</v>
      </c>
      <c r="T1166" s="77"/>
      <c r="U1166" s="1893"/>
      <c r="V1166" s="2079">
        <f t="shared" si="351"/>
        <v>0</v>
      </c>
      <c r="W1166" s="78">
        <f t="shared" si="352"/>
        <v>119.062</v>
      </c>
      <c r="X1166" s="1878" t="str">
        <f t="shared" si="350"/>
        <v xml:space="preserve">2.- R Aeolus 032912-OT_229025  Reencauche F101-00006005 </v>
      </c>
      <c r="Z1166" s="19" t="str">
        <f t="shared" si="353"/>
        <v>ReencaucheReencauchadora RENOVA</v>
      </c>
    </row>
    <row r="1167" spans="2:26" ht="15.2" customHeight="1">
      <c r="B1167" s="37"/>
      <c r="E1167" s="66">
        <v>3</v>
      </c>
      <c r="F1167" s="67" t="s">
        <v>723</v>
      </c>
      <c r="G1167" s="68" t="s">
        <v>825</v>
      </c>
      <c r="H1167" s="69" t="s">
        <v>880</v>
      </c>
      <c r="I1167" s="68" t="s">
        <v>726</v>
      </c>
      <c r="J1167" s="70" t="s">
        <v>760</v>
      </c>
      <c r="K1167" s="71" t="s">
        <v>2202</v>
      </c>
      <c r="L1167" s="72">
        <v>42670</v>
      </c>
      <c r="M1167" s="73" t="s">
        <v>729</v>
      </c>
      <c r="N1167" s="74">
        <v>42678</v>
      </c>
      <c r="O1167" s="75">
        <v>42678</v>
      </c>
      <c r="P1167" s="2765" t="s">
        <v>97</v>
      </c>
      <c r="Q1167" s="2954"/>
      <c r="R1167" s="76">
        <v>100.9</v>
      </c>
      <c r="S1167" s="1945" t="s">
        <v>731</v>
      </c>
      <c r="T1167" s="77"/>
      <c r="U1167" s="1893"/>
      <c r="V1167" s="2079">
        <f t="shared" si="351"/>
        <v>0</v>
      </c>
      <c r="W1167" s="78">
        <f t="shared" si="352"/>
        <v>119.062</v>
      </c>
      <c r="X1167" s="1878" t="str">
        <f t="shared" si="350"/>
        <v xml:space="preserve">3.- R Falken 0590611-OT_229025  Reencauche F101-00006005 </v>
      </c>
      <c r="Z1167" s="19" t="str">
        <f t="shared" si="353"/>
        <v>ReencaucheReencauchadora RENOVA</v>
      </c>
    </row>
    <row r="1168" spans="2:26" ht="15.2" customHeight="1">
      <c r="B1168" s="37"/>
      <c r="E1168" s="66">
        <v>4</v>
      </c>
      <c r="F1168" s="67" t="s">
        <v>723</v>
      </c>
      <c r="G1168" s="68" t="s">
        <v>724</v>
      </c>
      <c r="H1168" s="69" t="s">
        <v>2204</v>
      </c>
      <c r="I1168" s="68" t="s">
        <v>726</v>
      </c>
      <c r="J1168" s="70" t="s">
        <v>760</v>
      </c>
      <c r="K1168" s="71" t="s">
        <v>2202</v>
      </c>
      <c r="L1168" s="72">
        <v>42670</v>
      </c>
      <c r="M1168" s="73" t="s">
        <v>729</v>
      </c>
      <c r="N1168" s="74">
        <v>42678</v>
      </c>
      <c r="O1168" s="75">
        <v>42678</v>
      </c>
      <c r="P1168" s="2765" t="s">
        <v>97</v>
      </c>
      <c r="Q1168" s="2954"/>
      <c r="R1168" s="76">
        <v>100.9</v>
      </c>
      <c r="S1168" s="1945" t="s">
        <v>731</v>
      </c>
      <c r="T1168" s="77"/>
      <c r="U1168" s="1893"/>
      <c r="V1168" s="2079">
        <f t="shared" si="351"/>
        <v>0</v>
      </c>
      <c r="W1168" s="78">
        <f t="shared" si="352"/>
        <v>119.062</v>
      </c>
      <c r="X1168" s="1878" t="str">
        <f t="shared" si="350"/>
        <v xml:space="preserve">4.- R Aeolus 0120114-OT_229025  Reencauche F101-00006005 </v>
      </c>
      <c r="Z1168" s="19" t="str">
        <f t="shared" si="353"/>
        <v>ReencaucheReencauchadora RENOVA</v>
      </c>
    </row>
    <row r="1169" spans="2:26" ht="15.2" customHeight="1">
      <c r="B1169" s="37"/>
      <c r="E1169" s="66">
        <v>5</v>
      </c>
      <c r="F1169" s="67" t="s">
        <v>723</v>
      </c>
      <c r="G1169" s="68" t="s">
        <v>724</v>
      </c>
      <c r="H1169" s="69" t="s">
        <v>1017</v>
      </c>
      <c r="I1169" s="68" t="s">
        <v>726</v>
      </c>
      <c r="J1169" s="70" t="s">
        <v>760</v>
      </c>
      <c r="K1169" s="71" t="s">
        <v>2202</v>
      </c>
      <c r="L1169" s="72">
        <v>42670</v>
      </c>
      <c r="M1169" s="73" t="s">
        <v>729</v>
      </c>
      <c r="N1169" s="74">
        <v>42678</v>
      </c>
      <c r="O1169" s="75">
        <v>42678</v>
      </c>
      <c r="P1169" s="2765" t="s">
        <v>97</v>
      </c>
      <c r="Q1169" s="2954"/>
      <c r="R1169" s="76">
        <v>100.9</v>
      </c>
      <c r="S1169" s="1945" t="s">
        <v>731</v>
      </c>
      <c r="T1169" s="77"/>
      <c r="U1169" s="1893"/>
      <c r="V1169" s="2079">
        <f t="shared" si="351"/>
        <v>0</v>
      </c>
      <c r="W1169" s="78">
        <f t="shared" si="352"/>
        <v>119.062</v>
      </c>
      <c r="X1169" s="1878" t="str">
        <f t="shared" si="350"/>
        <v xml:space="preserve">5.- R Aeolus 0110114-OT_229025  Reencauche F101-00006005 </v>
      </c>
      <c r="Z1169" s="19" t="str">
        <f t="shared" si="353"/>
        <v>ReencaucheReenc. MASTERCAUCHO</v>
      </c>
    </row>
    <row r="1170" spans="2:26" ht="15.2" customHeight="1">
      <c r="B1170" s="37"/>
      <c r="E1170" s="66">
        <v>6</v>
      </c>
      <c r="F1170" s="67" t="s">
        <v>732</v>
      </c>
      <c r="G1170" s="68" t="s">
        <v>733</v>
      </c>
      <c r="H1170" s="69" t="s">
        <v>1244</v>
      </c>
      <c r="I1170" s="68" t="s">
        <v>726</v>
      </c>
      <c r="J1170" s="70" t="s">
        <v>760</v>
      </c>
      <c r="K1170" s="71" t="s">
        <v>2201</v>
      </c>
      <c r="L1170" s="72">
        <v>42670</v>
      </c>
      <c r="M1170" s="73" t="s">
        <v>729</v>
      </c>
      <c r="N1170" s="74">
        <v>42678</v>
      </c>
      <c r="O1170" s="75">
        <f t="shared" ref="O1170:O1182" si="354">+N1170</f>
        <v>42678</v>
      </c>
      <c r="P1170" s="2765" t="s">
        <v>97</v>
      </c>
      <c r="Q1170" s="2954"/>
      <c r="R1170" s="76">
        <v>90.26</v>
      </c>
      <c r="S1170" s="1945" t="s">
        <v>731</v>
      </c>
      <c r="T1170" s="77"/>
      <c r="U1170" s="1893"/>
      <c r="V1170" s="2079">
        <f t="shared" si="351"/>
        <v>0</v>
      </c>
      <c r="W1170" s="78">
        <f t="shared" si="352"/>
        <v>106.5068</v>
      </c>
      <c r="X1170" s="1878" t="str">
        <f t="shared" si="350"/>
        <v xml:space="preserve">6.- C Lima Caucho 1201210-OT_229026  Reencauche F101-00006005 </v>
      </c>
      <c r="Z1170" s="19" t="str">
        <f t="shared" si="353"/>
        <v>ReencaucheReenc. MASTERCAUCHO</v>
      </c>
    </row>
    <row r="1171" spans="2:26" ht="15.2" customHeight="1">
      <c r="B1171" s="37"/>
      <c r="E1171" s="79">
        <v>7</v>
      </c>
      <c r="F1171" s="80" t="s">
        <v>723</v>
      </c>
      <c r="G1171" s="81" t="s">
        <v>724</v>
      </c>
      <c r="H1171" s="82" t="s">
        <v>2203</v>
      </c>
      <c r="I1171" s="81" t="s">
        <v>726</v>
      </c>
      <c r="J1171" s="83" t="s">
        <v>760</v>
      </c>
      <c r="K1171" s="84" t="s">
        <v>2202</v>
      </c>
      <c r="L1171" s="85">
        <v>42670</v>
      </c>
      <c r="M1171" s="86" t="s">
        <v>729</v>
      </c>
      <c r="N1171" s="87">
        <v>42678</v>
      </c>
      <c r="O1171" s="88">
        <f t="shared" si="354"/>
        <v>42678</v>
      </c>
      <c r="P1171" s="2766" t="s">
        <v>98</v>
      </c>
      <c r="Q1171" s="2955"/>
      <c r="R1171" s="89">
        <v>0</v>
      </c>
      <c r="S1171" s="1946" t="s">
        <v>731</v>
      </c>
      <c r="T1171" s="1875" t="s">
        <v>99</v>
      </c>
      <c r="U1171" s="1893"/>
      <c r="V1171" s="2079">
        <f t="shared" si="351"/>
        <v>0</v>
      </c>
      <c r="W1171" s="78">
        <f t="shared" si="352"/>
        <v>0</v>
      </c>
      <c r="X1171" s="1878" t="str">
        <f t="shared" si="350"/>
        <v>7.- R Aeolus 0110113-OT_229025  Reencauche G030-0061278 Rechazada, G030-0061278</v>
      </c>
      <c r="Z1171" s="19" t="str">
        <f t="shared" si="353"/>
        <v>Vulcanizado (curación)Reenc. MASTERCAUCHO</v>
      </c>
    </row>
    <row r="1172" spans="2:26" ht="15.2" customHeight="1">
      <c r="B1172" s="37"/>
      <c r="E1172" s="66">
        <v>1</v>
      </c>
      <c r="F1172" s="67" t="s">
        <v>732</v>
      </c>
      <c r="G1172" s="68" t="s">
        <v>733</v>
      </c>
      <c r="H1172" s="69" t="s">
        <v>810</v>
      </c>
      <c r="I1172" s="68" t="s">
        <v>726</v>
      </c>
      <c r="J1172" s="70" t="s">
        <v>727</v>
      </c>
      <c r="K1172" s="71" t="s">
        <v>1256</v>
      </c>
      <c r="L1172" s="72">
        <v>42664</v>
      </c>
      <c r="M1172" s="73" t="s">
        <v>729</v>
      </c>
      <c r="N1172" s="74">
        <v>42669</v>
      </c>
      <c r="O1172" s="75">
        <f t="shared" si="354"/>
        <v>42669</v>
      </c>
      <c r="P1172" s="2765" t="s">
        <v>1802</v>
      </c>
      <c r="Q1172" s="2954"/>
      <c r="R1172" s="76">
        <v>262.70999999999998</v>
      </c>
      <c r="S1172" s="1945" t="s">
        <v>731</v>
      </c>
      <c r="T1172" s="77"/>
      <c r="U1172" s="1893"/>
      <c r="V1172" s="2079">
        <f t="shared" si="351"/>
        <v>0</v>
      </c>
      <c r="W1172" s="78">
        <f t="shared" si="352"/>
        <v>309.99779999999998</v>
      </c>
      <c r="X1172" s="1878" t="str">
        <f t="shared" si="350"/>
        <v xml:space="preserve">1.- C Lima Caucho 0260507-OT_004265  Reencauche 0001-06559 </v>
      </c>
      <c r="Z1172" s="19" t="str">
        <f t="shared" si="353"/>
        <v>ReencaucheReenc. MASTERCAUCHO</v>
      </c>
    </row>
    <row r="1173" spans="2:26" ht="15.2" customHeight="1">
      <c r="B1173" s="37"/>
      <c r="E1173" s="66">
        <v>2</v>
      </c>
      <c r="F1173" s="67" t="s">
        <v>732</v>
      </c>
      <c r="G1173" s="68" t="s">
        <v>757</v>
      </c>
      <c r="H1173" s="69" t="s">
        <v>1210</v>
      </c>
      <c r="I1173" s="68" t="s">
        <v>726</v>
      </c>
      <c r="J1173" s="70" t="s">
        <v>727</v>
      </c>
      <c r="K1173" s="71" t="s">
        <v>1256</v>
      </c>
      <c r="L1173" s="72">
        <v>42664</v>
      </c>
      <c r="M1173" s="73" t="s">
        <v>729</v>
      </c>
      <c r="N1173" s="74">
        <v>42669</v>
      </c>
      <c r="O1173" s="75">
        <f t="shared" si="354"/>
        <v>42669</v>
      </c>
      <c r="P1173" s="2765" t="s">
        <v>1802</v>
      </c>
      <c r="Q1173" s="2954"/>
      <c r="R1173" s="76">
        <v>262.70999999999998</v>
      </c>
      <c r="S1173" s="1945" t="s">
        <v>731</v>
      </c>
      <c r="T1173" s="77"/>
      <c r="U1173" s="1893"/>
      <c r="V1173" s="2079">
        <f t="shared" si="351"/>
        <v>0</v>
      </c>
      <c r="W1173" s="78">
        <f t="shared" si="352"/>
        <v>309.99779999999998</v>
      </c>
      <c r="X1173" s="1878" t="str">
        <f t="shared" si="350"/>
        <v xml:space="preserve">2.- C Goodyear 0610404-OT_004265  Reencauche 0001-06559 </v>
      </c>
      <c r="Z1173" s="19" t="str">
        <f t="shared" si="353"/>
        <v>ReencaucheReenc. MASTERCAUCHO</v>
      </c>
    </row>
    <row r="1174" spans="2:26" ht="15.2" customHeight="1">
      <c r="B1174" s="37"/>
      <c r="E1174" s="66">
        <v>3</v>
      </c>
      <c r="F1174" s="67" t="s">
        <v>732</v>
      </c>
      <c r="G1174" s="68" t="s">
        <v>733</v>
      </c>
      <c r="H1174" s="2014" t="s">
        <v>1255</v>
      </c>
      <c r="I1174" s="68" t="s">
        <v>811</v>
      </c>
      <c r="J1174" s="70" t="s">
        <v>727</v>
      </c>
      <c r="K1174" s="71" t="s">
        <v>1256</v>
      </c>
      <c r="L1174" s="72">
        <v>42664</v>
      </c>
      <c r="M1174" s="73" t="s">
        <v>729</v>
      </c>
      <c r="N1174" s="74">
        <v>42669</v>
      </c>
      <c r="O1174" s="75">
        <f t="shared" si="354"/>
        <v>42669</v>
      </c>
      <c r="P1174" s="2765" t="s">
        <v>1802</v>
      </c>
      <c r="Q1174" s="2954"/>
      <c r="R1174" s="76">
        <v>42.372881355932208</v>
      </c>
      <c r="S1174" s="1945" t="s">
        <v>731</v>
      </c>
      <c r="T1174" s="77"/>
      <c r="U1174" s="1893"/>
      <c r="V1174" s="2079">
        <f t="shared" si="351"/>
        <v>0</v>
      </c>
      <c r="W1174" s="78">
        <f t="shared" si="352"/>
        <v>50</v>
      </c>
      <c r="X1174" s="1878" t="str">
        <f t="shared" si="350"/>
        <v xml:space="preserve">3.- C Lima Caucho 0214 6.5R14-OT_004265  Vulcanizado (curación) 0001-06559 </v>
      </c>
      <c r="Z1174" s="19" t="str">
        <f t="shared" si="353"/>
        <v>Vulcanizado (curación)Reenc. MASTERCAUCHO</v>
      </c>
    </row>
    <row r="1175" spans="2:26" ht="15.2" customHeight="1">
      <c r="B1175" s="37"/>
      <c r="E1175" s="66">
        <v>4</v>
      </c>
      <c r="F1175" s="67" t="s">
        <v>732</v>
      </c>
      <c r="G1175" s="68" t="s">
        <v>757</v>
      </c>
      <c r="H1175" s="69" t="s">
        <v>1249</v>
      </c>
      <c r="I1175" s="68" t="s">
        <v>726</v>
      </c>
      <c r="J1175" s="70" t="s">
        <v>727</v>
      </c>
      <c r="K1175" s="71" t="s">
        <v>1256</v>
      </c>
      <c r="L1175" s="72">
        <v>42664</v>
      </c>
      <c r="M1175" s="73" t="s">
        <v>729</v>
      </c>
      <c r="N1175" s="74">
        <v>42669</v>
      </c>
      <c r="O1175" s="75">
        <f t="shared" si="354"/>
        <v>42669</v>
      </c>
      <c r="P1175" s="2765" t="s">
        <v>1804</v>
      </c>
      <c r="Q1175" s="2954"/>
      <c r="R1175" s="76">
        <v>0</v>
      </c>
      <c r="S1175" s="1945" t="s">
        <v>731</v>
      </c>
      <c r="T1175" s="1875" t="s">
        <v>1803</v>
      </c>
      <c r="U1175" s="1893"/>
      <c r="V1175" s="2079">
        <f t="shared" si="351"/>
        <v>0</v>
      </c>
      <c r="W1175" s="78">
        <f t="shared" si="352"/>
        <v>0</v>
      </c>
      <c r="X1175" s="1878" t="str">
        <f t="shared" si="350"/>
        <v>4.- C Goodyear 1651004-OT_004265  Reencauche G0001-002025 Rechazada, G0001-002025</v>
      </c>
      <c r="Z1175" s="19" t="str">
        <f t="shared" si="353"/>
        <v>Vulcanizado (curación)Reenc. MASTERCAUCHO</v>
      </c>
    </row>
    <row r="1176" spans="2:26" ht="15.2" customHeight="1">
      <c r="B1176" s="37"/>
      <c r="E1176" s="79">
        <v>5</v>
      </c>
      <c r="F1176" s="80" t="s">
        <v>732</v>
      </c>
      <c r="G1176" s="81" t="s">
        <v>757</v>
      </c>
      <c r="H1176" s="82" t="s">
        <v>1213</v>
      </c>
      <c r="I1176" s="81" t="s">
        <v>726</v>
      </c>
      <c r="J1176" s="83" t="s">
        <v>727</v>
      </c>
      <c r="K1176" s="84" t="s">
        <v>1256</v>
      </c>
      <c r="L1176" s="85">
        <v>42664</v>
      </c>
      <c r="M1176" s="86" t="s">
        <v>729</v>
      </c>
      <c r="N1176" s="87">
        <v>42669</v>
      </c>
      <c r="O1176" s="88">
        <f t="shared" si="354"/>
        <v>42669</v>
      </c>
      <c r="P1176" s="2766" t="s">
        <v>1804</v>
      </c>
      <c r="Q1176" s="2955"/>
      <c r="R1176" s="89">
        <v>0</v>
      </c>
      <c r="S1176" s="1946" t="s">
        <v>731</v>
      </c>
      <c r="T1176" s="1875" t="s">
        <v>1803</v>
      </c>
      <c r="U1176" s="1893"/>
      <c r="V1176" s="2079">
        <f t="shared" si="351"/>
        <v>0</v>
      </c>
      <c r="W1176" s="78">
        <f t="shared" si="352"/>
        <v>0</v>
      </c>
      <c r="X1176" s="1878" t="str">
        <f t="shared" si="350"/>
        <v>5.- C Goodyear 1881204-OT_004265  Reencauche G0001-002025 Rechazada, G0001-002025</v>
      </c>
      <c r="Z1176" s="19" t="str">
        <f>CONCATENATE(I1179,J1179)</f>
        <v>ReencaucheReenc. MASTERCAUCHO</v>
      </c>
    </row>
    <row r="1177" spans="2:26" ht="15.2" customHeight="1">
      <c r="B1177" s="37"/>
      <c r="E1177" s="66">
        <v>1</v>
      </c>
      <c r="F1177" s="67" t="s">
        <v>732</v>
      </c>
      <c r="G1177" s="68" t="s">
        <v>737</v>
      </c>
      <c r="H1177" s="69" t="s">
        <v>1311</v>
      </c>
      <c r="I1177" s="68" t="s">
        <v>811</v>
      </c>
      <c r="J1177" s="70" t="s">
        <v>727</v>
      </c>
      <c r="K1177" s="71" t="s">
        <v>2105</v>
      </c>
      <c r="L1177" s="72">
        <v>42658</v>
      </c>
      <c r="M1177" s="73" t="s">
        <v>729</v>
      </c>
      <c r="N1177" s="74">
        <v>42664</v>
      </c>
      <c r="O1177" s="75">
        <f t="shared" si="354"/>
        <v>42664</v>
      </c>
      <c r="P1177" s="2765" t="s">
        <v>1252</v>
      </c>
      <c r="Q1177" s="2954"/>
      <c r="R1177" s="76">
        <v>105.93</v>
      </c>
      <c r="S1177" s="1945" t="s">
        <v>731</v>
      </c>
      <c r="T1177" s="77" t="s">
        <v>1251</v>
      </c>
      <c r="U1177" s="1893"/>
      <c r="V1177" s="2079">
        <f t="shared" si="351"/>
        <v>0</v>
      </c>
      <c r="W1177" s="78">
        <f t="shared" si="352"/>
        <v>124.9974</v>
      </c>
      <c r="X1177" s="1878" t="str">
        <f t="shared" si="350"/>
        <v>1.- C Vikrant 0960705-OT_004255  Vulcanizado (curación) 0001-006507 Remmplz LmCch-DOT_4308</v>
      </c>
      <c r="Z1177" s="19" t="str">
        <f>CONCATENATE(I1180,J1180)</f>
        <v>ReencaucheReenc. MASTERCAUCHO</v>
      </c>
    </row>
    <row r="1178" spans="2:26" ht="15.2" customHeight="1">
      <c r="B1178" s="37"/>
      <c r="E1178" s="79">
        <v>2</v>
      </c>
      <c r="F1178" s="80" t="s">
        <v>732</v>
      </c>
      <c r="G1178" s="81" t="s">
        <v>733</v>
      </c>
      <c r="H1178" s="82" t="s">
        <v>1268</v>
      </c>
      <c r="I1178" s="81" t="s">
        <v>811</v>
      </c>
      <c r="J1178" s="83" t="s">
        <v>727</v>
      </c>
      <c r="K1178" s="84" t="s">
        <v>2105</v>
      </c>
      <c r="L1178" s="85">
        <v>42658</v>
      </c>
      <c r="M1178" s="86" t="s">
        <v>729</v>
      </c>
      <c r="N1178" s="87">
        <v>42664</v>
      </c>
      <c r="O1178" s="88">
        <f t="shared" si="354"/>
        <v>42664</v>
      </c>
      <c r="P1178" s="2766" t="s">
        <v>1253</v>
      </c>
      <c r="Q1178" s="2955"/>
      <c r="R1178" s="89"/>
      <c r="S1178" s="1946" t="s">
        <v>731</v>
      </c>
      <c r="T1178" s="1875" t="s">
        <v>1254</v>
      </c>
      <c r="U1178" s="1893"/>
      <c r="V1178" s="2079">
        <f t="shared" si="351"/>
        <v>0</v>
      </c>
      <c r="W1178" s="78">
        <f t="shared" si="352"/>
        <v>0</v>
      </c>
      <c r="X1178" s="1878" t="str">
        <f t="shared" si="350"/>
        <v>2.- C Lima Caucho 0540610-OT_004255  Vulcanizado (curación) G0001-002005 Rechazada, G0001-002005</v>
      </c>
      <c r="Z1178" s="19" t="str">
        <f t="shared" ref="Z1178:Z1215" si="355">CONCATENATE(I1181,J1181)</f>
        <v>ReencaucheReenc. MASTERCAUCHO</v>
      </c>
    </row>
    <row r="1179" spans="2:26" ht="15.2" customHeight="1">
      <c r="B1179" s="37"/>
      <c r="E1179" s="66">
        <v>1</v>
      </c>
      <c r="F1179" s="67" t="s">
        <v>732</v>
      </c>
      <c r="G1179" s="68" t="s">
        <v>757</v>
      </c>
      <c r="H1179" s="69" t="s">
        <v>912</v>
      </c>
      <c r="I1179" s="68" t="s">
        <v>726</v>
      </c>
      <c r="J1179" s="70" t="s">
        <v>727</v>
      </c>
      <c r="K1179" s="71" t="s">
        <v>2101</v>
      </c>
      <c r="L1179" s="72">
        <v>42654</v>
      </c>
      <c r="M1179" s="73" t="s">
        <v>729</v>
      </c>
      <c r="N1179" s="74">
        <v>42658</v>
      </c>
      <c r="O1179" s="75">
        <f t="shared" si="354"/>
        <v>42658</v>
      </c>
      <c r="P1179" s="2765" t="s">
        <v>2102</v>
      </c>
      <c r="Q1179" s="2954"/>
      <c r="R1179" s="76">
        <v>262.70999999999998</v>
      </c>
      <c r="S1179" s="1945" t="s">
        <v>731</v>
      </c>
      <c r="T1179" s="77"/>
      <c r="U1179" s="1893"/>
      <c r="V1179" s="2079">
        <f t="shared" si="351"/>
        <v>0</v>
      </c>
      <c r="W1179" s="78">
        <f t="shared" si="352"/>
        <v>309.99779999999998</v>
      </c>
      <c r="X1179" s="1878" t="str">
        <f t="shared" si="350"/>
        <v xml:space="preserve">1.- C Goodyear 0150205-OT_004246  Reencauche 0001-006454 </v>
      </c>
      <c r="Z1179" s="19" t="str">
        <f t="shared" ref="Z1179:Z1192" si="356">CONCATENATE(I1182,J1182)</f>
        <v>ReencaucheReenc. MASTERCAUCHO</v>
      </c>
    </row>
    <row r="1180" spans="2:26" ht="15.2" customHeight="1">
      <c r="B1180" s="37"/>
      <c r="E1180" s="66">
        <v>2</v>
      </c>
      <c r="F1180" s="67" t="s">
        <v>732</v>
      </c>
      <c r="G1180" s="68" t="s">
        <v>733</v>
      </c>
      <c r="H1180" s="69" t="s">
        <v>2130</v>
      </c>
      <c r="I1180" s="68" t="s">
        <v>726</v>
      </c>
      <c r="J1180" s="70" t="s">
        <v>727</v>
      </c>
      <c r="K1180" s="71" t="s">
        <v>2101</v>
      </c>
      <c r="L1180" s="72">
        <v>42654</v>
      </c>
      <c r="M1180" s="73" t="s">
        <v>729</v>
      </c>
      <c r="N1180" s="74">
        <v>42661</v>
      </c>
      <c r="O1180" s="75">
        <f t="shared" si="354"/>
        <v>42661</v>
      </c>
      <c r="P1180" s="2765" t="s">
        <v>2102</v>
      </c>
      <c r="Q1180" s="2954"/>
      <c r="R1180" s="76">
        <v>262.70999999999998</v>
      </c>
      <c r="S1180" s="1945" t="s">
        <v>731</v>
      </c>
      <c r="T1180" s="77"/>
      <c r="U1180" s="1893"/>
      <c r="V1180" s="2079">
        <f t="shared" si="351"/>
        <v>0</v>
      </c>
      <c r="W1180" s="78">
        <f t="shared" si="352"/>
        <v>309.99779999999998</v>
      </c>
      <c r="X1180" s="1878" t="str">
        <f t="shared" si="350"/>
        <v xml:space="preserve">2.- C Lima Caucho 0480707-OT_004246  Reencauche 0001-006454 </v>
      </c>
      <c r="Z1180" s="19" t="str">
        <f t="shared" si="356"/>
        <v>ReencaucheReencauchadora RENOVA</v>
      </c>
    </row>
    <row r="1181" spans="2:26" ht="15.2" customHeight="1">
      <c r="B1181" s="37"/>
      <c r="E1181" s="66">
        <v>3</v>
      </c>
      <c r="F1181" s="67" t="s">
        <v>732</v>
      </c>
      <c r="G1181" s="68" t="s">
        <v>757</v>
      </c>
      <c r="H1181" s="69" t="s">
        <v>1055</v>
      </c>
      <c r="I1181" s="68" t="s">
        <v>726</v>
      </c>
      <c r="J1181" s="70" t="s">
        <v>727</v>
      </c>
      <c r="K1181" s="71" t="s">
        <v>2101</v>
      </c>
      <c r="L1181" s="72">
        <v>42654</v>
      </c>
      <c r="M1181" s="73" t="s">
        <v>729</v>
      </c>
      <c r="N1181" s="74">
        <v>42658</v>
      </c>
      <c r="O1181" s="75">
        <f t="shared" si="354"/>
        <v>42658</v>
      </c>
      <c r="P1181" s="2765" t="s">
        <v>2104</v>
      </c>
      <c r="Q1181" s="2954"/>
      <c r="R1181" s="76">
        <v>0</v>
      </c>
      <c r="S1181" s="1945" t="s">
        <v>731</v>
      </c>
      <c r="T1181" s="1875" t="s">
        <v>2103</v>
      </c>
      <c r="U1181" s="1893"/>
      <c r="V1181" s="2079">
        <f t="shared" si="351"/>
        <v>0</v>
      </c>
      <c r="W1181" s="78">
        <f t="shared" si="352"/>
        <v>0</v>
      </c>
      <c r="X1181" s="1878" t="str">
        <f t="shared" si="350"/>
        <v>3.- C Goodyear 0330302-OT_004246  Reencauche G0001-001537 Rechazada, G0001-001537</v>
      </c>
      <c r="Z1181" s="19" t="str">
        <f t="shared" si="356"/>
        <v>ReencaucheReencauchadora RENOVA</v>
      </c>
    </row>
    <row r="1182" spans="2:26" ht="15.2" customHeight="1">
      <c r="B1182" s="37"/>
      <c r="E1182" s="79">
        <v>4</v>
      </c>
      <c r="F1182" s="80" t="s">
        <v>732</v>
      </c>
      <c r="G1182" s="81" t="s">
        <v>757</v>
      </c>
      <c r="H1182" s="82" t="s">
        <v>1767</v>
      </c>
      <c r="I1182" s="81" t="s">
        <v>726</v>
      </c>
      <c r="J1182" s="83" t="s">
        <v>727</v>
      </c>
      <c r="K1182" s="84" t="s">
        <v>2101</v>
      </c>
      <c r="L1182" s="85">
        <v>42654</v>
      </c>
      <c r="M1182" s="86" t="s">
        <v>729</v>
      </c>
      <c r="N1182" s="87">
        <v>42658</v>
      </c>
      <c r="O1182" s="88">
        <f t="shared" si="354"/>
        <v>42658</v>
      </c>
      <c r="P1182" s="2766" t="s">
        <v>2104</v>
      </c>
      <c r="Q1182" s="2955"/>
      <c r="R1182" s="89">
        <v>0</v>
      </c>
      <c r="S1182" s="1946" t="s">
        <v>731</v>
      </c>
      <c r="T1182" s="1875" t="s">
        <v>2103</v>
      </c>
      <c r="U1182" s="1893"/>
      <c r="V1182" s="2079">
        <f t="shared" si="351"/>
        <v>0</v>
      </c>
      <c r="W1182" s="78">
        <f t="shared" si="352"/>
        <v>0</v>
      </c>
      <c r="X1182" s="1878" t="str">
        <f t="shared" si="350"/>
        <v>4.- C Goodyear 0640404-OT_004246  Reencauche G0001-001537 Rechazada, G0001-001537</v>
      </c>
      <c r="Z1182" s="19" t="str">
        <f t="shared" si="356"/>
        <v>ReencaucheReencauchadora RENOVA</v>
      </c>
    </row>
    <row r="1183" spans="2:26" ht="15.2" customHeight="1">
      <c r="B1183" s="37"/>
      <c r="E1183" s="66">
        <v>1</v>
      </c>
      <c r="F1183" s="67" t="s">
        <v>732</v>
      </c>
      <c r="G1183" s="68" t="s">
        <v>737</v>
      </c>
      <c r="H1183" s="69" t="s">
        <v>1320</v>
      </c>
      <c r="I1183" s="68" t="s">
        <v>726</v>
      </c>
      <c r="J1183" s="70" t="s">
        <v>760</v>
      </c>
      <c r="K1183" s="71" t="s">
        <v>2096</v>
      </c>
      <c r="L1183" s="72">
        <v>42654</v>
      </c>
      <c r="M1183" s="73" t="s">
        <v>729</v>
      </c>
      <c r="N1183" s="74">
        <v>42661</v>
      </c>
      <c r="O1183" s="75">
        <v>42661</v>
      </c>
      <c r="P1183" s="2765" t="s">
        <v>1717</v>
      </c>
      <c r="Q1183" s="2954">
        <v>90.26</v>
      </c>
      <c r="R1183" s="76"/>
      <c r="S1183" s="1945" t="s">
        <v>731</v>
      </c>
      <c r="T1183" s="77"/>
      <c r="U1183" s="1893"/>
      <c r="V1183" s="2079">
        <f t="shared" si="351"/>
        <v>106.5068</v>
      </c>
      <c r="W1183" s="78">
        <f t="shared" si="352"/>
        <v>0</v>
      </c>
      <c r="X1183" s="1878" t="str">
        <f t="shared" si="350"/>
        <v xml:space="preserve">1.- C Vikrant 0010109-OT_229004  Reencauche F101-00005687 </v>
      </c>
      <c r="Z1183" s="19" t="str">
        <f t="shared" si="356"/>
        <v>ReencaucheReencauchadora RENOVA</v>
      </c>
    </row>
    <row r="1184" spans="2:26" ht="15.2" customHeight="1">
      <c r="B1184" s="37"/>
      <c r="E1184" s="66">
        <v>2</v>
      </c>
      <c r="F1184" s="67" t="s">
        <v>732</v>
      </c>
      <c r="G1184" s="68" t="s">
        <v>733</v>
      </c>
      <c r="H1184" s="69" t="s">
        <v>1154</v>
      </c>
      <c r="I1184" s="68" t="s">
        <v>726</v>
      </c>
      <c r="J1184" s="70" t="s">
        <v>760</v>
      </c>
      <c r="K1184" s="71" t="s">
        <v>2096</v>
      </c>
      <c r="L1184" s="72">
        <v>42654</v>
      </c>
      <c r="M1184" s="73" t="s">
        <v>729</v>
      </c>
      <c r="N1184" s="74">
        <v>42661</v>
      </c>
      <c r="O1184" s="75">
        <v>42661</v>
      </c>
      <c r="P1184" s="2765" t="s">
        <v>1717</v>
      </c>
      <c r="Q1184" s="2954">
        <v>90.26</v>
      </c>
      <c r="R1184" s="76"/>
      <c r="S1184" s="1945" t="s">
        <v>731</v>
      </c>
      <c r="T1184" s="77"/>
      <c r="U1184" s="1893"/>
      <c r="V1184" s="2079">
        <f t="shared" si="351"/>
        <v>106.5068</v>
      </c>
      <c r="W1184" s="78">
        <f t="shared" si="352"/>
        <v>0</v>
      </c>
      <c r="X1184" s="1878" t="str">
        <f t="shared" si="350"/>
        <v xml:space="preserve">2.- C Lima Caucho 0380411-OT_229004  Reencauche F101-00005687 </v>
      </c>
      <c r="Z1184" s="19" t="str">
        <f t="shared" si="356"/>
        <v>ReencaucheReencauchadora RENOVA</v>
      </c>
    </row>
    <row r="1185" spans="2:26" ht="15.2" customHeight="1">
      <c r="B1185" s="37"/>
      <c r="E1185" s="66">
        <v>3</v>
      </c>
      <c r="F1185" s="67" t="s">
        <v>732</v>
      </c>
      <c r="G1185" s="68" t="s">
        <v>733</v>
      </c>
      <c r="H1185" s="69" t="s">
        <v>1651</v>
      </c>
      <c r="I1185" s="68" t="s">
        <v>726</v>
      </c>
      <c r="J1185" s="70" t="s">
        <v>760</v>
      </c>
      <c r="K1185" s="71" t="s">
        <v>2096</v>
      </c>
      <c r="L1185" s="72">
        <v>42654</v>
      </c>
      <c r="M1185" s="73" t="s">
        <v>729</v>
      </c>
      <c r="N1185" s="74">
        <v>42661</v>
      </c>
      <c r="O1185" s="75">
        <v>42661</v>
      </c>
      <c r="P1185" s="2765" t="s">
        <v>1717</v>
      </c>
      <c r="Q1185" s="2954">
        <v>90.26</v>
      </c>
      <c r="R1185" s="76"/>
      <c r="S1185" s="1945" t="s">
        <v>731</v>
      </c>
      <c r="T1185" s="77"/>
      <c r="U1185" s="1893"/>
      <c r="V1185" s="2079">
        <f t="shared" si="351"/>
        <v>106.5068</v>
      </c>
      <c r="W1185" s="78">
        <f t="shared" si="352"/>
        <v>0</v>
      </c>
      <c r="X1185" s="1878" t="str">
        <f t="shared" si="350"/>
        <v xml:space="preserve">3.- C Lima Caucho 1461207-OT_229004  Reencauche F101-00005687 </v>
      </c>
      <c r="Z1185" s="19" t="str">
        <f t="shared" si="356"/>
        <v>ReencaucheReencauchadora RENOVA</v>
      </c>
    </row>
    <row r="1186" spans="2:26" ht="15.2" customHeight="1">
      <c r="B1186" s="37"/>
      <c r="E1186" s="66">
        <v>4</v>
      </c>
      <c r="F1186" s="67" t="s">
        <v>732</v>
      </c>
      <c r="G1186" s="68" t="s">
        <v>733</v>
      </c>
      <c r="H1186" s="69" t="s">
        <v>1115</v>
      </c>
      <c r="I1186" s="68" t="s">
        <v>726</v>
      </c>
      <c r="J1186" s="70" t="s">
        <v>760</v>
      </c>
      <c r="K1186" s="71" t="s">
        <v>2096</v>
      </c>
      <c r="L1186" s="72">
        <v>42654</v>
      </c>
      <c r="M1186" s="73" t="s">
        <v>729</v>
      </c>
      <c r="N1186" s="74">
        <v>42661</v>
      </c>
      <c r="O1186" s="75">
        <v>42661</v>
      </c>
      <c r="P1186" s="2765" t="s">
        <v>1717</v>
      </c>
      <c r="Q1186" s="2954">
        <v>90.26</v>
      </c>
      <c r="R1186" s="76"/>
      <c r="S1186" s="1945" t="s">
        <v>731</v>
      </c>
      <c r="T1186" s="77"/>
      <c r="U1186" s="1893"/>
      <c r="V1186" s="2079">
        <f t="shared" si="351"/>
        <v>106.5068</v>
      </c>
      <c r="W1186" s="78">
        <f t="shared" si="352"/>
        <v>0</v>
      </c>
      <c r="X1186" s="1878" t="str">
        <f t="shared" ref="X1186:X1249" si="357">CONCATENATE(E1186,".- ",F1186," ",G1186," ",H1186,"-OT_",K1186," "," ",I1186," ",P1186," ",T1186)</f>
        <v xml:space="preserve">4.- C Lima Caucho 1031208-OT_229004  Reencauche F101-00005687 </v>
      </c>
      <c r="Z1186" s="19" t="str">
        <f t="shared" si="356"/>
        <v>ReencaucheReencauchadora RENOVA</v>
      </c>
    </row>
    <row r="1187" spans="2:26" ht="15.2" customHeight="1">
      <c r="B1187" s="37"/>
      <c r="E1187" s="66">
        <v>5</v>
      </c>
      <c r="F1187" s="67" t="s">
        <v>723</v>
      </c>
      <c r="G1187" s="68" t="s">
        <v>724</v>
      </c>
      <c r="H1187" s="69" t="s">
        <v>2097</v>
      </c>
      <c r="I1187" s="68" t="s">
        <v>726</v>
      </c>
      <c r="J1187" s="70" t="s">
        <v>760</v>
      </c>
      <c r="K1187" s="71" t="s">
        <v>2095</v>
      </c>
      <c r="L1187" s="72">
        <v>42654</v>
      </c>
      <c r="M1187" s="73" t="s">
        <v>729</v>
      </c>
      <c r="N1187" s="74">
        <v>42661</v>
      </c>
      <c r="O1187" s="75">
        <v>42661</v>
      </c>
      <c r="P1187" s="2765" t="s">
        <v>1717</v>
      </c>
      <c r="Q1187" s="2954">
        <v>100.9</v>
      </c>
      <c r="R1187" s="76"/>
      <c r="S1187" s="1945" t="s">
        <v>731</v>
      </c>
      <c r="T1187" s="77"/>
      <c r="U1187" s="1893"/>
      <c r="V1187" s="2079">
        <f t="shared" ref="V1187:V1250" si="358">+Q1187*(1.18)</f>
        <v>119.062</v>
      </c>
      <c r="W1187" s="78">
        <f t="shared" ref="W1187:W1250" si="359">+R1187*(1.18)</f>
        <v>0</v>
      </c>
      <c r="X1187" s="1878" t="str">
        <f t="shared" si="357"/>
        <v xml:space="preserve">5.- R Aeolus 0330814-OT_229003  Reencauche F101-00005687 </v>
      </c>
      <c r="Z1187" s="19" t="str">
        <f t="shared" si="356"/>
        <v>ReencaucheReencauchadora RENOVA</v>
      </c>
    </row>
    <row r="1188" spans="2:26" ht="15.2" customHeight="1">
      <c r="B1188" s="37"/>
      <c r="E1188" s="66">
        <v>6</v>
      </c>
      <c r="F1188" s="67" t="s">
        <v>723</v>
      </c>
      <c r="G1188" s="68" t="s">
        <v>724</v>
      </c>
      <c r="H1188" s="69" t="s">
        <v>2098</v>
      </c>
      <c r="I1188" s="68" t="s">
        <v>726</v>
      </c>
      <c r="J1188" s="70" t="s">
        <v>760</v>
      </c>
      <c r="K1188" s="71" t="s">
        <v>2095</v>
      </c>
      <c r="L1188" s="72">
        <v>42654</v>
      </c>
      <c r="M1188" s="73" t="s">
        <v>729</v>
      </c>
      <c r="N1188" s="74">
        <v>42661</v>
      </c>
      <c r="O1188" s="75">
        <v>42661</v>
      </c>
      <c r="P1188" s="2765" t="s">
        <v>1717</v>
      </c>
      <c r="Q1188" s="2954">
        <v>100.9</v>
      </c>
      <c r="R1188" s="76"/>
      <c r="S1188" s="1945" t="s">
        <v>731</v>
      </c>
      <c r="T1188" s="77"/>
      <c r="U1188" s="1893"/>
      <c r="V1188" s="2079">
        <f t="shared" si="358"/>
        <v>119.062</v>
      </c>
      <c r="W1188" s="78">
        <f t="shared" si="359"/>
        <v>0</v>
      </c>
      <c r="X1188" s="1878" t="str">
        <f t="shared" si="357"/>
        <v xml:space="preserve">6.- R Aeolus 0360814-OT_229003  Reencauche F101-00005687 </v>
      </c>
      <c r="Z1188" s="19" t="str">
        <f t="shared" si="356"/>
        <v>Vulcanizado (curación)Reenc. MASTERCAUCHO</v>
      </c>
    </row>
    <row r="1189" spans="2:26" ht="15.2" customHeight="1">
      <c r="B1189" s="37"/>
      <c r="E1189" s="66">
        <v>7</v>
      </c>
      <c r="F1189" s="67" t="s">
        <v>723</v>
      </c>
      <c r="G1189" s="68" t="s">
        <v>724</v>
      </c>
      <c r="H1189" s="69" t="s">
        <v>2099</v>
      </c>
      <c r="I1189" s="68" t="s">
        <v>726</v>
      </c>
      <c r="J1189" s="70" t="s">
        <v>760</v>
      </c>
      <c r="K1189" s="71" t="s">
        <v>2095</v>
      </c>
      <c r="L1189" s="72">
        <v>42654</v>
      </c>
      <c r="M1189" s="73" t="s">
        <v>729</v>
      </c>
      <c r="N1189" s="74">
        <v>42661</v>
      </c>
      <c r="O1189" s="75">
        <v>42661</v>
      </c>
      <c r="P1189" s="2765" t="s">
        <v>1717</v>
      </c>
      <c r="Q1189" s="2954">
        <v>100.9</v>
      </c>
      <c r="R1189" s="76"/>
      <c r="S1189" s="1945" t="s">
        <v>731</v>
      </c>
      <c r="T1189" s="77"/>
      <c r="U1189" s="1893"/>
      <c r="V1189" s="2079">
        <f t="shared" si="358"/>
        <v>119.062</v>
      </c>
      <c r="W1189" s="78">
        <f t="shared" si="359"/>
        <v>0</v>
      </c>
      <c r="X1189" s="1878" t="str">
        <f t="shared" si="357"/>
        <v xml:space="preserve">7.- R Aeolus 0350814-OT_229003  Reencauche F101-00005687 </v>
      </c>
      <c r="Z1189" s="19" t="str">
        <f t="shared" si="356"/>
        <v>Vulcanizado (curación)Reenc. MASTERCAUCHO</v>
      </c>
    </row>
    <row r="1190" spans="2:26" ht="15.2" customHeight="1">
      <c r="B1190" s="37"/>
      <c r="E1190" s="79">
        <v>8</v>
      </c>
      <c r="F1190" s="80" t="s">
        <v>723</v>
      </c>
      <c r="G1190" s="81" t="s">
        <v>724</v>
      </c>
      <c r="H1190" s="82" t="s">
        <v>2100</v>
      </c>
      <c r="I1190" s="81" t="s">
        <v>726</v>
      </c>
      <c r="J1190" s="83" t="s">
        <v>760</v>
      </c>
      <c r="K1190" s="84" t="s">
        <v>2095</v>
      </c>
      <c r="L1190" s="85">
        <v>42654</v>
      </c>
      <c r="M1190" s="86" t="s">
        <v>729</v>
      </c>
      <c r="N1190" s="87">
        <v>42661</v>
      </c>
      <c r="O1190" s="88">
        <v>42661</v>
      </c>
      <c r="P1190" s="2766" t="s">
        <v>1717</v>
      </c>
      <c r="Q1190" s="2955">
        <v>100.9</v>
      </c>
      <c r="R1190" s="89"/>
      <c r="S1190" s="1946" t="s">
        <v>731</v>
      </c>
      <c r="T1190" s="77"/>
      <c r="U1190" s="1893"/>
      <c r="V1190" s="2079">
        <f t="shared" si="358"/>
        <v>119.062</v>
      </c>
      <c r="W1190" s="78">
        <f t="shared" si="359"/>
        <v>0</v>
      </c>
      <c r="X1190" s="1878" t="str">
        <f t="shared" si="357"/>
        <v xml:space="preserve">8.- R Aeolus 0340814-OT_229003  Reencauche F101-00005687 </v>
      </c>
      <c r="Z1190" s="19" t="str">
        <f t="shared" si="356"/>
        <v>ReencaucheReenc. MASTERCAUCHO</v>
      </c>
    </row>
    <row r="1191" spans="2:26" ht="15.2" customHeight="1">
      <c r="B1191" s="37"/>
      <c r="E1191" s="66">
        <v>1</v>
      </c>
      <c r="F1191" s="67" t="s">
        <v>723</v>
      </c>
      <c r="G1191" s="68" t="s">
        <v>724</v>
      </c>
      <c r="H1191" s="69" t="s">
        <v>658</v>
      </c>
      <c r="I1191" s="68" t="s">
        <v>811</v>
      </c>
      <c r="J1191" s="70" t="s">
        <v>727</v>
      </c>
      <c r="K1191" s="71" t="s">
        <v>660</v>
      </c>
      <c r="L1191" s="72">
        <v>42640</v>
      </c>
      <c r="M1191" s="73" t="s">
        <v>729</v>
      </c>
      <c r="N1191" s="74">
        <v>42644</v>
      </c>
      <c r="O1191" s="75">
        <f t="shared" ref="O1191:O1198" si="360">+N1191</f>
        <v>42644</v>
      </c>
      <c r="P1191" s="2765" t="s">
        <v>393</v>
      </c>
      <c r="Q1191" s="2954"/>
      <c r="R1191" s="76">
        <v>105.93</v>
      </c>
      <c r="S1191" s="1945" t="s">
        <v>731</v>
      </c>
      <c r="T1191" s="77"/>
      <c r="U1191" s="1893"/>
      <c r="V1191" s="2079">
        <f t="shared" si="358"/>
        <v>0</v>
      </c>
      <c r="W1191" s="78">
        <f t="shared" si="359"/>
        <v>124.9974</v>
      </c>
      <c r="X1191" s="1878" t="str">
        <f t="shared" si="357"/>
        <v xml:space="preserve">1.- R Aeolus 0150114-OT_004110  Vulcanizado (curación) 0001-006372 </v>
      </c>
      <c r="Z1191" s="19" t="str">
        <f t="shared" si="356"/>
        <v>Transpl BandaReenc. MASTERCAUCHO</v>
      </c>
    </row>
    <row r="1192" spans="2:26" ht="15.2" customHeight="1">
      <c r="B1192" s="37"/>
      <c r="E1192" s="66">
        <v>2</v>
      </c>
      <c r="F1192" s="67" t="s">
        <v>723</v>
      </c>
      <c r="G1192" s="68" t="s">
        <v>724</v>
      </c>
      <c r="H1192" s="69" t="s">
        <v>659</v>
      </c>
      <c r="I1192" s="68" t="s">
        <v>811</v>
      </c>
      <c r="J1192" s="70" t="s">
        <v>727</v>
      </c>
      <c r="K1192" s="71" t="s">
        <v>660</v>
      </c>
      <c r="L1192" s="72">
        <v>42640</v>
      </c>
      <c r="M1192" s="73" t="s">
        <v>729</v>
      </c>
      <c r="N1192" s="74">
        <v>42644</v>
      </c>
      <c r="O1192" s="75">
        <f t="shared" si="360"/>
        <v>42644</v>
      </c>
      <c r="P1192" s="2765" t="s">
        <v>393</v>
      </c>
      <c r="Q1192" s="2954"/>
      <c r="R1192" s="76">
        <v>105.93</v>
      </c>
      <c r="S1192" s="1945" t="s">
        <v>731</v>
      </c>
      <c r="T1192" s="77"/>
      <c r="U1192" s="1893"/>
      <c r="V1192" s="2079">
        <f t="shared" si="358"/>
        <v>0</v>
      </c>
      <c r="W1192" s="78">
        <f t="shared" si="359"/>
        <v>124.9974</v>
      </c>
      <c r="X1192" s="1878" t="str">
        <f t="shared" si="357"/>
        <v xml:space="preserve">2.- R Aeolus 0140114-OT_004110  Vulcanizado (curación) 0001-006372 </v>
      </c>
      <c r="Z1192" s="19" t="str">
        <f t="shared" si="356"/>
        <v>Transpl BandaReenc. MASTERCAUCHO</v>
      </c>
    </row>
    <row r="1193" spans="2:26" ht="15.2" customHeight="1">
      <c r="B1193" s="37"/>
      <c r="E1193" s="66">
        <v>3</v>
      </c>
      <c r="F1193" s="67" t="s">
        <v>732</v>
      </c>
      <c r="G1193" s="68" t="s">
        <v>757</v>
      </c>
      <c r="H1193" s="69" t="s">
        <v>1748</v>
      </c>
      <c r="I1193" s="68" t="s">
        <v>726</v>
      </c>
      <c r="J1193" s="70" t="s">
        <v>727</v>
      </c>
      <c r="K1193" s="71" t="s">
        <v>660</v>
      </c>
      <c r="L1193" s="72">
        <v>42640</v>
      </c>
      <c r="M1193" s="73" t="s">
        <v>729</v>
      </c>
      <c r="N1193" s="74">
        <v>42644</v>
      </c>
      <c r="O1193" s="75">
        <f t="shared" si="360"/>
        <v>42644</v>
      </c>
      <c r="P1193" s="2765" t="s">
        <v>393</v>
      </c>
      <c r="Q1193" s="2954"/>
      <c r="R1193" s="76">
        <v>262.70999999999998</v>
      </c>
      <c r="S1193" s="1945" t="s">
        <v>731</v>
      </c>
      <c r="T1193" s="77"/>
      <c r="U1193" s="1893"/>
      <c r="V1193" s="2079">
        <f t="shared" si="358"/>
        <v>0</v>
      </c>
      <c r="W1193" s="78">
        <f t="shared" si="359"/>
        <v>309.99779999999998</v>
      </c>
      <c r="X1193" s="1878" t="str">
        <f t="shared" si="357"/>
        <v xml:space="preserve">3.- C Goodyear 1100704-OT_004110  Reencauche 0001-006372 </v>
      </c>
      <c r="Z1193" s="19" t="str">
        <f>CONCATENATE(I1196,J1196)</f>
        <v>ReencaucheReenc. MASTERCAUCHO</v>
      </c>
    </row>
    <row r="1194" spans="2:26" ht="15.2" customHeight="1">
      <c r="B1194" s="37"/>
      <c r="E1194" s="66">
        <v>4</v>
      </c>
      <c r="F1194" s="2109" t="s">
        <v>732</v>
      </c>
      <c r="G1194" s="2095" t="s">
        <v>737</v>
      </c>
      <c r="H1194" s="2096" t="s">
        <v>1436</v>
      </c>
      <c r="I1194" s="90" t="s">
        <v>740</v>
      </c>
      <c r="J1194" s="92" t="s">
        <v>727</v>
      </c>
      <c r="K1194" s="243" t="s">
        <v>660</v>
      </c>
      <c r="L1194" s="2099">
        <v>42640</v>
      </c>
      <c r="M1194" s="73" t="s">
        <v>729</v>
      </c>
      <c r="N1194" s="74">
        <v>42644</v>
      </c>
      <c r="O1194" s="75">
        <f t="shared" si="360"/>
        <v>42644</v>
      </c>
      <c r="P1194" s="2765" t="s">
        <v>393</v>
      </c>
      <c r="Q1194" s="2954"/>
      <c r="R1194" s="76">
        <v>127.12</v>
      </c>
      <c r="S1194" s="1945" t="s">
        <v>731</v>
      </c>
      <c r="T1194" s="77"/>
      <c r="U1194" s="1893"/>
      <c r="V1194" s="2079">
        <f t="shared" si="358"/>
        <v>0</v>
      </c>
      <c r="W1194" s="78">
        <f t="shared" si="359"/>
        <v>150.0016</v>
      </c>
      <c r="X1194" s="1878" t="str">
        <f t="shared" si="357"/>
        <v xml:space="preserve">4.- C Vikrant 1691205-OT_004110  Transpl Banda 0001-006372 </v>
      </c>
      <c r="Z1194" s="19" t="str">
        <f t="shared" si="355"/>
        <v>Sacar_BandaReenc. MASTERCAUCHO</v>
      </c>
    </row>
    <row r="1195" spans="2:26" ht="15.2" customHeight="1">
      <c r="B1195" s="37"/>
      <c r="E1195" s="66">
        <v>5</v>
      </c>
      <c r="F1195" s="2109" t="s">
        <v>732</v>
      </c>
      <c r="G1195" s="2095" t="s">
        <v>737</v>
      </c>
      <c r="H1195" s="2096" t="s">
        <v>1374</v>
      </c>
      <c r="I1195" s="90" t="s">
        <v>740</v>
      </c>
      <c r="J1195" s="92" t="s">
        <v>727</v>
      </c>
      <c r="K1195" s="243" t="s">
        <v>660</v>
      </c>
      <c r="L1195" s="2099">
        <v>42640</v>
      </c>
      <c r="M1195" s="73" t="s">
        <v>729</v>
      </c>
      <c r="N1195" s="74">
        <v>42644</v>
      </c>
      <c r="O1195" s="75">
        <f t="shared" si="360"/>
        <v>42644</v>
      </c>
      <c r="P1195" s="2765" t="s">
        <v>393</v>
      </c>
      <c r="Q1195" s="2954"/>
      <c r="R1195" s="76">
        <v>127.12</v>
      </c>
      <c r="S1195" s="1945" t="s">
        <v>731</v>
      </c>
      <c r="T1195" s="77"/>
      <c r="U1195" s="1893"/>
      <c r="V1195" s="2079">
        <f t="shared" si="358"/>
        <v>0</v>
      </c>
      <c r="W1195" s="78">
        <f t="shared" si="359"/>
        <v>150.0016</v>
      </c>
      <c r="X1195" s="1878" t="str">
        <f t="shared" si="357"/>
        <v xml:space="preserve">5.- C Vikrant 0440411-OT_004110  Transpl Banda 0001-006372 </v>
      </c>
      <c r="Z1195" s="19" t="str">
        <f t="shared" si="355"/>
        <v>Sacar_BandaReenc. MASTERCAUCHO</v>
      </c>
    </row>
    <row r="1196" spans="2:26" ht="15.2" customHeight="1">
      <c r="B1196" s="37"/>
      <c r="E1196" s="66">
        <v>6</v>
      </c>
      <c r="F1196" s="67" t="s">
        <v>732</v>
      </c>
      <c r="G1196" s="68" t="s">
        <v>733</v>
      </c>
      <c r="H1196" s="69" t="s">
        <v>1399</v>
      </c>
      <c r="I1196" s="68" t="s">
        <v>726</v>
      </c>
      <c r="J1196" s="70" t="s">
        <v>727</v>
      </c>
      <c r="K1196" s="71" t="s">
        <v>660</v>
      </c>
      <c r="L1196" s="72">
        <v>42640</v>
      </c>
      <c r="M1196" s="73" t="s">
        <v>729</v>
      </c>
      <c r="N1196" s="74">
        <v>42644</v>
      </c>
      <c r="O1196" s="75">
        <f t="shared" si="360"/>
        <v>42644</v>
      </c>
      <c r="P1196" s="2765" t="s">
        <v>395</v>
      </c>
      <c r="Q1196" s="2954"/>
      <c r="R1196" s="76">
        <v>0</v>
      </c>
      <c r="S1196" s="1945" t="s">
        <v>731</v>
      </c>
      <c r="T1196" s="1875" t="s">
        <v>394</v>
      </c>
      <c r="U1196" s="1893"/>
      <c r="V1196" s="2079">
        <f t="shared" si="358"/>
        <v>0</v>
      </c>
      <c r="W1196" s="78">
        <f t="shared" si="359"/>
        <v>0</v>
      </c>
      <c r="X1196" s="1878" t="str">
        <f t="shared" si="357"/>
        <v>6.- C Lima Caucho 0860908-OT_004110  Reencauche G0001-001505 Rechazada, G0001-001505</v>
      </c>
      <c r="Z1196" s="19" t="str">
        <f t="shared" si="355"/>
        <v>ReencaucheReencauchadora RENOVA</v>
      </c>
    </row>
    <row r="1197" spans="2:26" ht="15.2" customHeight="1">
      <c r="B1197" s="37"/>
      <c r="E1197" s="66">
        <v>7</v>
      </c>
      <c r="F1197" s="2109" t="s">
        <v>732</v>
      </c>
      <c r="G1197" s="2095" t="s">
        <v>1346</v>
      </c>
      <c r="H1197" s="2096" t="s">
        <v>1347</v>
      </c>
      <c r="I1197" s="90" t="s">
        <v>744</v>
      </c>
      <c r="J1197" s="92" t="s">
        <v>727</v>
      </c>
      <c r="K1197" s="243" t="s">
        <v>660</v>
      </c>
      <c r="L1197" s="2099">
        <v>42640</v>
      </c>
      <c r="M1197" s="73" t="s">
        <v>729</v>
      </c>
      <c r="N1197" s="74">
        <v>42644</v>
      </c>
      <c r="O1197" s="75">
        <f t="shared" si="360"/>
        <v>42644</v>
      </c>
      <c r="P1197" s="2765" t="s">
        <v>395</v>
      </c>
      <c r="Q1197" s="2954"/>
      <c r="R1197" s="76">
        <v>0</v>
      </c>
      <c r="S1197" s="1945" t="s">
        <v>731</v>
      </c>
      <c r="T1197" s="77"/>
      <c r="U1197" s="1893"/>
      <c r="V1197" s="2079">
        <f t="shared" si="358"/>
        <v>0</v>
      </c>
      <c r="W1197" s="78">
        <f t="shared" si="359"/>
        <v>0</v>
      </c>
      <c r="X1197" s="1878" t="str">
        <f t="shared" si="357"/>
        <v xml:space="preserve">7.- C Nexen 1531004-OT_004110  Sacar_Banda G0001-001505 </v>
      </c>
      <c r="Z1197" s="19" t="str">
        <f t="shared" si="355"/>
        <v>ReencaucheReencauchadora RENOVA</v>
      </c>
    </row>
    <row r="1198" spans="2:26" ht="15.2" customHeight="1">
      <c r="B1198" s="37"/>
      <c r="E1198" s="79">
        <v>8</v>
      </c>
      <c r="F1198" s="2157" t="s">
        <v>732</v>
      </c>
      <c r="G1198" s="2100" t="s">
        <v>733</v>
      </c>
      <c r="H1198" s="2101" t="s">
        <v>1012</v>
      </c>
      <c r="I1198" s="114" t="s">
        <v>744</v>
      </c>
      <c r="J1198" s="93" t="s">
        <v>727</v>
      </c>
      <c r="K1198" s="350" t="s">
        <v>660</v>
      </c>
      <c r="L1198" s="2104">
        <v>42640</v>
      </c>
      <c r="M1198" s="86" t="s">
        <v>729</v>
      </c>
      <c r="N1198" s="87">
        <v>42644</v>
      </c>
      <c r="O1198" s="88">
        <f t="shared" si="360"/>
        <v>42644</v>
      </c>
      <c r="P1198" s="2766" t="s">
        <v>395</v>
      </c>
      <c r="Q1198" s="2955"/>
      <c r="R1198" s="89">
        <v>0</v>
      </c>
      <c r="S1198" s="1946" t="s">
        <v>731</v>
      </c>
      <c r="T1198" s="77"/>
      <c r="U1198" s="1893"/>
      <c r="V1198" s="2079">
        <f t="shared" si="358"/>
        <v>0</v>
      </c>
      <c r="W1198" s="78">
        <f t="shared" si="359"/>
        <v>0</v>
      </c>
      <c r="X1198" s="1878" t="str">
        <f t="shared" si="357"/>
        <v xml:space="preserve">8.- C Lima Caucho 0500708-OT_004110  Sacar_Banda G0001-001505 </v>
      </c>
      <c r="Z1198" s="19" t="str">
        <f t="shared" si="355"/>
        <v>ReencaucheReencauchadora RENOVA</v>
      </c>
    </row>
    <row r="1199" spans="2:26" ht="15.2" customHeight="1">
      <c r="B1199" s="37"/>
      <c r="E1199" s="66">
        <v>1</v>
      </c>
      <c r="F1199" s="67" t="s">
        <v>723</v>
      </c>
      <c r="G1199" s="68" t="s">
        <v>724</v>
      </c>
      <c r="H1199" s="69" t="s">
        <v>1438</v>
      </c>
      <c r="I1199" s="68" t="s">
        <v>726</v>
      </c>
      <c r="J1199" s="70" t="s">
        <v>760</v>
      </c>
      <c r="K1199" s="71" t="s">
        <v>1444</v>
      </c>
      <c r="L1199" s="72">
        <v>42632</v>
      </c>
      <c r="M1199" s="100" t="s">
        <v>729</v>
      </c>
      <c r="N1199" s="74">
        <v>42635</v>
      </c>
      <c r="O1199" s="75">
        <v>42635</v>
      </c>
      <c r="P1199" s="2765" t="s">
        <v>1027</v>
      </c>
      <c r="Q1199" s="2954">
        <v>96.34</v>
      </c>
      <c r="R1199" s="76"/>
      <c r="S1199" s="1945" t="s">
        <v>731</v>
      </c>
      <c r="T1199" s="77"/>
      <c r="U1199" s="1893"/>
      <c r="V1199" s="2079">
        <f t="shared" si="358"/>
        <v>113.6812</v>
      </c>
      <c r="W1199" s="78">
        <f t="shared" si="359"/>
        <v>0</v>
      </c>
      <c r="X1199" s="1878" t="str">
        <f t="shared" si="357"/>
        <v xml:space="preserve">1.- R Aeolus 0060114-OT_228162  Reencauche F101-00005266 </v>
      </c>
      <c r="Z1199" s="19" t="str">
        <f t="shared" si="355"/>
        <v>ReencaucheReencauchadora RENOVA</v>
      </c>
    </row>
    <row r="1200" spans="2:26" ht="15.2" customHeight="1">
      <c r="B1200" s="37"/>
      <c r="E1200" s="66">
        <v>2</v>
      </c>
      <c r="F1200" s="67" t="s">
        <v>723</v>
      </c>
      <c r="G1200" s="68" t="s">
        <v>724</v>
      </c>
      <c r="H1200" s="69" t="s">
        <v>1439</v>
      </c>
      <c r="I1200" s="68" t="s">
        <v>726</v>
      </c>
      <c r="J1200" s="70" t="s">
        <v>760</v>
      </c>
      <c r="K1200" s="71" t="s">
        <v>1444</v>
      </c>
      <c r="L1200" s="72">
        <v>42632</v>
      </c>
      <c r="M1200" s="100" t="s">
        <v>729</v>
      </c>
      <c r="N1200" s="74">
        <v>42635</v>
      </c>
      <c r="O1200" s="75">
        <v>42635</v>
      </c>
      <c r="P1200" s="2765" t="s">
        <v>1027</v>
      </c>
      <c r="Q1200" s="2954">
        <v>96.34</v>
      </c>
      <c r="R1200" s="76"/>
      <c r="S1200" s="1945" t="s">
        <v>731</v>
      </c>
      <c r="T1200" s="77"/>
      <c r="U1200" s="1893"/>
      <c r="V1200" s="2079">
        <f t="shared" si="358"/>
        <v>113.6812</v>
      </c>
      <c r="W1200" s="78">
        <f t="shared" si="359"/>
        <v>0</v>
      </c>
      <c r="X1200" s="1878" t="str">
        <f t="shared" si="357"/>
        <v xml:space="preserve">2.- R Aeolus 0040114-OT_228162  Reencauche F101-00005266 </v>
      </c>
      <c r="Z1200" s="19" t="str">
        <f t="shared" si="355"/>
        <v>ReencaucheReencauchadora RENOVA</v>
      </c>
    </row>
    <row r="1201" spans="2:26" ht="15.2" customHeight="1">
      <c r="B1201" s="37"/>
      <c r="E1201" s="66">
        <v>3</v>
      </c>
      <c r="F1201" s="67" t="s">
        <v>723</v>
      </c>
      <c r="G1201" s="68" t="s">
        <v>724</v>
      </c>
      <c r="H1201" s="69" t="s">
        <v>1440</v>
      </c>
      <c r="I1201" s="68" t="s">
        <v>726</v>
      </c>
      <c r="J1201" s="70" t="s">
        <v>760</v>
      </c>
      <c r="K1201" s="71" t="s">
        <v>1444</v>
      </c>
      <c r="L1201" s="72">
        <v>42632</v>
      </c>
      <c r="M1201" s="100" t="s">
        <v>729</v>
      </c>
      <c r="N1201" s="74">
        <v>42635</v>
      </c>
      <c r="O1201" s="75">
        <v>42635</v>
      </c>
      <c r="P1201" s="2765" t="s">
        <v>1027</v>
      </c>
      <c r="Q1201" s="2954">
        <v>96.34</v>
      </c>
      <c r="R1201" s="76"/>
      <c r="S1201" s="1945" t="s">
        <v>731</v>
      </c>
      <c r="T1201" s="77"/>
      <c r="U1201" s="1893"/>
      <c r="V1201" s="2079">
        <f t="shared" si="358"/>
        <v>113.6812</v>
      </c>
      <c r="W1201" s="78">
        <f t="shared" si="359"/>
        <v>0</v>
      </c>
      <c r="X1201" s="1878" t="str">
        <f t="shared" si="357"/>
        <v xml:space="preserve">3.- R Aeolus 0070114-OT_228162  Reencauche F101-00005266 </v>
      </c>
      <c r="Z1201" s="19" t="str">
        <f t="shared" si="355"/>
        <v>ReencaucheReencauchadora RENOVA</v>
      </c>
    </row>
    <row r="1202" spans="2:26" ht="15.2" customHeight="1">
      <c r="B1202" s="37"/>
      <c r="E1202" s="66">
        <v>4</v>
      </c>
      <c r="F1202" s="67" t="s">
        <v>723</v>
      </c>
      <c r="G1202" s="68" t="s">
        <v>724</v>
      </c>
      <c r="H1202" s="69" t="s">
        <v>1456</v>
      </c>
      <c r="I1202" s="68" t="s">
        <v>726</v>
      </c>
      <c r="J1202" s="70" t="s">
        <v>760</v>
      </c>
      <c r="K1202" s="71" t="s">
        <v>1444</v>
      </c>
      <c r="L1202" s="72">
        <v>42632</v>
      </c>
      <c r="M1202" s="100" t="s">
        <v>729</v>
      </c>
      <c r="N1202" s="74">
        <v>42635</v>
      </c>
      <c r="O1202" s="75">
        <v>42635</v>
      </c>
      <c r="P1202" s="2765" t="s">
        <v>1027</v>
      </c>
      <c r="Q1202" s="2954">
        <v>96.34</v>
      </c>
      <c r="R1202" s="76"/>
      <c r="S1202" s="1945" t="s">
        <v>731</v>
      </c>
      <c r="T1202" s="77"/>
      <c r="U1202" s="1893"/>
      <c r="V1202" s="2079">
        <f t="shared" si="358"/>
        <v>113.6812</v>
      </c>
      <c r="W1202" s="78">
        <f t="shared" si="359"/>
        <v>0</v>
      </c>
      <c r="X1202" s="1878" t="str">
        <f t="shared" si="357"/>
        <v xml:space="preserve">4.- R Aeolus 0090612-OT_228162  Reencauche F101-00005266 </v>
      </c>
      <c r="Z1202" s="19" t="str">
        <f t="shared" si="355"/>
        <v>ReencaucheReencauchadora RENOVA</v>
      </c>
    </row>
    <row r="1203" spans="2:26" ht="15.2" customHeight="1">
      <c r="B1203" s="37"/>
      <c r="E1203" s="66">
        <v>5</v>
      </c>
      <c r="F1203" s="67" t="s">
        <v>723</v>
      </c>
      <c r="G1203" s="68" t="s">
        <v>724</v>
      </c>
      <c r="H1203" s="69" t="s">
        <v>1540</v>
      </c>
      <c r="I1203" s="68" t="s">
        <v>726</v>
      </c>
      <c r="J1203" s="70" t="s">
        <v>760</v>
      </c>
      <c r="K1203" s="71" t="s">
        <v>1444</v>
      </c>
      <c r="L1203" s="72">
        <v>42632</v>
      </c>
      <c r="M1203" s="100" t="s">
        <v>729</v>
      </c>
      <c r="N1203" s="74">
        <v>42635</v>
      </c>
      <c r="O1203" s="75">
        <v>42635</v>
      </c>
      <c r="P1203" s="2765" t="s">
        <v>1027</v>
      </c>
      <c r="Q1203" s="2954">
        <v>96.34</v>
      </c>
      <c r="R1203" s="76"/>
      <c r="S1203" s="1945" t="s">
        <v>731</v>
      </c>
      <c r="T1203" s="77"/>
      <c r="U1203" s="1893"/>
      <c r="V1203" s="2079">
        <f t="shared" si="358"/>
        <v>113.6812</v>
      </c>
      <c r="W1203" s="78">
        <f t="shared" si="359"/>
        <v>0</v>
      </c>
      <c r="X1203" s="1878" t="str">
        <f t="shared" si="357"/>
        <v xml:space="preserve">5.- R Aeolus 0120612-OT_228162  Reencauche F101-00005266 </v>
      </c>
      <c r="Z1203" s="19" t="str">
        <f t="shared" si="355"/>
        <v>ReencaucheReencauchadora RENOVA</v>
      </c>
    </row>
    <row r="1204" spans="2:26" ht="15.2" customHeight="1">
      <c r="B1204" s="37"/>
      <c r="E1204" s="66">
        <v>6</v>
      </c>
      <c r="F1204" s="67" t="s">
        <v>723</v>
      </c>
      <c r="G1204" s="68" t="s">
        <v>724</v>
      </c>
      <c r="H1204" s="69" t="s">
        <v>1441</v>
      </c>
      <c r="I1204" s="68" t="s">
        <v>726</v>
      </c>
      <c r="J1204" s="70" t="s">
        <v>760</v>
      </c>
      <c r="K1204" s="71" t="s">
        <v>1444</v>
      </c>
      <c r="L1204" s="72">
        <v>42632</v>
      </c>
      <c r="M1204" s="100" t="s">
        <v>729</v>
      </c>
      <c r="N1204" s="74">
        <v>42635</v>
      </c>
      <c r="O1204" s="75">
        <v>42635</v>
      </c>
      <c r="P1204" s="2765" t="s">
        <v>1027</v>
      </c>
      <c r="Q1204" s="2954">
        <v>96.34</v>
      </c>
      <c r="R1204" s="76"/>
      <c r="S1204" s="1945" t="s">
        <v>731</v>
      </c>
      <c r="T1204" s="77"/>
      <c r="U1204" s="1893"/>
      <c r="V1204" s="2079">
        <f t="shared" si="358"/>
        <v>113.6812</v>
      </c>
      <c r="W1204" s="78">
        <f t="shared" si="359"/>
        <v>0</v>
      </c>
      <c r="X1204" s="1878" t="str">
        <f t="shared" si="357"/>
        <v xml:space="preserve">6.- R Aeolus 0080114-OT_228162  Reencauche F101-00005266 </v>
      </c>
      <c r="Z1204" s="19" t="str">
        <f t="shared" si="355"/>
        <v>ReencaucheReencauchadora RENOVA</v>
      </c>
    </row>
    <row r="1205" spans="2:26" ht="15.2" customHeight="1">
      <c r="B1205" s="37"/>
      <c r="E1205" s="66">
        <v>7</v>
      </c>
      <c r="F1205" s="67" t="s">
        <v>723</v>
      </c>
      <c r="G1205" s="68" t="s">
        <v>724</v>
      </c>
      <c r="H1205" s="69" t="s">
        <v>1442</v>
      </c>
      <c r="I1205" s="68" t="s">
        <v>726</v>
      </c>
      <c r="J1205" s="70" t="s">
        <v>760</v>
      </c>
      <c r="K1205" s="71" t="s">
        <v>1444</v>
      </c>
      <c r="L1205" s="72">
        <v>42632</v>
      </c>
      <c r="M1205" s="100" t="s">
        <v>729</v>
      </c>
      <c r="N1205" s="74">
        <v>42635</v>
      </c>
      <c r="O1205" s="75">
        <v>42635</v>
      </c>
      <c r="P1205" s="2765" t="s">
        <v>1027</v>
      </c>
      <c r="Q1205" s="2954">
        <v>96.34</v>
      </c>
      <c r="R1205" s="76"/>
      <c r="S1205" s="1945" t="s">
        <v>731</v>
      </c>
      <c r="T1205" s="77"/>
      <c r="U1205" s="1893"/>
      <c r="V1205" s="2079">
        <f t="shared" si="358"/>
        <v>113.6812</v>
      </c>
      <c r="W1205" s="78">
        <f t="shared" si="359"/>
        <v>0</v>
      </c>
      <c r="X1205" s="1878" t="str">
        <f t="shared" si="357"/>
        <v xml:space="preserve">7.- R Aeolus 0030114-OT_228162  Reencauche F101-00005266 </v>
      </c>
      <c r="Z1205" s="19" t="str">
        <f t="shared" si="355"/>
        <v>ReencaucheReencauchadora RENOVA</v>
      </c>
    </row>
    <row r="1206" spans="2:26" ht="15.2" customHeight="1">
      <c r="B1206" s="37"/>
      <c r="E1206" s="79">
        <v>8</v>
      </c>
      <c r="F1206" s="80" t="s">
        <v>723</v>
      </c>
      <c r="G1206" s="81" t="s">
        <v>724</v>
      </c>
      <c r="H1206" s="82" t="s">
        <v>1443</v>
      </c>
      <c r="I1206" s="81" t="s">
        <v>726</v>
      </c>
      <c r="J1206" s="83" t="s">
        <v>760</v>
      </c>
      <c r="K1206" s="84" t="s">
        <v>1444</v>
      </c>
      <c r="L1206" s="85">
        <v>42632</v>
      </c>
      <c r="M1206" s="110" t="s">
        <v>729</v>
      </c>
      <c r="N1206" s="87">
        <v>42635</v>
      </c>
      <c r="O1206" s="88">
        <v>42635</v>
      </c>
      <c r="P1206" s="2766" t="s">
        <v>1027</v>
      </c>
      <c r="Q1206" s="2955">
        <v>96.34</v>
      </c>
      <c r="R1206" s="89"/>
      <c r="S1206" s="1946" t="s">
        <v>731</v>
      </c>
      <c r="T1206" s="77"/>
      <c r="U1206" s="1893"/>
      <c r="V1206" s="2079">
        <f t="shared" si="358"/>
        <v>113.6812</v>
      </c>
      <c r="W1206" s="78">
        <f t="shared" si="359"/>
        <v>0</v>
      </c>
      <c r="X1206" s="1878" t="str">
        <f t="shared" si="357"/>
        <v xml:space="preserve">8.- R Aeolus 0451214-OT_228162  Reencauche F101-00005266 </v>
      </c>
      <c r="Z1206" s="19" t="str">
        <f t="shared" si="355"/>
        <v>ReencaucheReencauchadora RENOVA</v>
      </c>
    </row>
    <row r="1207" spans="2:26" ht="15.2" customHeight="1">
      <c r="B1207" s="37"/>
      <c r="E1207" s="66">
        <v>9</v>
      </c>
      <c r="F1207" s="67" t="s">
        <v>732</v>
      </c>
      <c r="G1207" s="68" t="s">
        <v>737</v>
      </c>
      <c r="H1207" s="69" t="s">
        <v>1705</v>
      </c>
      <c r="I1207" s="68" t="s">
        <v>726</v>
      </c>
      <c r="J1207" s="70" t="s">
        <v>760</v>
      </c>
      <c r="K1207" s="71" t="s">
        <v>1445</v>
      </c>
      <c r="L1207" s="72">
        <v>42632</v>
      </c>
      <c r="M1207" s="100" t="s">
        <v>729</v>
      </c>
      <c r="N1207" s="74">
        <v>42635</v>
      </c>
      <c r="O1207" s="75">
        <v>42635</v>
      </c>
      <c r="P1207" s="2765" t="s">
        <v>1027</v>
      </c>
      <c r="Q1207" s="2954">
        <v>90.26</v>
      </c>
      <c r="R1207" s="76"/>
      <c r="S1207" s="1945" t="s">
        <v>731</v>
      </c>
      <c r="T1207" s="77"/>
      <c r="U1207" s="1893"/>
      <c r="V1207" s="2079">
        <f t="shared" si="358"/>
        <v>106.5068</v>
      </c>
      <c r="W1207" s="78">
        <f t="shared" si="359"/>
        <v>0</v>
      </c>
      <c r="X1207" s="1878" t="str">
        <f t="shared" si="357"/>
        <v xml:space="preserve">9.- C Vikrant 0690809-OT_228163  Reencauche F101-00005266 </v>
      </c>
      <c r="Z1207" s="19" t="str">
        <f t="shared" si="355"/>
        <v>ReencaucheReencauchadora RENOVA</v>
      </c>
    </row>
    <row r="1208" spans="2:26" ht="15.2" customHeight="1">
      <c r="B1208" s="37"/>
      <c r="E1208" s="66">
        <v>10</v>
      </c>
      <c r="F1208" s="67" t="s">
        <v>732</v>
      </c>
      <c r="G1208" s="68" t="s">
        <v>757</v>
      </c>
      <c r="H1208" s="69" t="s">
        <v>1288</v>
      </c>
      <c r="I1208" s="68" t="s">
        <v>726</v>
      </c>
      <c r="J1208" s="70" t="s">
        <v>760</v>
      </c>
      <c r="K1208" s="71" t="s">
        <v>1445</v>
      </c>
      <c r="L1208" s="72">
        <v>42632</v>
      </c>
      <c r="M1208" s="100" t="s">
        <v>729</v>
      </c>
      <c r="N1208" s="74">
        <v>42635</v>
      </c>
      <c r="O1208" s="75">
        <v>42635</v>
      </c>
      <c r="P1208" s="2765" t="s">
        <v>1027</v>
      </c>
      <c r="Q1208" s="2954">
        <v>90.26</v>
      </c>
      <c r="R1208" s="76"/>
      <c r="S1208" s="1945" t="s">
        <v>731</v>
      </c>
      <c r="T1208" s="77"/>
      <c r="U1208" s="1893"/>
      <c r="V1208" s="2079">
        <f t="shared" si="358"/>
        <v>106.5068</v>
      </c>
      <c r="W1208" s="78">
        <f t="shared" si="359"/>
        <v>0</v>
      </c>
      <c r="X1208" s="1878" t="str">
        <f t="shared" si="357"/>
        <v xml:space="preserve">10.- C Goodyear 0200205-OT_228163  Reencauche F101-00005266 </v>
      </c>
      <c r="Z1208" s="19" t="str">
        <f t="shared" si="355"/>
        <v>ReencaucheReenc. MASTERCAUCHO</v>
      </c>
    </row>
    <row r="1209" spans="2:26" ht="15.2" customHeight="1">
      <c r="B1209" s="37"/>
      <c r="E1209" s="66">
        <v>11</v>
      </c>
      <c r="F1209" s="67" t="s">
        <v>732</v>
      </c>
      <c r="G1209" s="68" t="s">
        <v>737</v>
      </c>
      <c r="H1209" s="69" t="s">
        <v>1436</v>
      </c>
      <c r="I1209" s="68" t="s">
        <v>726</v>
      </c>
      <c r="J1209" s="70" t="s">
        <v>760</v>
      </c>
      <c r="K1209" s="71" t="s">
        <v>1445</v>
      </c>
      <c r="L1209" s="72">
        <v>42632</v>
      </c>
      <c r="M1209" s="100" t="s">
        <v>729</v>
      </c>
      <c r="N1209" s="74">
        <v>42635</v>
      </c>
      <c r="O1209" s="75">
        <v>42635</v>
      </c>
      <c r="P1209" s="2776" t="s">
        <v>1028</v>
      </c>
      <c r="Q1209" s="2954">
        <v>0</v>
      </c>
      <c r="R1209" s="76"/>
      <c r="S1209" s="1945" t="s">
        <v>731</v>
      </c>
      <c r="T1209" s="1875" t="s">
        <v>1029</v>
      </c>
      <c r="U1209" s="1893"/>
      <c r="V1209" s="2079">
        <f t="shared" si="358"/>
        <v>0</v>
      </c>
      <c r="W1209" s="78">
        <f t="shared" si="359"/>
        <v>0</v>
      </c>
      <c r="X1209" s="1878" t="str">
        <f t="shared" si="357"/>
        <v>11.- C Vikrant 1691205-OT_228163  Reencauche G031-0020075 Rechazada, G031-0020075</v>
      </c>
      <c r="Z1209" s="19" t="str">
        <f t="shared" si="355"/>
        <v>ReencaucheReenc. MASTERCAUCHO</v>
      </c>
    </row>
    <row r="1210" spans="2:26" ht="15.2" customHeight="1">
      <c r="B1210" s="37"/>
      <c r="E1210" s="79">
        <v>12</v>
      </c>
      <c r="F1210" s="3150" t="s">
        <v>732</v>
      </c>
      <c r="G1210" s="2576" t="s">
        <v>757</v>
      </c>
      <c r="H1210" s="2577" t="s">
        <v>1161</v>
      </c>
      <c r="I1210" s="2576" t="s">
        <v>726</v>
      </c>
      <c r="J1210" s="2578" t="s">
        <v>760</v>
      </c>
      <c r="K1210" s="2579" t="s">
        <v>1445</v>
      </c>
      <c r="L1210" s="2580">
        <v>42632</v>
      </c>
      <c r="M1210" s="3132" t="s">
        <v>729</v>
      </c>
      <c r="N1210" s="2582">
        <v>42661</v>
      </c>
      <c r="O1210" s="2583">
        <v>42661</v>
      </c>
      <c r="P1210" s="2941" t="s">
        <v>1717</v>
      </c>
      <c r="Q1210" s="2957">
        <v>90.26</v>
      </c>
      <c r="R1210" s="2584"/>
      <c r="S1210" s="2585" t="s">
        <v>731</v>
      </c>
      <c r="T1210" s="77"/>
      <c r="U1210" s="1893"/>
      <c r="V1210" s="2079">
        <f t="shared" si="358"/>
        <v>106.5068</v>
      </c>
      <c r="W1210" s="78">
        <f t="shared" si="359"/>
        <v>0</v>
      </c>
      <c r="X1210" s="1878" t="str">
        <f t="shared" si="357"/>
        <v xml:space="preserve">12.- C Goodyear 1110704-OT_228163  Reencauche F101-00005687 </v>
      </c>
      <c r="Z1210" s="19" t="str">
        <f t="shared" si="355"/>
        <v>ReencaucheReenc. MASTERCAUCHO</v>
      </c>
    </row>
    <row r="1211" spans="2:26" ht="15.2" customHeight="1">
      <c r="B1211" s="37"/>
      <c r="E1211" s="66">
        <v>1</v>
      </c>
      <c r="F1211" s="67" t="s">
        <v>732</v>
      </c>
      <c r="G1211" s="68" t="s">
        <v>733</v>
      </c>
      <c r="H1211" s="69" t="s">
        <v>1737</v>
      </c>
      <c r="I1211" s="68" t="s">
        <v>726</v>
      </c>
      <c r="J1211" s="70" t="s">
        <v>727</v>
      </c>
      <c r="K1211" s="71" t="s">
        <v>2185</v>
      </c>
      <c r="L1211" s="72">
        <v>42621</v>
      </c>
      <c r="M1211" s="73" t="s">
        <v>729</v>
      </c>
      <c r="N1211" s="74">
        <v>42630</v>
      </c>
      <c r="O1211" s="75">
        <f>+N1211</f>
        <v>42630</v>
      </c>
      <c r="P1211" s="2765" t="s">
        <v>1861</v>
      </c>
      <c r="Q1211" s="2954"/>
      <c r="R1211" s="76">
        <v>262.70999999999998</v>
      </c>
      <c r="S1211" s="1945" t="s">
        <v>731</v>
      </c>
      <c r="T1211" s="77"/>
      <c r="U1211" s="1893"/>
      <c r="V1211" s="2079">
        <f t="shared" si="358"/>
        <v>0</v>
      </c>
      <c r="W1211" s="78">
        <f t="shared" si="359"/>
        <v>309.99779999999998</v>
      </c>
      <c r="X1211" s="1878" t="str">
        <f t="shared" si="357"/>
        <v xml:space="preserve">1.- C Lima Caucho 0280507-OT_004204  Reencauche 0001-006277 </v>
      </c>
      <c r="Z1211" s="19" t="str">
        <f t="shared" si="355"/>
        <v>ReencaucheReenc. MASTERCAUCHO</v>
      </c>
    </row>
    <row r="1212" spans="2:26" ht="15.2" customHeight="1">
      <c r="B1212" s="37"/>
      <c r="E1212" s="66">
        <v>2</v>
      </c>
      <c r="F1212" s="67" t="s">
        <v>732</v>
      </c>
      <c r="G1212" s="68" t="s">
        <v>733</v>
      </c>
      <c r="H1212" s="69" t="s">
        <v>1266</v>
      </c>
      <c r="I1212" s="68" t="s">
        <v>726</v>
      </c>
      <c r="J1212" s="70" t="s">
        <v>727</v>
      </c>
      <c r="K1212" s="71" t="s">
        <v>2185</v>
      </c>
      <c r="L1212" s="72">
        <v>42621</v>
      </c>
      <c r="M1212" s="73" t="s">
        <v>729</v>
      </c>
      <c r="N1212" s="74">
        <v>42630</v>
      </c>
      <c r="O1212" s="75">
        <v>42630</v>
      </c>
      <c r="P1212" s="2765" t="s">
        <v>1861</v>
      </c>
      <c r="Q1212" s="2954"/>
      <c r="R1212" s="76">
        <v>262.70999999999998</v>
      </c>
      <c r="S1212" s="1945" t="s">
        <v>731</v>
      </c>
      <c r="T1212" s="77"/>
      <c r="U1212" s="1893"/>
      <c r="V1212" s="2079">
        <f t="shared" si="358"/>
        <v>0</v>
      </c>
      <c r="W1212" s="78">
        <f t="shared" si="359"/>
        <v>309.99779999999998</v>
      </c>
      <c r="X1212" s="1878" t="str">
        <f t="shared" si="357"/>
        <v xml:space="preserve">2.- C Lima Caucho 0990908-OT_004204  Reencauche 0001-006277 </v>
      </c>
      <c r="Z1212" s="19" t="str">
        <f t="shared" si="355"/>
        <v>ReencaucheReenc. MASTERCAUCHO</v>
      </c>
    </row>
    <row r="1213" spans="2:26" ht="15.2" customHeight="1">
      <c r="B1213" s="37"/>
      <c r="E1213" s="66">
        <v>3</v>
      </c>
      <c r="F1213" s="67" t="s">
        <v>732</v>
      </c>
      <c r="G1213" s="68" t="s">
        <v>733</v>
      </c>
      <c r="H1213" s="69" t="s">
        <v>1058</v>
      </c>
      <c r="I1213" s="68" t="s">
        <v>726</v>
      </c>
      <c r="J1213" s="70" t="s">
        <v>727</v>
      </c>
      <c r="K1213" s="71" t="s">
        <v>2185</v>
      </c>
      <c r="L1213" s="72">
        <v>42621</v>
      </c>
      <c r="M1213" s="73" t="s">
        <v>729</v>
      </c>
      <c r="N1213" s="74">
        <v>42630</v>
      </c>
      <c r="O1213" s="75">
        <v>42630</v>
      </c>
      <c r="P1213" s="2765" t="s">
        <v>1861</v>
      </c>
      <c r="Q1213" s="2954"/>
      <c r="R1213" s="76">
        <v>262.70999999999998</v>
      </c>
      <c r="S1213" s="1945" t="s">
        <v>731</v>
      </c>
      <c r="T1213" s="77"/>
      <c r="U1213" s="1893"/>
      <c r="V1213" s="2079">
        <f t="shared" si="358"/>
        <v>0</v>
      </c>
      <c r="W1213" s="78">
        <f t="shared" si="359"/>
        <v>309.99779999999998</v>
      </c>
      <c r="X1213" s="1878" t="str">
        <f t="shared" si="357"/>
        <v xml:space="preserve">3.- C Lima Caucho 050805208-OT_004204  Reencauche 0001-006277 </v>
      </c>
      <c r="Z1213" s="19" t="str">
        <f t="shared" si="355"/>
        <v>ReencaucheReenc. MASTERCAUCHO</v>
      </c>
    </row>
    <row r="1214" spans="2:26" ht="15.2" customHeight="1">
      <c r="B1214" s="37"/>
      <c r="E1214" s="66">
        <v>4</v>
      </c>
      <c r="F1214" s="67" t="s">
        <v>732</v>
      </c>
      <c r="G1214" s="68" t="s">
        <v>733</v>
      </c>
      <c r="H1214" s="69" t="s">
        <v>891</v>
      </c>
      <c r="I1214" s="68" t="s">
        <v>726</v>
      </c>
      <c r="J1214" s="70" t="s">
        <v>727</v>
      </c>
      <c r="K1214" s="71" t="s">
        <v>2185</v>
      </c>
      <c r="L1214" s="72">
        <v>42621</v>
      </c>
      <c r="M1214" s="73" t="s">
        <v>729</v>
      </c>
      <c r="N1214" s="74">
        <v>42630</v>
      </c>
      <c r="O1214" s="75">
        <v>42630</v>
      </c>
      <c r="P1214" s="2765" t="s">
        <v>1861</v>
      </c>
      <c r="Q1214" s="2954"/>
      <c r="R1214" s="76">
        <v>262.70999999999998</v>
      </c>
      <c r="S1214" s="1945" t="s">
        <v>731</v>
      </c>
      <c r="T1214" s="77"/>
      <c r="U1214" s="1893"/>
      <c r="V1214" s="2079">
        <f t="shared" si="358"/>
        <v>0</v>
      </c>
      <c r="W1214" s="78">
        <f t="shared" si="359"/>
        <v>309.99779999999998</v>
      </c>
      <c r="X1214" s="1878" t="str">
        <f t="shared" si="357"/>
        <v xml:space="preserve">4.- C Lima Caucho 1171210-OT_004204  Reencauche 0001-006277 </v>
      </c>
      <c r="Z1214" s="19" t="str">
        <f t="shared" si="355"/>
        <v>Vulcanizado (curación)Reenc. MASTERCAUCHO</v>
      </c>
    </row>
    <row r="1215" spans="2:26" ht="15.2" customHeight="1">
      <c r="B1215" s="37"/>
      <c r="E1215" s="66">
        <v>5</v>
      </c>
      <c r="F1215" s="67" t="s">
        <v>732</v>
      </c>
      <c r="G1215" s="68" t="s">
        <v>757</v>
      </c>
      <c r="H1215" s="69" t="s">
        <v>76</v>
      </c>
      <c r="I1215" s="68" t="s">
        <v>726</v>
      </c>
      <c r="J1215" s="70" t="s">
        <v>727</v>
      </c>
      <c r="K1215" s="71" t="s">
        <v>2185</v>
      </c>
      <c r="L1215" s="72">
        <v>42621</v>
      </c>
      <c r="M1215" s="73" t="s">
        <v>729</v>
      </c>
      <c r="N1215" s="74">
        <v>42630</v>
      </c>
      <c r="O1215" s="75">
        <f>+N1215</f>
        <v>42630</v>
      </c>
      <c r="P1215" s="2765" t="s">
        <v>1862</v>
      </c>
      <c r="Q1215" s="2954"/>
      <c r="R1215" s="76">
        <v>0</v>
      </c>
      <c r="S1215" s="1945" t="s">
        <v>731</v>
      </c>
      <c r="T1215" s="1875" t="s">
        <v>1863</v>
      </c>
      <c r="U1215" s="1893"/>
      <c r="V1215" s="2079">
        <f t="shared" si="358"/>
        <v>0</v>
      </c>
      <c r="W1215" s="78">
        <f t="shared" si="359"/>
        <v>0</v>
      </c>
      <c r="X1215" s="1878" t="str">
        <f t="shared" si="357"/>
        <v>5.- C Goodyear 067112002-OT_004204  Reencauche G_0001-001257 Rechazada, G0001-001357</v>
      </c>
      <c r="Z1215" s="19" t="str">
        <f t="shared" si="355"/>
        <v>Vulcanizado (curación)Reenc. MASTERCAUCHO</v>
      </c>
    </row>
    <row r="1216" spans="2:26" ht="15.2" customHeight="1">
      <c r="B1216" s="37"/>
      <c r="E1216" s="2155">
        <v>6</v>
      </c>
      <c r="F1216" s="2156" t="s">
        <v>732</v>
      </c>
      <c r="G1216" s="163" t="s">
        <v>757</v>
      </c>
      <c r="H1216" s="164" t="s">
        <v>2183</v>
      </c>
      <c r="I1216" s="163" t="s">
        <v>726</v>
      </c>
      <c r="J1216" s="165" t="s">
        <v>727</v>
      </c>
      <c r="K1216" s="166" t="s">
        <v>2185</v>
      </c>
      <c r="L1216" s="167">
        <v>42621</v>
      </c>
      <c r="M1216" s="168" t="s">
        <v>729</v>
      </c>
      <c r="N1216" s="169">
        <v>42630</v>
      </c>
      <c r="O1216" s="170">
        <f>+N1216</f>
        <v>42630</v>
      </c>
      <c r="P1216" s="2780" t="s">
        <v>1862</v>
      </c>
      <c r="Q1216" s="2969"/>
      <c r="R1216" s="171">
        <v>0</v>
      </c>
      <c r="S1216" s="1951" t="s">
        <v>731</v>
      </c>
      <c r="T1216" s="1875" t="s">
        <v>1863</v>
      </c>
      <c r="U1216" s="1893"/>
      <c r="V1216" s="2079">
        <f t="shared" si="358"/>
        <v>0</v>
      </c>
      <c r="W1216" s="78">
        <f t="shared" si="359"/>
        <v>0</v>
      </c>
      <c r="X1216" s="1878" t="str">
        <f t="shared" si="357"/>
        <v>6.- C Goodyear 0900404-OT_004204  Reencauche G_0001-001257 Rechazada, G0001-001357</v>
      </c>
      <c r="Z1216" s="19" t="str">
        <f t="shared" ref="Z1216:Z1226" si="361">CONCATENATE(I1219,J1219)</f>
        <v>Vulcanizado (curación)Reenc. MASTERCAUCHO</v>
      </c>
    </row>
    <row r="1217" spans="2:26" ht="15.2" customHeight="1">
      <c r="B1217" s="37"/>
      <c r="E1217" s="66">
        <v>7</v>
      </c>
      <c r="F1217" s="67" t="s">
        <v>732</v>
      </c>
      <c r="G1217" s="68" t="s">
        <v>737</v>
      </c>
      <c r="H1217" s="69" t="s">
        <v>1167</v>
      </c>
      <c r="I1217" s="68" t="s">
        <v>811</v>
      </c>
      <c r="J1217" s="70" t="s">
        <v>727</v>
      </c>
      <c r="K1217" s="71" t="s">
        <v>2185</v>
      </c>
      <c r="L1217" s="72">
        <v>42621</v>
      </c>
      <c r="M1217" s="73" t="s">
        <v>729</v>
      </c>
      <c r="N1217" s="74">
        <v>42625</v>
      </c>
      <c r="O1217" s="75">
        <f>+N1217</f>
        <v>42625</v>
      </c>
      <c r="P1217" s="2765" t="s">
        <v>2186</v>
      </c>
      <c r="Q1217" s="2954"/>
      <c r="R1217" s="76">
        <v>105.93</v>
      </c>
      <c r="S1217" s="1945" t="s">
        <v>731</v>
      </c>
      <c r="T1217" s="77"/>
      <c r="U1217" s="1893"/>
      <c r="V1217" s="2079">
        <f t="shared" si="358"/>
        <v>0</v>
      </c>
      <c r="W1217" s="78">
        <f t="shared" si="359"/>
        <v>124.9974</v>
      </c>
      <c r="X1217" s="1878" t="str">
        <f t="shared" si="357"/>
        <v xml:space="preserve">7.- C Vikrant 0270410-OT_004204  Vulcanizado (curación) 0001-006254 </v>
      </c>
      <c r="Z1217" s="19" t="str">
        <f t="shared" si="361"/>
        <v>Vulcanizado (curación)Reenc. MASTERCAUCHO</v>
      </c>
    </row>
    <row r="1218" spans="2:26" ht="15.2" customHeight="1">
      <c r="B1218" s="37"/>
      <c r="E1218" s="66">
        <v>8</v>
      </c>
      <c r="F1218" s="67" t="s">
        <v>732</v>
      </c>
      <c r="G1218" s="68" t="s">
        <v>733</v>
      </c>
      <c r="H1218" s="69" t="s">
        <v>2184</v>
      </c>
      <c r="I1218" s="68" t="s">
        <v>811</v>
      </c>
      <c r="J1218" s="70" t="s">
        <v>727</v>
      </c>
      <c r="K1218" s="71" t="s">
        <v>2185</v>
      </c>
      <c r="L1218" s="72">
        <v>42621</v>
      </c>
      <c r="M1218" s="73" t="s">
        <v>729</v>
      </c>
      <c r="N1218" s="74">
        <v>42625</v>
      </c>
      <c r="O1218" s="75">
        <v>42625</v>
      </c>
      <c r="P1218" s="2765" t="s">
        <v>2186</v>
      </c>
      <c r="Q1218" s="2954"/>
      <c r="R1218" s="76">
        <v>105.93</v>
      </c>
      <c r="S1218" s="1945" t="s">
        <v>731</v>
      </c>
      <c r="T1218" s="77"/>
      <c r="U1218" s="1893"/>
      <c r="V1218" s="2079">
        <f t="shared" si="358"/>
        <v>0</v>
      </c>
      <c r="W1218" s="78">
        <f t="shared" si="359"/>
        <v>124.9974</v>
      </c>
      <c r="X1218" s="1878" t="str">
        <f t="shared" si="357"/>
        <v xml:space="preserve">8.- C Lima Caucho 109128-OT_004204  Vulcanizado (curación) 0001-006254 </v>
      </c>
      <c r="Z1218" s="19" t="str">
        <f t="shared" si="361"/>
        <v>Vulcanizado (curación)Reenc. MASTERCAUCHO</v>
      </c>
    </row>
    <row r="1219" spans="2:26" ht="15.2" customHeight="1">
      <c r="B1219" s="37"/>
      <c r="E1219" s="66">
        <v>9</v>
      </c>
      <c r="F1219" s="67" t="s">
        <v>732</v>
      </c>
      <c r="G1219" s="68" t="s">
        <v>733</v>
      </c>
      <c r="H1219" s="69" t="s">
        <v>886</v>
      </c>
      <c r="I1219" s="68" t="s">
        <v>811</v>
      </c>
      <c r="J1219" s="70" t="s">
        <v>727</v>
      </c>
      <c r="K1219" s="71" t="s">
        <v>2185</v>
      </c>
      <c r="L1219" s="72">
        <v>42621</v>
      </c>
      <c r="M1219" s="73" t="s">
        <v>729</v>
      </c>
      <c r="N1219" s="74">
        <v>42625</v>
      </c>
      <c r="O1219" s="75">
        <v>42625</v>
      </c>
      <c r="P1219" s="2765" t="s">
        <v>2186</v>
      </c>
      <c r="Q1219" s="2954"/>
      <c r="R1219" s="76">
        <v>105.93</v>
      </c>
      <c r="S1219" s="1945" t="s">
        <v>731</v>
      </c>
      <c r="T1219" s="77"/>
      <c r="U1219" s="1893"/>
      <c r="V1219" s="2079">
        <f t="shared" si="358"/>
        <v>0</v>
      </c>
      <c r="W1219" s="78">
        <f t="shared" si="359"/>
        <v>124.9974</v>
      </c>
      <c r="X1219" s="1878" t="str">
        <f t="shared" si="357"/>
        <v xml:space="preserve">9.- C Lima Caucho 0800910-OT_004204  Vulcanizado (curación) 0001-006254 </v>
      </c>
      <c r="Z1219" s="19" t="str">
        <f t="shared" si="361"/>
        <v>ReencaucheReencauchadora RENOVA</v>
      </c>
    </row>
    <row r="1220" spans="2:26" ht="15.2" customHeight="1">
      <c r="B1220" s="37"/>
      <c r="E1220" s="66">
        <v>10</v>
      </c>
      <c r="F1220" s="67" t="s">
        <v>732</v>
      </c>
      <c r="G1220" s="68" t="s">
        <v>733</v>
      </c>
      <c r="H1220" s="69" t="s">
        <v>813</v>
      </c>
      <c r="I1220" s="68" t="s">
        <v>811</v>
      </c>
      <c r="J1220" s="70" t="s">
        <v>727</v>
      </c>
      <c r="K1220" s="71" t="s">
        <v>2185</v>
      </c>
      <c r="L1220" s="72">
        <v>42621</v>
      </c>
      <c r="M1220" s="73" t="s">
        <v>729</v>
      </c>
      <c r="N1220" s="74">
        <v>42625</v>
      </c>
      <c r="O1220" s="75">
        <v>42625</v>
      </c>
      <c r="P1220" s="2765" t="s">
        <v>2186</v>
      </c>
      <c r="Q1220" s="2954"/>
      <c r="R1220" s="76">
        <v>105.93</v>
      </c>
      <c r="S1220" s="1945" t="s">
        <v>731</v>
      </c>
      <c r="T1220" s="77"/>
      <c r="U1220" s="1893"/>
      <c r="V1220" s="2079">
        <f t="shared" si="358"/>
        <v>0</v>
      </c>
      <c r="W1220" s="78">
        <f t="shared" si="359"/>
        <v>124.9974</v>
      </c>
      <c r="X1220" s="1878" t="str">
        <f t="shared" si="357"/>
        <v xml:space="preserve">10.- C Lima Caucho 0971210-OT_004204  Vulcanizado (curación) 0001-006254 </v>
      </c>
      <c r="Z1220" s="19" t="str">
        <f t="shared" si="361"/>
        <v>ReencaucheReencauchadora RENOVA</v>
      </c>
    </row>
    <row r="1221" spans="2:26" ht="15.2" customHeight="1">
      <c r="B1221" s="37"/>
      <c r="E1221" s="79">
        <v>11</v>
      </c>
      <c r="F1221" s="80" t="s">
        <v>732</v>
      </c>
      <c r="G1221" s="81" t="s">
        <v>733</v>
      </c>
      <c r="H1221" s="82" t="s">
        <v>985</v>
      </c>
      <c r="I1221" s="81" t="s">
        <v>811</v>
      </c>
      <c r="J1221" s="83" t="s">
        <v>727</v>
      </c>
      <c r="K1221" s="84" t="s">
        <v>2185</v>
      </c>
      <c r="L1221" s="85">
        <v>42621</v>
      </c>
      <c r="M1221" s="86" t="s">
        <v>729</v>
      </c>
      <c r="N1221" s="87">
        <v>42625</v>
      </c>
      <c r="O1221" s="88">
        <v>42625</v>
      </c>
      <c r="P1221" s="2766" t="s">
        <v>2186</v>
      </c>
      <c r="Q1221" s="2955"/>
      <c r="R1221" s="89">
        <v>105.93</v>
      </c>
      <c r="S1221" s="1946" t="s">
        <v>731</v>
      </c>
      <c r="T1221" s="77"/>
      <c r="U1221" s="1893"/>
      <c r="V1221" s="2079">
        <f t="shared" si="358"/>
        <v>0</v>
      </c>
      <c r="W1221" s="78">
        <f t="shared" si="359"/>
        <v>124.9974</v>
      </c>
      <c r="X1221" s="1878" t="str">
        <f t="shared" si="357"/>
        <v xml:space="preserve">11.- C Lima Caucho 0890908-OT_004204  Vulcanizado (curación) 0001-006254 </v>
      </c>
      <c r="Z1221" s="19" t="str">
        <f t="shared" si="361"/>
        <v>ReencaucheReencauchadora RENOVA</v>
      </c>
    </row>
    <row r="1222" spans="2:26" ht="15.2" customHeight="1">
      <c r="B1222" s="37"/>
      <c r="E1222" s="66">
        <v>1</v>
      </c>
      <c r="F1222" s="67" t="s">
        <v>732</v>
      </c>
      <c r="G1222" s="68" t="s">
        <v>733</v>
      </c>
      <c r="H1222" s="69" t="s">
        <v>1463</v>
      </c>
      <c r="I1222" s="68" t="s">
        <v>726</v>
      </c>
      <c r="J1222" s="70" t="s">
        <v>760</v>
      </c>
      <c r="K1222" s="71" t="s">
        <v>2182</v>
      </c>
      <c r="L1222" s="72">
        <v>42620</v>
      </c>
      <c r="M1222" s="100" t="s">
        <v>729</v>
      </c>
      <c r="N1222" s="74">
        <v>42635</v>
      </c>
      <c r="O1222" s="75">
        <f>+N1222</f>
        <v>42635</v>
      </c>
      <c r="P1222" s="2765" t="s">
        <v>1027</v>
      </c>
      <c r="Q1222" s="2954">
        <v>90.26</v>
      </c>
      <c r="R1222" s="76"/>
      <c r="S1222" s="1945" t="s">
        <v>731</v>
      </c>
      <c r="T1222" s="77"/>
      <c r="U1222" s="1893"/>
      <c r="V1222" s="2079">
        <f t="shared" si="358"/>
        <v>106.5068</v>
      </c>
      <c r="W1222" s="78">
        <f t="shared" si="359"/>
        <v>0</v>
      </c>
      <c r="X1222" s="1878" t="str">
        <f t="shared" si="357"/>
        <v xml:space="preserve">1.- C Lima Caucho 0510610-OT_227490  Reencauche F101-00005266 </v>
      </c>
      <c r="Z1222" s="19" t="str">
        <f t="shared" si="361"/>
        <v>ReencaucheReencauchadora RENOVA</v>
      </c>
    </row>
    <row r="1223" spans="2:26" ht="15.2" customHeight="1">
      <c r="B1223" s="37"/>
      <c r="E1223" s="66">
        <v>2</v>
      </c>
      <c r="F1223" s="67" t="s">
        <v>732</v>
      </c>
      <c r="G1223" s="68" t="s">
        <v>733</v>
      </c>
      <c r="H1223" s="69" t="s">
        <v>1665</v>
      </c>
      <c r="I1223" s="68" t="s">
        <v>726</v>
      </c>
      <c r="J1223" s="70" t="s">
        <v>760</v>
      </c>
      <c r="K1223" s="71" t="s">
        <v>2182</v>
      </c>
      <c r="L1223" s="72">
        <v>42620</v>
      </c>
      <c r="M1223" s="100" t="s">
        <v>729</v>
      </c>
      <c r="N1223" s="74">
        <v>42635</v>
      </c>
      <c r="O1223" s="75">
        <f>+N1223</f>
        <v>42635</v>
      </c>
      <c r="P1223" s="2765" t="s">
        <v>1027</v>
      </c>
      <c r="Q1223" s="2954">
        <v>90.26</v>
      </c>
      <c r="R1223" s="76"/>
      <c r="S1223" s="1945" t="s">
        <v>731</v>
      </c>
      <c r="T1223" s="77"/>
      <c r="U1223" s="1893"/>
      <c r="V1223" s="2079">
        <f t="shared" si="358"/>
        <v>106.5068</v>
      </c>
      <c r="W1223" s="78">
        <f t="shared" si="359"/>
        <v>0</v>
      </c>
      <c r="X1223" s="1878" t="str">
        <f t="shared" si="357"/>
        <v xml:space="preserve">2.- C Lima Caucho 0160108-OT_227490  Reencauche F101-00005266 </v>
      </c>
      <c r="Z1223" s="19" t="str">
        <f t="shared" si="361"/>
        <v>ReencaucheReencauchadora RENOVA</v>
      </c>
    </row>
    <row r="1224" spans="2:26" ht="15.2" customHeight="1">
      <c r="B1224" s="37"/>
      <c r="E1224" s="66">
        <v>3</v>
      </c>
      <c r="F1224" s="67" t="s">
        <v>732</v>
      </c>
      <c r="G1224" s="68" t="s">
        <v>737</v>
      </c>
      <c r="H1224" s="69" t="s">
        <v>887</v>
      </c>
      <c r="I1224" s="68" t="s">
        <v>726</v>
      </c>
      <c r="J1224" s="70" t="s">
        <v>760</v>
      </c>
      <c r="K1224" s="71" t="s">
        <v>2182</v>
      </c>
      <c r="L1224" s="72">
        <v>42620</v>
      </c>
      <c r="M1224" s="100" t="s">
        <v>729</v>
      </c>
      <c r="N1224" s="74">
        <v>42635</v>
      </c>
      <c r="O1224" s="75">
        <v>42635</v>
      </c>
      <c r="P1224" s="2765" t="s">
        <v>1027</v>
      </c>
      <c r="Q1224" s="2954">
        <v>90.26</v>
      </c>
      <c r="R1224" s="76"/>
      <c r="S1224" s="1945" t="s">
        <v>731</v>
      </c>
      <c r="T1224" s="77"/>
      <c r="U1224" s="1893"/>
      <c r="V1224" s="2079">
        <f t="shared" si="358"/>
        <v>106.5068</v>
      </c>
      <c r="W1224" s="78">
        <f t="shared" si="359"/>
        <v>0</v>
      </c>
      <c r="X1224" s="1878" t="str">
        <f t="shared" si="357"/>
        <v xml:space="preserve">3.- C Vikrant 1001210-OT_227490  Reencauche F101-00005266 </v>
      </c>
      <c r="Z1224" s="19" t="str">
        <f t="shared" si="361"/>
        <v>ReencaucheReencauchadora RENOVA</v>
      </c>
    </row>
    <row r="1225" spans="2:26" ht="15.2" customHeight="1">
      <c r="B1225" s="37"/>
      <c r="E1225" s="66">
        <v>4</v>
      </c>
      <c r="F1225" s="67" t="s">
        <v>732</v>
      </c>
      <c r="G1225" s="68" t="s">
        <v>757</v>
      </c>
      <c r="H1225" s="69" t="s">
        <v>1162</v>
      </c>
      <c r="I1225" s="68" t="s">
        <v>726</v>
      </c>
      <c r="J1225" s="70" t="s">
        <v>760</v>
      </c>
      <c r="K1225" s="71" t="s">
        <v>2182</v>
      </c>
      <c r="L1225" s="72">
        <v>42620</v>
      </c>
      <c r="M1225" s="100" t="s">
        <v>729</v>
      </c>
      <c r="N1225" s="74">
        <v>42635</v>
      </c>
      <c r="O1225" s="75">
        <f>+N1225</f>
        <v>42635</v>
      </c>
      <c r="P1225" s="2765" t="s">
        <v>1028</v>
      </c>
      <c r="Q1225" s="2954">
        <v>0</v>
      </c>
      <c r="R1225" s="76"/>
      <c r="S1225" s="1945" t="s">
        <v>731</v>
      </c>
      <c r="T1225" s="1875" t="s">
        <v>1029</v>
      </c>
      <c r="U1225" s="1893"/>
      <c r="V1225" s="2079">
        <f t="shared" si="358"/>
        <v>0</v>
      </c>
      <c r="W1225" s="78">
        <f t="shared" si="359"/>
        <v>0</v>
      </c>
      <c r="X1225" s="1878" t="str">
        <f t="shared" si="357"/>
        <v>4.- C Goodyear 1090704-OT_227490  Reencauche G031-0020075 Rechazada, G031-0020075</v>
      </c>
      <c r="Z1225" s="19" t="str">
        <f t="shared" si="361"/>
        <v>ReencaucheReencauchadora RENOVA</v>
      </c>
    </row>
    <row r="1226" spans="2:26" ht="15.2" customHeight="1">
      <c r="B1226" s="37"/>
      <c r="E1226" s="66">
        <v>5</v>
      </c>
      <c r="F1226" s="67" t="s">
        <v>732</v>
      </c>
      <c r="G1226" s="68" t="s">
        <v>757</v>
      </c>
      <c r="H1226" s="69" t="s">
        <v>1155</v>
      </c>
      <c r="I1226" s="68" t="s">
        <v>726</v>
      </c>
      <c r="J1226" s="70" t="s">
        <v>760</v>
      </c>
      <c r="K1226" s="71" t="s">
        <v>2182</v>
      </c>
      <c r="L1226" s="72">
        <v>42620</v>
      </c>
      <c r="M1226" s="100" t="s">
        <v>729</v>
      </c>
      <c r="N1226" s="74">
        <v>42635</v>
      </c>
      <c r="O1226" s="75">
        <v>42635</v>
      </c>
      <c r="P1226" s="2765" t="s">
        <v>1028</v>
      </c>
      <c r="Q1226" s="2954">
        <v>0</v>
      </c>
      <c r="R1226" s="76"/>
      <c r="S1226" s="1945" t="s">
        <v>731</v>
      </c>
      <c r="T1226" s="1875" t="s">
        <v>1029</v>
      </c>
      <c r="U1226" s="1893"/>
      <c r="V1226" s="2079">
        <f t="shared" si="358"/>
        <v>0</v>
      </c>
      <c r="W1226" s="78">
        <f t="shared" si="359"/>
        <v>0</v>
      </c>
      <c r="X1226" s="1878" t="str">
        <f t="shared" si="357"/>
        <v>5.- C Goodyear 1140704-OT_227490  Reencauche G031-0020075 Rechazada, G031-0020075</v>
      </c>
      <c r="Z1226" s="19" t="str">
        <f t="shared" si="361"/>
        <v>Transpl BandaReenc. MASTERCAUCHO</v>
      </c>
    </row>
    <row r="1227" spans="2:26" ht="15.2" customHeight="1">
      <c r="B1227" s="37"/>
      <c r="E1227" s="66">
        <v>6</v>
      </c>
      <c r="F1227" s="67" t="s">
        <v>732</v>
      </c>
      <c r="G1227" s="68" t="s">
        <v>733</v>
      </c>
      <c r="H1227" s="69" t="s">
        <v>1784</v>
      </c>
      <c r="I1227" s="68" t="s">
        <v>726</v>
      </c>
      <c r="J1227" s="70" t="s">
        <v>760</v>
      </c>
      <c r="K1227" s="71" t="s">
        <v>2182</v>
      </c>
      <c r="L1227" s="72">
        <v>42620</v>
      </c>
      <c r="M1227" s="100" t="s">
        <v>729</v>
      </c>
      <c r="N1227" s="74">
        <v>42635</v>
      </c>
      <c r="O1227" s="75">
        <v>42635</v>
      </c>
      <c r="P1227" s="2765" t="s">
        <v>1028</v>
      </c>
      <c r="Q1227" s="2954">
        <v>0</v>
      </c>
      <c r="R1227" s="76"/>
      <c r="S1227" s="1945" t="s">
        <v>731</v>
      </c>
      <c r="T1227" s="1875" t="s">
        <v>1029</v>
      </c>
      <c r="U1227" s="1893"/>
      <c r="V1227" s="2079">
        <f t="shared" si="358"/>
        <v>0</v>
      </c>
      <c r="W1227" s="78">
        <f t="shared" si="359"/>
        <v>0</v>
      </c>
      <c r="X1227" s="1878" t="str">
        <f t="shared" si="357"/>
        <v>6.- C Lima Caucho 0670907-OT_227490  Reencauche G031-0020075 Rechazada, G031-0020075</v>
      </c>
      <c r="Z1227" s="19" t="str">
        <f t="shared" ref="Z1227:Z1238" si="362">CONCATENATE(I1230,J1230)</f>
        <v>Transpl BandaReenc. MASTERCAUCHO</v>
      </c>
    </row>
    <row r="1228" spans="2:26" ht="15.2" customHeight="1">
      <c r="B1228" s="37"/>
      <c r="E1228" s="79">
        <v>7</v>
      </c>
      <c r="F1228" s="80" t="s">
        <v>732</v>
      </c>
      <c r="G1228" s="81" t="s">
        <v>737</v>
      </c>
      <c r="H1228" s="82" t="s">
        <v>1374</v>
      </c>
      <c r="I1228" s="81" t="s">
        <v>726</v>
      </c>
      <c r="J1228" s="83" t="s">
        <v>760</v>
      </c>
      <c r="K1228" s="84" t="s">
        <v>2182</v>
      </c>
      <c r="L1228" s="85">
        <v>42620</v>
      </c>
      <c r="M1228" s="110" t="s">
        <v>729</v>
      </c>
      <c r="N1228" s="87">
        <v>42635</v>
      </c>
      <c r="O1228" s="88">
        <v>42635</v>
      </c>
      <c r="P1228" s="2766" t="s">
        <v>1028</v>
      </c>
      <c r="Q1228" s="2955">
        <v>0</v>
      </c>
      <c r="R1228" s="89"/>
      <c r="S1228" s="1946" t="s">
        <v>731</v>
      </c>
      <c r="T1228" s="1875" t="s">
        <v>1029</v>
      </c>
      <c r="U1228" s="1893"/>
      <c r="V1228" s="2079">
        <f t="shared" si="358"/>
        <v>0</v>
      </c>
      <c r="W1228" s="78">
        <f t="shared" si="359"/>
        <v>0</v>
      </c>
      <c r="X1228" s="1878" t="str">
        <f t="shared" si="357"/>
        <v>7.- C Vikrant 0440411-OT_227490  Reencauche G031-0020075 Rechazada, G031-0020075</v>
      </c>
      <c r="Z1228" s="19" t="str">
        <f t="shared" si="362"/>
        <v>Transpl BandaReenc. MASTERCAUCHO</v>
      </c>
    </row>
    <row r="1229" spans="2:26" ht="15.2" customHeight="1">
      <c r="B1229" s="37"/>
      <c r="E1229" s="66">
        <v>1</v>
      </c>
      <c r="F1229" s="67" t="s">
        <v>732</v>
      </c>
      <c r="G1229" s="68" t="s">
        <v>733</v>
      </c>
      <c r="H1229" s="69" t="s">
        <v>911</v>
      </c>
      <c r="I1229" s="68" t="s">
        <v>740</v>
      </c>
      <c r="J1229" s="70" t="s">
        <v>727</v>
      </c>
      <c r="K1229" s="71" t="s">
        <v>422</v>
      </c>
      <c r="L1229" s="72">
        <v>42607</v>
      </c>
      <c r="M1229" s="73" t="s">
        <v>729</v>
      </c>
      <c r="N1229" s="74">
        <v>42615</v>
      </c>
      <c r="O1229" s="75">
        <f>+N1229</f>
        <v>42615</v>
      </c>
      <c r="P1229" s="2765" t="s">
        <v>109</v>
      </c>
      <c r="Q1229" s="2954"/>
      <c r="R1229" s="76">
        <v>127.12</v>
      </c>
      <c r="S1229" s="1945" t="s">
        <v>731</v>
      </c>
      <c r="T1229" s="77"/>
      <c r="U1229" s="1893"/>
      <c r="V1229" s="2079">
        <f t="shared" si="358"/>
        <v>0</v>
      </c>
      <c r="W1229" s="78">
        <f t="shared" si="359"/>
        <v>150.0016</v>
      </c>
      <c r="X1229" s="1878" t="str">
        <f t="shared" si="357"/>
        <v xml:space="preserve">1.- C Lima Caucho 0630808-OT_003489  Transpl Banda 0001-006191 </v>
      </c>
      <c r="Z1229" s="19" t="str">
        <f t="shared" si="362"/>
        <v>Sacar_BandaReenc. MASTERCAUCHO</v>
      </c>
    </row>
    <row r="1230" spans="2:26" ht="15.2" customHeight="1">
      <c r="B1230" s="37"/>
      <c r="E1230" s="66">
        <v>2</v>
      </c>
      <c r="F1230" s="67" t="s">
        <v>732</v>
      </c>
      <c r="G1230" s="68" t="s">
        <v>733</v>
      </c>
      <c r="H1230" s="69" t="s">
        <v>1073</v>
      </c>
      <c r="I1230" s="68" t="s">
        <v>740</v>
      </c>
      <c r="J1230" s="70" t="s">
        <v>727</v>
      </c>
      <c r="K1230" s="71" t="s">
        <v>422</v>
      </c>
      <c r="L1230" s="72">
        <v>42607</v>
      </c>
      <c r="M1230" s="73" t="s">
        <v>729</v>
      </c>
      <c r="N1230" s="74">
        <v>42615</v>
      </c>
      <c r="O1230" s="75">
        <v>42615</v>
      </c>
      <c r="P1230" s="2765" t="s">
        <v>109</v>
      </c>
      <c r="Q1230" s="2954"/>
      <c r="R1230" s="76">
        <v>127.12</v>
      </c>
      <c r="S1230" s="1945" t="s">
        <v>731</v>
      </c>
      <c r="T1230" s="77"/>
      <c r="U1230" s="1893"/>
      <c r="V1230" s="2079">
        <f t="shared" si="358"/>
        <v>0</v>
      </c>
      <c r="W1230" s="78">
        <f t="shared" si="359"/>
        <v>150.0016</v>
      </c>
      <c r="X1230" s="1878" t="str">
        <f t="shared" si="357"/>
        <v xml:space="preserve">2.- C Lima Caucho 0220108-OT_003489  Transpl Banda 0001-006191 </v>
      </c>
      <c r="Z1230" s="19" t="str">
        <f t="shared" si="362"/>
        <v>Sacar_BandaReenc. MASTERCAUCHO</v>
      </c>
    </row>
    <row r="1231" spans="2:26" ht="15.2" customHeight="1">
      <c r="B1231" s="37"/>
      <c r="E1231" s="66">
        <v>3</v>
      </c>
      <c r="F1231" s="67" t="s">
        <v>732</v>
      </c>
      <c r="G1231" s="68" t="s">
        <v>733</v>
      </c>
      <c r="H1231" s="69" t="s">
        <v>1523</v>
      </c>
      <c r="I1231" s="68" t="s">
        <v>740</v>
      </c>
      <c r="J1231" s="70" t="s">
        <v>727</v>
      </c>
      <c r="K1231" s="71" t="s">
        <v>422</v>
      </c>
      <c r="L1231" s="72">
        <v>42607</v>
      </c>
      <c r="M1231" s="73" t="s">
        <v>729</v>
      </c>
      <c r="N1231" s="74">
        <v>42615</v>
      </c>
      <c r="O1231" s="75">
        <v>42615</v>
      </c>
      <c r="P1231" s="2765" t="s">
        <v>109</v>
      </c>
      <c r="Q1231" s="2954"/>
      <c r="R1231" s="76">
        <v>127.12</v>
      </c>
      <c r="S1231" s="1945" t="s">
        <v>731</v>
      </c>
      <c r="T1231" s="77"/>
      <c r="U1231" s="1893"/>
      <c r="V1231" s="2079">
        <f t="shared" si="358"/>
        <v>0</v>
      </c>
      <c r="W1231" s="78">
        <f t="shared" si="359"/>
        <v>150.0016</v>
      </c>
      <c r="X1231" s="1878" t="str">
        <f t="shared" si="357"/>
        <v xml:space="preserve">3.- C Lima Caucho 0550807-OT_003489  Transpl Banda 0001-006191 </v>
      </c>
      <c r="Z1231" s="19" t="str">
        <f t="shared" si="362"/>
        <v>Sacar_BandaReenc. MASTERCAUCHO</v>
      </c>
    </row>
    <row r="1232" spans="2:26" ht="15.2" customHeight="1">
      <c r="B1232" s="37"/>
      <c r="E1232" s="66">
        <v>4</v>
      </c>
      <c r="F1232" s="67" t="s">
        <v>732</v>
      </c>
      <c r="G1232" s="68" t="s">
        <v>733</v>
      </c>
      <c r="H1232" s="69" t="s">
        <v>1639</v>
      </c>
      <c r="I1232" s="68" t="s">
        <v>744</v>
      </c>
      <c r="J1232" s="70" t="s">
        <v>727</v>
      </c>
      <c r="K1232" s="71" t="s">
        <v>422</v>
      </c>
      <c r="L1232" s="72">
        <v>42607</v>
      </c>
      <c r="M1232" s="73" t="s">
        <v>729</v>
      </c>
      <c r="N1232" s="74">
        <v>42615</v>
      </c>
      <c r="O1232" s="75">
        <v>42615</v>
      </c>
      <c r="P1232" s="2765" t="s">
        <v>109</v>
      </c>
      <c r="Q1232" s="2954"/>
      <c r="R1232" s="76">
        <v>0</v>
      </c>
      <c r="S1232" s="1945" t="s">
        <v>731</v>
      </c>
      <c r="T1232" s="77"/>
      <c r="U1232" s="1893"/>
      <c r="V1232" s="2079">
        <f t="shared" si="358"/>
        <v>0</v>
      </c>
      <c r="W1232" s="78">
        <f t="shared" si="359"/>
        <v>0</v>
      </c>
      <c r="X1232" s="1878" t="str">
        <f t="shared" si="357"/>
        <v xml:space="preserve">4.- C Lima Caucho 00120107-OT_003489  Sacar_Banda 0001-006191 </v>
      </c>
      <c r="Z1232" s="19" t="str">
        <f t="shared" si="362"/>
        <v>Vulcanizado (curación)Reenc. MASTERCAUCHO</v>
      </c>
    </row>
    <row r="1233" spans="2:26" ht="15.2" customHeight="1">
      <c r="B1233" s="37"/>
      <c r="E1233" s="66">
        <v>5</v>
      </c>
      <c r="F1233" s="67" t="s">
        <v>732</v>
      </c>
      <c r="G1233" s="68" t="s">
        <v>733</v>
      </c>
      <c r="H1233" s="69" t="s">
        <v>851</v>
      </c>
      <c r="I1233" s="68" t="s">
        <v>744</v>
      </c>
      <c r="J1233" s="70" t="s">
        <v>727</v>
      </c>
      <c r="K1233" s="71" t="s">
        <v>422</v>
      </c>
      <c r="L1233" s="72">
        <v>42607</v>
      </c>
      <c r="M1233" s="73" t="s">
        <v>729</v>
      </c>
      <c r="N1233" s="74">
        <v>42615</v>
      </c>
      <c r="O1233" s="75">
        <v>42615</v>
      </c>
      <c r="P1233" s="2765" t="s">
        <v>109</v>
      </c>
      <c r="Q1233" s="2954"/>
      <c r="R1233" s="76">
        <v>0</v>
      </c>
      <c r="S1233" s="1945" t="s">
        <v>731</v>
      </c>
      <c r="T1233" s="77"/>
      <c r="U1233" s="1893"/>
      <c r="V1233" s="2079">
        <f t="shared" si="358"/>
        <v>0</v>
      </c>
      <c r="W1233" s="78">
        <f t="shared" si="359"/>
        <v>0</v>
      </c>
      <c r="X1233" s="1878" t="str">
        <f t="shared" si="357"/>
        <v xml:space="preserve">5.- C Lima Caucho 1211207-OT_003489  Sacar_Banda 0001-006191 </v>
      </c>
      <c r="Z1233" s="19" t="str">
        <f t="shared" si="362"/>
        <v>Vulcanizado (curación)Reenc. MASTERCAUCHO</v>
      </c>
    </row>
    <row r="1234" spans="2:26" ht="15.2" customHeight="1">
      <c r="B1234" s="37"/>
      <c r="E1234" s="79">
        <v>6</v>
      </c>
      <c r="F1234" s="80" t="s">
        <v>732</v>
      </c>
      <c r="G1234" s="81" t="s">
        <v>757</v>
      </c>
      <c r="H1234" s="82" t="s">
        <v>991</v>
      </c>
      <c r="I1234" s="81" t="s">
        <v>744</v>
      </c>
      <c r="J1234" s="83" t="s">
        <v>727</v>
      </c>
      <c r="K1234" s="84" t="s">
        <v>422</v>
      </c>
      <c r="L1234" s="85">
        <v>42607</v>
      </c>
      <c r="M1234" s="86" t="s">
        <v>729</v>
      </c>
      <c r="N1234" s="87">
        <v>42615</v>
      </c>
      <c r="O1234" s="88">
        <v>42615</v>
      </c>
      <c r="P1234" s="2766" t="s">
        <v>109</v>
      </c>
      <c r="Q1234" s="2955"/>
      <c r="R1234" s="89">
        <v>0</v>
      </c>
      <c r="S1234" s="1946" t="s">
        <v>731</v>
      </c>
      <c r="T1234" s="77"/>
      <c r="U1234" s="1893"/>
      <c r="V1234" s="2079">
        <f t="shared" si="358"/>
        <v>0</v>
      </c>
      <c r="W1234" s="78">
        <f t="shared" si="359"/>
        <v>0</v>
      </c>
      <c r="X1234" s="1878" t="str">
        <f t="shared" si="357"/>
        <v xml:space="preserve">6.- C Goodyear 062112002-OT_003489  Sacar_Banda 0001-006191 </v>
      </c>
      <c r="Z1234" s="19" t="str">
        <f t="shared" si="362"/>
        <v>Vulcanizado (curación)Reenc. MASTERCAUCHO</v>
      </c>
    </row>
    <row r="1235" spans="2:26" ht="15.2" customHeight="1">
      <c r="B1235" s="37"/>
      <c r="E1235" s="66">
        <v>1</v>
      </c>
      <c r="F1235" s="67" t="s">
        <v>732</v>
      </c>
      <c r="G1235" s="68" t="s">
        <v>733</v>
      </c>
      <c r="H1235" s="69" t="s">
        <v>1064</v>
      </c>
      <c r="I1235" s="68" t="s">
        <v>811</v>
      </c>
      <c r="J1235" s="70" t="s">
        <v>727</v>
      </c>
      <c r="K1235" s="71" t="s">
        <v>1036</v>
      </c>
      <c r="L1235" s="72">
        <v>42604</v>
      </c>
      <c r="M1235" s="73" t="s">
        <v>729</v>
      </c>
      <c r="N1235" s="74">
        <v>42607</v>
      </c>
      <c r="O1235" s="75">
        <f>+N1235</f>
        <v>42607</v>
      </c>
      <c r="P1235" s="2765" t="s">
        <v>421</v>
      </c>
      <c r="Q1235" s="2954"/>
      <c r="R1235" s="76">
        <v>105.93</v>
      </c>
      <c r="S1235" s="1945" t="s">
        <v>731</v>
      </c>
      <c r="T1235" s="77"/>
      <c r="U1235" s="1893"/>
      <c r="V1235" s="2079">
        <f t="shared" si="358"/>
        <v>0</v>
      </c>
      <c r="W1235" s="78">
        <f t="shared" si="359"/>
        <v>124.9974</v>
      </c>
      <c r="X1235" s="1878" t="str">
        <f t="shared" si="357"/>
        <v xml:space="preserve">1.- C Lima Caucho 0920908-OT_003485  Vulcanizado (curación) 0001-006141 </v>
      </c>
      <c r="Z1235" s="19" t="str">
        <f t="shared" si="362"/>
        <v>ReencaucheReencauchadora RENOVA</v>
      </c>
    </row>
    <row r="1236" spans="2:26" ht="15.2" customHeight="1">
      <c r="B1236" s="37"/>
      <c r="E1236" s="66">
        <v>2</v>
      </c>
      <c r="F1236" s="67" t="s">
        <v>723</v>
      </c>
      <c r="G1236" s="68" t="s">
        <v>724</v>
      </c>
      <c r="H1236" s="69" t="s">
        <v>1035</v>
      </c>
      <c r="I1236" s="68" t="s">
        <v>811</v>
      </c>
      <c r="J1236" s="70" t="s">
        <v>727</v>
      </c>
      <c r="K1236" s="71" t="s">
        <v>1036</v>
      </c>
      <c r="L1236" s="72">
        <v>42604</v>
      </c>
      <c r="M1236" s="73" t="s">
        <v>729</v>
      </c>
      <c r="N1236" s="74">
        <v>42607</v>
      </c>
      <c r="O1236" s="75">
        <f>+N1236</f>
        <v>42607</v>
      </c>
      <c r="P1236" s="2765" t="s">
        <v>421</v>
      </c>
      <c r="Q1236" s="2954"/>
      <c r="R1236" s="76">
        <v>105.93</v>
      </c>
      <c r="S1236" s="1945" t="s">
        <v>731</v>
      </c>
      <c r="T1236" s="77"/>
      <c r="U1236" s="1893"/>
      <c r="V1236" s="2079">
        <f t="shared" si="358"/>
        <v>0</v>
      </c>
      <c r="W1236" s="78">
        <f t="shared" si="359"/>
        <v>124.9974</v>
      </c>
      <c r="X1236" s="1878" t="str">
        <f t="shared" si="357"/>
        <v xml:space="preserve">2.- R Aeolus 0170812-OT_003485  Vulcanizado (curación) 0001-006141 </v>
      </c>
      <c r="Z1236" s="19" t="str">
        <f t="shared" si="362"/>
        <v>ReencaucheReencauchadora RENOVA</v>
      </c>
    </row>
    <row r="1237" spans="2:26" ht="15.2" customHeight="1">
      <c r="B1237" s="37"/>
      <c r="E1237" s="79">
        <v>3</v>
      </c>
      <c r="F1237" s="80" t="s">
        <v>723</v>
      </c>
      <c r="G1237" s="81" t="s">
        <v>757</v>
      </c>
      <c r="H1237" s="82" t="s">
        <v>531</v>
      </c>
      <c r="I1237" s="81" t="s">
        <v>811</v>
      </c>
      <c r="J1237" s="83" t="s">
        <v>727</v>
      </c>
      <c r="K1237" s="84" t="s">
        <v>1036</v>
      </c>
      <c r="L1237" s="85">
        <v>42604</v>
      </c>
      <c r="M1237" s="86" t="s">
        <v>729</v>
      </c>
      <c r="N1237" s="87">
        <v>42607</v>
      </c>
      <c r="O1237" s="88">
        <f>+N1237</f>
        <v>42607</v>
      </c>
      <c r="P1237" s="2766" t="s">
        <v>421</v>
      </c>
      <c r="Q1237" s="2955"/>
      <c r="R1237" s="89">
        <v>105.93</v>
      </c>
      <c r="S1237" s="1946" t="s">
        <v>731</v>
      </c>
      <c r="T1237" s="77"/>
      <c r="U1237" s="1893"/>
      <c r="V1237" s="2079">
        <f t="shared" si="358"/>
        <v>0</v>
      </c>
      <c r="W1237" s="78">
        <f t="shared" si="359"/>
        <v>124.9974</v>
      </c>
      <c r="X1237" s="1878" t="str">
        <f t="shared" si="357"/>
        <v xml:space="preserve">3.- R Goodyear 8130516-OT_003485  Vulcanizado (curación) 0001-006141 </v>
      </c>
      <c r="Z1237" s="19" t="str">
        <f t="shared" si="362"/>
        <v>ReencaucheReencauchadora RENOVA</v>
      </c>
    </row>
    <row r="1238" spans="2:26" ht="15.2" customHeight="1">
      <c r="B1238" s="37"/>
      <c r="E1238" s="66">
        <v>1</v>
      </c>
      <c r="F1238" s="67" t="s">
        <v>732</v>
      </c>
      <c r="G1238" s="68" t="s">
        <v>733</v>
      </c>
      <c r="H1238" s="69" t="s">
        <v>994</v>
      </c>
      <c r="I1238" s="68" t="s">
        <v>726</v>
      </c>
      <c r="J1238" s="70" t="s">
        <v>760</v>
      </c>
      <c r="K1238" s="71" t="s">
        <v>1414</v>
      </c>
      <c r="L1238" s="72">
        <v>42601</v>
      </c>
      <c r="M1238" s="73" t="s">
        <v>729</v>
      </c>
      <c r="N1238" s="74">
        <v>42607</v>
      </c>
      <c r="O1238" s="75">
        <v>42607</v>
      </c>
      <c r="P1238" s="2765" t="s">
        <v>677</v>
      </c>
      <c r="Q1238" s="2954">
        <v>90.26</v>
      </c>
      <c r="R1238" s="76"/>
      <c r="S1238" s="1945" t="s">
        <v>731</v>
      </c>
      <c r="T1238" s="77"/>
      <c r="U1238" s="1893"/>
      <c r="V1238" s="2079">
        <f t="shared" si="358"/>
        <v>106.5068</v>
      </c>
      <c r="W1238" s="78">
        <f t="shared" si="359"/>
        <v>0</v>
      </c>
      <c r="X1238" s="1878" t="str">
        <f t="shared" si="357"/>
        <v xml:space="preserve">1.- C Lima Caucho 0180207-OT_226350  Reencauche F101-00004641 </v>
      </c>
      <c r="Z1238" s="19" t="str">
        <f t="shared" si="362"/>
        <v>ReencaucheReencauchadora RENOVA</v>
      </c>
    </row>
    <row r="1239" spans="2:26" ht="15.2" customHeight="1">
      <c r="B1239" s="37"/>
      <c r="E1239" s="66">
        <v>2</v>
      </c>
      <c r="F1239" s="67" t="s">
        <v>732</v>
      </c>
      <c r="G1239" s="68" t="s">
        <v>733</v>
      </c>
      <c r="H1239" s="69" t="s">
        <v>997</v>
      </c>
      <c r="I1239" s="68" t="s">
        <v>726</v>
      </c>
      <c r="J1239" s="70" t="s">
        <v>760</v>
      </c>
      <c r="K1239" s="71" t="s">
        <v>1414</v>
      </c>
      <c r="L1239" s="72">
        <v>42601</v>
      </c>
      <c r="M1239" s="73" t="s">
        <v>729</v>
      </c>
      <c r="N1239" s="74">
        <v>42607</v>
      </c>
      <c r="O1239" s="75">
        <v>42607</v>
      </c>
      <c r="P1239" s="2765" t="s">
        <v>677</v>
      </c>
      <c r="Q1239" s="2954">
        <v>90.26</v>
      </c>
      <c r="R1239" s="76"/>
      <c r="S1239" s="1945" t="s">
        <v>731</v>
      </c>
      <c r="T1239" s="77"/>
      <c r="U1239" s="1893"/>
      <c r="V1239" s="2079">
        <f t="shared" si="358"/>
        <v>106.5068</v>
      </c>
      <c r="W1239" s="78">
        <f t="shared" si="359"/>
        <v>0</v>
      </c>
      <c r="X1239" s="1878" t="str">
        <f t="shared" si="357"/>
        <v xml:space="preserve">2.- C Lima Caucho 0230108-OT_226350  Reencauche F101-00004641 </v>
      </c>
      <c r="Z1239" s="19" t="str">
        <f t="shared" ref="Z1239:Z1249" si="363">CONCATENATE(I1242,J1242)</f>
        <v>ReencaucheReencauchadora RENOVA</v>
      </c>
    </row>
    <row r="1240" spans="2:26" ht="15.2" customHeight="1">
      <c r="B1240" s="37"/>
      <c r="E1240" s="66">
        <v>3</v>
      </c>
      <c r="F1240" s="67" t="s">
        <v>732</v>
      </c>
      <c r="G1240" s="68" t="s">
        <v>737</v>
      </c>
      <c r="H1240" s="69" t="s">
        <v>1409</v>
      </c>
      <c r="I1240" s="68" t="s">
        <v>726</v>
      </c>
      <c r="J1240" s="70" t="s">
        <v>760</v>
      </c>
      <c r="K1240" s="71" t="s">
        <v>1414</v>
      </c>
      <c r="L1240" s="72">
        <v>42601</v>
      </c>
      <c r="M1240" s="73" t="s">
        <v>729</v>
      </c>
      <c r="N1240" s="74">
        <v>42607</v>
      </c>
      <c r="O1240" s="75">
        <v>42607</v>
      </c>
      <c r="P1240" s="2765" t="s">
        <v>677</v>
      </c>
      <c r="Q1240" s="2954">
        <v>90.26</v>
      </c>
      <c r="R1240" s="76"/>
      <c r="S1240" s="1945" t="s">
        <v>731</v>
      </c>
      <c r="T1240" s="77"/>
      <c r="U1240" s="1893"/>
      <c r="V1240" s="2079">
        <f t="shared" si="358"/>
        <v>106.5068</v>
      </c>
      <c r="W1240" s="78">
        <f t="shared" si="359"/>
        <v>0</v>
      </c>
      <c r="X1240" s="1878" t="str">
        <f t="shared" si="357"/>
        <v xml:space="preserve">3.- C Vikrant 0020312-OT_226350  Reencauche F101-00004641 </v>
      </c>
      <c r="Z1240" s="19" t="str">
        <f t="shared" si="363"/>
        <v>ReencaucheReencauchadora RENOVA</v>
      </c>
    </row>
    <row r="1241" spans="2:26" ht="15.2" customHeight="1">
      <c r="B1241" s="37"/>
      <c r="E1241" s="66">
        <v>4</v>
      </c>
      <c r="F1241" s="67" t="s">
        <v>732</v>
      </c>
      <c r="G1241" s="68" t="s">
        <v>737</v>
      </c>
      <c r="H1241" s="69" t="s">
        <v>1119</v>
      </c>
      <c r="I1241" s="68" t="s">
        <v>726</v>
      </c>
      <c r="J1241" s="70" t="s">
        <v>760</v>
      </c>
      <c r="K1241" s="71" t="s">
        <v>1414</v>
      </c>
      <c r="L1241" s="72">
        <v>42601</v>
      </c>
      <c r="M1241" s="73" t="s">
        <v>729</v>
      </c>
      <c r="N1241" s="74">
        <v>42607</v>
      </c>
      <c r="O1241" s="75">
        <v>42607</v>
      </c>
      <c r="P1241" s="2765" t="s">
        <v>677</v>
      </c>
      <c r="Q1241" s="2954">
        <v>90.26</v>
      </c>
      <c r="R1241" s="76"/>
      <c r="S1241" s="1945" t="s">
        <v>731</v>
      </c>
      <c r="T1241" s="77"/>
      <c r="U1241" s="1893"/>
      <c r="V1241" s="2079">
        <f t="shared" si="358"/>
        <v>106.5068</v>
      </c>
      <c r="W1241" s="78">
        <f t="shared" si="359"/>
        <v>0</v>
      </c>
      <c r="X1241" s="1878" t="str">
        <f t="shared" si="357"/>
        <v xml:space="preserve">4.- C Vikrant 0340211-OT_226350  Reencauche F101-00004641 </v>
      </c>
      <c r="Z1241" s="19" t="str">
        <f t="shared" si="363"/>
        <v>ReencaucheReencauchadora RENOVA</v>
      </c>
    </row>
    <row r="1242" spans="2:26" ht="15.2" customHeight="1">
      <c r="B1242" s="37"/>
      <c r="E1242" s="66">
        <v>5</v>
      </c>
      <c r="F1242" s="67" t="s">
        <v>732</v>
      </c>
      <c r="G1242" s="68" t="s">
        <v>737</v>
      </c>
      <c r="H1242" s="69" t="s">
        <v>1001</v>
      </c>
      <c r="I1242" s="68" t="s">
        <v>726</v>
      </c>
      <c r="J1242" s="70" t="s">
        <v>760</v>
      </c>
      <c r="K1242" s="71" t="s">
        <v>1414</v>
      </c>
      <c r="L1242" s="72">
        <v>42601</v>
      </c>
      <c r="M1242" s="73" t="s">
        <v>729</v>
      </c>
      <c r="N1242" s="74">
        <v>42607</v>
      </c>
      <c r="O1242" s="75">
        <v>42607</v>
      </c>
      <c r="P1242" s="2765" t="s">
        <v>677</v>
      </c>
      <c r="Q1242" s="2954">
        <v>90.26</v>
      </c>
      <c r="R1242" s="2143"/>
      <c r="S1242" s="1945" t="s">
        <v>731</v>
      </c>
      <c r="T1242" s="77"/>
      <c r="U1242" s="1893"/>
      <c r="V1242" s="2079">
        <f t="shared" si="358"/>
        <v>106.5068</v>
      </c>
      <c r="W1242" s="78">
        <f t="shared" si="359"/>
        <v>0</v>
      </c>
      <c r="X1242" s="1878" t="str">
        <f t="shared" si="357"/>
        <v xml:space="preserve">5.- C Vikrant 0460411-OT_226350  Reencauche F101-00004641 </v>
      </c>
      <c r="Z1242" s="19" t="str">
        <f t="shared" si="363"/>
        <v>ReencaucheReencauchadora RENOVA</v>
      </c>
    </row>
    <row r="1243" spans="2:26" ht="15.2" customHeight="1">
      <c r="B1243" s="37"/>
      <c r="E1243" s="66">
        <v>6</v>
      </c>
      <c r="F1243" s="67" t="s">
        <v>732</v>
      </c>
      <c r="G1243" s="68" t="s">
        <v>737</v>
      </c>
      <c r="H1243" s="69" t="s">
        <v>904</v>
      </c>
      <c r="I1243" s="68" t="s">
        <v>726</v>
      </c>
      <c r="J1243" s="70" t="s">
        <v>760</v>
      </c>
      <c r="K1243" s="71" t="s">
        <v>1414</v>
      </c>
      <c r="L1243" s="72">
        <v>42601</v>
      </c>
      <c r="M1243" s="73" t="s">
        <v>729</v>
      </c>
      <c r="N1243" s="74">
        <v>42607</v>
      </c>
      <c r="O1243" s="75">
        <v>42607</v>
      </c>
      <c r="P1243" s="2765" t="s">
        <v>677</v>
      </c>
      <c r="Q1243" s="2954">
        <v>90.26</v>
      </c>
      <c r="R1243" s="76"/>
      <c r="S1243" s="1945" t="s">
        <v>731</v>
      </c>
      <c r="T1243" s="77"/>
      <c r="U1243" s="1893"/>
      <c r="V1243" s="2079">
        <f t="shared" si="358"/>
        <v>106.5068</v>
      </c>
      <c r="W1243" s="78">
        <f t="shared" si="359"/>
        <v>0</v>
      </c>
      <c r="X1243" s="1878" t="str">
        <f t="shared" si="357"/>
        <v xml:space="preserve">6.- C Vikrant 0660809-OT_226350  Reencauche F101-00004641 </v>
      </c>
      <c r="Z1243" s="19" t="str">
        <f t="shared" si="363"/>
        <v>ReencaucheReencauchadora RENOVA</v>
      </c>
    </row>
    <row r="1244" spans="2:26" ht="15.2" customHeight="1">
      <c r="B1244" s="37"/>
      <c r="E1244" s="66">
        <v>7</v>
      </c>
      <c r="F1244" s="67" t="s">
        <v>732</v>
      </c>
      <c r="G1244" s="68" t="s">
        <v>737</v>
      </c>
      <c r="H1244" s="69" t="s">
        <v>1557</v>
      </c>
      <c r="I1244" s="68" t="s">
        <v>726</v>
      </c>
      <c r="J1244" s="70" t="s">
        <v>760</v>
      </c>
      <c r="K1244" s="71" t="s">
        <v>1413</v>
      </c>
      <c r="L1244" s="72">
        <v>42601</v>
      </c>
      <c r="M1244" s="73" t="s">
        <v>729</v>
      </c>
      <c r="N1244" s="74">
        <v>42607</v>
      </c>
      <c r="O1244" s="75">
        <v>42607</v>
      </c>
      <c r="P1244" s="2765" t="s">
        <v>677</v>
      </c>
      <c r="Q1244" s="2954">
        <v>90.26</v>
      </c>
      <c r="R1244" s="76"/>
      <c r="S1244" s="1945" t="s">
        <v>731</v>
      </c>
      <c r="T1244" s="77"/>
      <c r="U1244" s="1893"/>
      <c r="V1244" s="2079">
        <f t="shared" si="358"/>
        <v>106.5068</v>
      </c>
      <c r="W1244" s="78">
        <f t="shared" si="359"/>
        <v>0</v>
      </c>
      <c r="X1244" s="1878" t="str">
        <f t="shared" si="357"/>
        <v xml:space="preserve">7.- C Vikrant 0300211-OT_227451  Reencauche F101-00004641 </v>
      </c>
      <c r="Z1244" s="19" t="str">
        <f t="shared" si="363"/>
        <v>ReencaucheReencauchadora RENOVA</v>
      </c>
    </row>
    <row r="1245" spans="2:26" ht="15.2" customHeight="1">
      <c r="B1245" s="37"/>
      <c r="E1245" s="66">
        <v>8</v>
      </c>
      <c r="F1245" s="67" t="s">
        <v>732</v>
      </c>
      <c r="G1245" s="68" t="s">
        <v>737</v>
      </c>
      <c r="H1245" s="69" t="s">
        <v>1165</v>
      </c>
      <c r="I1245" s="68" t="s">
        <v>726</v>
      </c>
      <c r="J1245" s="70" t="s">
        <v>760</v>
      </c>
      <c r="K1245" s="71" t="s">
        <v>1413</v>
      </c>
      <c r="L1245" s="72">
        <v>42601</v>
      </c>
      <c r="M1245" s="73" t="s">
        <v>729</v>
      </c>
      <c r="N1245" s="74">
        <v>42607</v>
      </c>
      <c r="O1245" s="75">
        <v>42607</v>
      </c>
      <c r="P1245" s="2765" t="s">
        <v>677</v>
      </c>
      <c r="Q1245" s="2954">
        <v>90.26</v>
      </c>
      <c r="R1245" s="76"/>
      <c r="S1245" s="1945" t="s">
        <v>731</v>
      </c>
      <c r="T1245" s="77"/>
      <c r="U1245" s="1893"/>
      <c r="V1245" s="2079">
        <f t="shared" si="358"/>
        <v>106.5068</v>
      </c>
      <c r="W1245" s="78">
        <f t="shared" si="359"/>
        <v>0</v>
      </c>
      <c r="X1245" s="1878" t="str">
        <f t="shared" si="357"/>
        <v xml:space="preserve">8.- C Vikrant 0831009-OT_227451  Reencauche F101-00004641 </v>
      </c>
      <c r="Z1245" s="19" t="str">
        <f t="shared" si="363"/>
        <v>ReencaucheReencauchadora RENOVA</v>
      </c>
    </row>
    <row r="1246" spans="2:26" ht="15.2" customHeight="1">
      <c r="B1246" s="37"/>
      <c r="E1246" s="66">
        <v>9</v>
      </c>
      <c r="F1246" s="67" t="s">
        <v>723</v>
      </c>
      <c r="G1246" s="68" t="s">
        <v>724</v>
      </c>
      <c r="H1246" s="69" t="s">
        <v>1410</v>
      </c>
      <c r="I1246" s="68" t="s">
        <v>726</v>
      </c>
      <c r="J1246" s="70" t="s">
        <v>760</v>
      </c>
      <c r="K1246" s="71" t="s">
        <v>1412</v>
      </c>
      <c r="L1246" s="72">
        <v>42601</v>
      </c>
      <c r="M1246" s="73" t="s">
        <v>729</v>
      </c>
      <c r="N1246" s="74">
        <v>42607</v>
      </c>
      <c r="O1246" s="75">
        <f>+N1246</f>
        <v>42607</v>
      </c>
      <c r="P1246" s="2765" t="s">
        <v>677</v>
      </c>
      <c r="Q1246" s="2954">
        <v>96.34</v>
      </c>
      <c r="R1246" s="76"/>
      <c r="S1246" s="1945" t="s">
        <v>731</v>
      </c>
      <c r="T1246" s="77"/>
      <c r="U1246" s="1893"/>
      <c r="V1246" s="2079">
        <f t="shared" si="358"/>
        <v>113.6812</v>
      </c>
      <c r="W1246" s="78">
        <f t="shared" si="359"/>
        <v>0</v>
      </c>
      <c r="X1246" s="1878" t="str">
        <f t="shared" si="357"/>
        <v xml:space="preserve">9.- R Aeolus 0100114-OT_227452  Reencauche F101-00004641 </v>
      </c>
      <c r="Z1246" s="19" t="str">
        <f t="shared" si="363"/>
        <v>ReencaucheReencauchadora RENOVA</v>
      </c>
    </row>
    <row r="1247" spans="2:26" ht="15.2" customHeight="1">
      <c r="B1247" s="37"/>
      <c r="E1247" s="66">
        <v>10</v>
      </c>
      <c r="F1247" s="67" t="s">
        <v>723</v>
      </c>
      <c r="G1247" s="68" t="s">
        <v>724</v>
      </c>
      <c r="H1247" s="69" t="s">
        <v>1411</v>
      </c>
      <c r="I1247" s="68" t="s">
        <v>726</v>
      </c>
      <c r="J1247" s="70" t="s">
        <v>760</v>
      </c>
      <c r="K1247" s="71" t="s">
        <v>1412</v>
      </c>
      <c r="L1247" s="72">
        <v>42601</v>
      </c>
      <c r="M1247" s="73" t="s">
        <v>729</v>
      </c>
      <c r="N1247" s="74">
        <v>42607</v>
      </c>
      <c r="O1247" s="75">
        <v>42607</v>
      </c>
      <c r="P1247" s="2765" t="s">
        <v>677</v>
      </c>
      <c r="Q1247" s="2954">
        <v>96.34</v>
      </c>
      <c r="R1247" s="76"/>
      <c r="S1247" s="1945" t="s">
        <v>731</v>
      </c>
      <c r="T1247" s="77"/>
      <c r="U1247" s="1893"/>
      <c r="V1247" s="2079">
        <f t="shared" si="358"/>
        <v>113.6812</v>
      </c>
      <c r="W1247" s="78">
        <f t="shared" si="359"/>
        <v>0</v>
      </c>
      <c r="X1247" s="1878" t="str">
        <f t="shared" si="357"/>
        <v xml:space="preserve">10.- R Aeolus 0090114-OT_227452  Reencauche F101-00004641 </v>
      </c>
      <c r="Z1247" s="19" t="str">
        <f t="shared" si="363"/>
        <v>ReencaucheReencauchadora RENOVA</v>
      </c>
    </row>
    <row r="1248" spans="2:26" ht="15.2" customHeight="1">
      <c r="B1248" s="37"/>
      <c r="E1248" s="66">
        <v>11</v>
      </c>
      <c r="F1248" s="67" t="s">
        <v>732</v>
      </c>
      <c r="G1248" s="68" t="s">
        <v>733</v>
      </c>
      <c r="H1248" s="69" t="s">
        <v>1073</v>
      </c>
      <c r="I1248" s="68" t="s">
        <v>726</v>
      </c>
      <c r="J1248" s="70" t="s">
        <v>760</v>
      </c>
      <c r="K1248" s="71" t="s">
        <v>1414</v>
      </c>
      <c r="L1248" s="72">
        <v>42601</v>
      </c>
      <c r="M1248" s="73" t="s">
        <v>729</v>
      </c>
      <c r="N1248" s="74">
        <v>42607</v>
      </c>
      <c r="O1248" s="75">
        <f>+N1248</f>
        <v>42607</v>
      </c>
      <c r="P1248" s="2765" t="s">
        <v>678</v>
      </c>
      <c r="Q1248" s="2954">
        <v>0</v>
      </c>
      <c r="R1248" s="76"/>
      <c r="S1248" s="1945" t="s">
        <v>731</v>
      </c>
      <c r="T1248" s="1875" t="s">
        <v>679</v>
      </c>
      <c r="U1248" s="1893"/>
      <c r="V1248" s="2079">
        <f t="shared" si="358"/>
        <v>0</v>
      </c>
      <c r="W1248" s="78">
        <f t="shared" si="359"/>
        <v>0</v>
      </c>
      <c r="X1248" s="1878" t="str">
        <f t="shared" si="357"/>
        <v>11.- C Lima Caucho 0220108-OT_226350  Reencauche G033-0012111 Rechazada, G033-0012111</v>
      </c>
      <c r="Z1248" s="19" t="str">
        <f t="shared" si="363"/>
        <v>ReencaucheReencauchadora RENOVA</v>
      </c>
    </row>
    <row r="1249" spans="2:26" ht="15.2" customHeight="1">
      <c r="B1249" s="37"/>
      <c r="E1249" s="66">
        <v>12</v>
      </c>
      <c r="F1249" s="67" t="s">
        <v>732</v>
      </c>
      <c r="G1249" s="68" t="s">
        <v>733</v>
      </c>
      <c r="H1249" s="69" t="s">
        <v>911</v>
      </c>
      <c r="I1249" s="68" t="s">
        <v>726</v>
      </c>
      <c r="J1249" s="70" t="s">
        <v>760</v>
      </c>
      <c r="K1249" s="71" t="s">
        <v>1414</v>
      </c>
      <c r="L1249" s="72">
        <v>42601</v>
      </c>
      <c r="M1249" s="73" t="s">
        <v>729</v>
      </c>
      <c r="N1249" s="74">
        <v>42607</v>
      </c>
      <c r="O1249" s="75">
        <f>+N1249</f>
        <v>42607</v>
      </c>
      <c r="P1249" s="2765" t="s">
        <v>678</v>
      </c>
      <c r="Q1249" s="2954">
        <v>0</v>
      </c>
      <c r="R1249" s="76"/>
      <c r="S1249" s="1945" t="s">
        <v>731</v>
      </c>
      <c r="T1249" s="1875" t="s">
        <v>679</v>
      </c>
      <c r="U1249" s="1893"/>
      <c r="V1249" s="2079">
        <f t="shared" si="358"/>
        <v>0</v>
      </c>
      <c r="W1249" s="78">
        <f t="shared" si="359"/>
        <v>0</v>
      </c>
      <c r="X1249" s="1878" t="str">
        <f t="shared" si="357"/>
        <v>12.- C Lima Caucho 0630808-OT_226350  Reencauche G033-0012111 Rechazada, G033-0012111</v>
      </c>
      <c r="Z1249" s="19" t="str">
        <f t="shared" si="363"/>
        <v>ReencaucheReenc. MASTERCAUCHO</v>
      </c>
    </row>
    <row r="1250" spans="2:26" ht="15.2" customHeight="1">
      <c r="B1250" s="37"/>
      <c r="E1250" s="66">
        <v>13</v>
      </c>
      <c r="F1250" s="67" t="s">
        <v>732</v>
      </c>
      <c r="G1250" s="68" t="s">
        <v>733</v>
      </c>
      <c r="H1250" s="69" t="s">
        <v>1523</v>
      </c>
      <c r="I1250" s="68" t="s">
        <v>726</v>
      </c>
      <c r="J1250" s="70" t="s">
        <v>760</v>
      </c>
      <c r="K1250" s="71" t="s">
        <v>1414</v>
      </c>
      <c r="L1250" s="72">
        <v>42601</v>
      </c>
      <c r="M1250" s="73" t="s">
        <v>729</v>
      </c>
      <c r="N1250" s="74">
        <v>42607</v>
      </c>
      <c r="O1250" s="75">
        <f>+N1250</f>
        <v>42607</v>
      </c>
      <c r="P1250" s="2765" t="s">
        <v>678</v>
      </c>
      <c r="Q1250" s="2954">
        <v>0</v>
      </c>
      <c r="R1250" s="76"/>
      <c r="S1250" s="1945" t="s">
        <v>731</v>
      </c>
      <c r="T1250" s="1875" t="s">
        <v>679</v>
      </c>
      <c r="U1250" s="1893"/>
      <c r="V1250" s="2079">
        <f t="shared" si="358"/>
        <v>0</v>
      </c>
      <c r="W1250" s="78">
        <f t="shared" si="359"/>
        <v>0</v>
      </c>
      <c r="X1250" s="1878" t="str">
        <f t="shared" ref="X1250:X1313" si="364">CONCATENATE(E1250,".- ",F1250," ",G1250," ",H1250,"-OT_",K1250," "," ",I1250," ",P1250," ",T1250)</f>
        <v>13.- C Lima Caucho 0550807-OT_226350  Reencauche G033-0012111 Rechazada, G033-0012111</v>
      </c>
      <c r="Z1250" s="19" t="str">
        <f>CONCATENATE(I1253,J1253)</f>
        <v>ReencaucheReenc. MASTERCAUCHO</v>
      </c>
    </row>
    <row r="1251" spans="2:26" ht="15.2" customHeight="1">
      <c r="B1251" s="37"/>
      <c r="E1251" s="79">
        <v>14</v>
      </c>
      <c r="F1251" s="3150" t="s">
        <v>732</v>
      </c>
      <c r="G1251" s="2576" t="s">
        <v>737</v>
      </c>
      <c r="H1251" s="2577" t="s">
        <v>787</v>
      </c>
      <c r="I1251" s="2576" t="s">
        <v>726</v>
      </c>
      <c r="J1251" s="2578" t="s">
        <v>760</v>
      </c>
      <c r="K1251" s="2579" t="s">
        <v>1414</v>
      </c>
      <c r="L1251" s="2580">
        <v>42601</v>
      </c>
      <c r="M1251" s="3132" t="s">
        <v>729</v>
      </c>
      <c r="N1251" s="2582">
        <v>42635</v>
      </c>
      <c r="O1251" s="2583">
        <v>42635</v>
      </c>
      <c r="P1251" s="2941" t="s">
        <v>1028</v>
      </c>
      <c r="Q1251" s="2957">
        <v>0</v>
      </c>
      <c r="R1251" s="2584"/>
      <c r="S1251" s="2585" t="s">
        <v>731</v>
      </c>
      <c r="T1251" s="77" t="s">
        <v>1029</v>
      </c>
      <c r="U1251" s="1893"/>
      <c r="V1251" s="2079">
        <f t="shared" ref="V1251:V1314" si="365">+Q1251*(1.18)</f>
        <v>0</v>
      </c>
      <c r="W1251" s="78">
        <f t="shared" ref="W1251:W1314" si="366">+R1251*(1.18)</f>
        <v>0</v>
      </c>
      <c r="X1251" s="1878" t="str">
        <f t="shared" si="364"/>
        <v>14.- C Vikrant 0801007-OT_226350  Reencauche G031-0020075 Rechazada, G031-0020075</v>
      </c>
      <c r="Z1251" s="19" t="str">
        <f>CONCATENATE(I1254,J1254)</f>
        <v>ReencaucheReenc. MASTERCAUCHO</v>
      </c>
    </row>
    <row r="1252" spans="2:26" ht="15.2" customHeight="1">
      <c r="B1252" s="37"/>
      <c r="E1252" s="66">
        <v>1</v>
      </c>
      <c r="F1252" s="67" t="s">
        <v>732</v>
      </c>
      <c r="G1252" s="68" t="s">
        <v>733</v>
      </c>
      <c r="H1252" s="69" t="s">
        <v>35</v>
      </c>
      <c r="I1252" s="68" t="s">
        <v>726</v>
      </c>
      <c r="J1252" s="70" t="s">
        <v>727</v>
      </c>
      <c r="K1252" s="71" t="s">
        <v>37</v>
      </c>
      <c r="L1252" s="72">
        <v>42585</v>
      </c>
      <c r="M1252" s="73" t="s">
        <v>729</v>
      </c>
      <c r="N1252" s="74">
        <v>42591</v>
      </c>
      <c r="O1252" s="75">
        <f t="shared" ref="O1252:O1290" si="367">+N1252</f>
        <v>42591</v>
      </c>
      <c r="P1252" s="2765" t="s">
        <v>2119</v>
      </c>
      <c r="Q1252" s="2954"/>
      <c r="R1252" s="76">
        <v>262.71190000000001</v>
      </c>
      <c r="S1252" s="1945" t="s">
        <v>731</v>
      </c>
      <c r="T1252" s="77"/>
      <c r="U1252" s="1893"/>
      <c r="V1252" s="2079">
        <f t="shared" si="365"/>
        <v>0</v>
      </c>
      <c r="W1252" s="78">
        <f t="shared" si="366"/>
        <v>310.00004200000001</v>
      </c>
      <c r="X1252" s="1878" t="str">
        <f t="shared" si="364"/>
        <v xml:space="preserve">1.- C Lima Caucho 1420207-OT_003466  Reencauche 0001-006020 </v>
      </c>
      <c r="Z1252" s="19" t="str">
        <f>CONCATENATE(I1255,J1255)</f>
        <v>ReencaucheReenc. MASTERCAUCHO</v>
      </c>
    </row>
    <row r="1253" spans="2:26" ht="15.2" customHeight="1">
      <c r="B1253" s="37"/>
      <c r="E1253" s="66">
        <v>2</v>
      </c>
      <c r="F1253" s="67" t="s">
        <v>732</v>
      </c>
      <c r="G1253" s="68" t="s">
        <v>733</v>
      </c>
      <c r="H1253" s="69" t="s">
        <v>1810</v>
      </c>
      <c r="I1253" s="68" t="s">
        <v>726</v>
      </c>
      <c r="J1253" s="70" t="s">
        <v>727</v>
      </c>
      <c r="K1253" s="71" t="s">
        <v>37</v>
      </c>
      <c r="L1253" s="72">
        <v>42585</v>
      </c>
      <c r="M1253" s="73" t="s">
        <v>729</v>
      </c>
      <c r="N1253" s="74">
        <v>42591</v>
      </c>
      <c r="O1253" s="75">
        <f t="shared" si="367"/>
        <v>42591</v>
      </c>
      <c r="P1253" s="2765" t="s">
        <v>2119</v>
      </c>
      <c r="Q1253" s="2954"/>
      <c r="R1253" s="76">
        <v>262.71190000000001</v>
      </c>
      <c r="S1253" s="1945" t="s">
        <v>731</v>
      </c>
      <c r="T1253" s="77"/>
      <c r="U1253" s="1893"/>
      <c r="V1253" s="2079">
        <f t="shared" si="365"/>
        <v>0</v>
      </c>
      <c r="W1253" s="78">
        <f t="shared" si="366"/>
        <v>310.00004200000001</v>
      </c>
      <c r="X1253" s="1878" t="str">
        <f t="shared" si="364"/>
        <v xml:space="preserve">2.- C Lima Caucho 0390707-OT_003466  Reencauche 0001-006020 </v>
      </c>
      <c r="Z1253" s="19" t="str">
        <f>CONCATENATE(I1256,J1256)</f>
        <v>Vulcanizado (curación)Reenc. MASTERCAUCHO</v>
      </c>
    </row>
    <row r="1254" spans="2:26" ht="15.2" customHeight="1">
      <c r="B1254" s="37"/>
      <c r="E1254" s="66">
        <v>3</v>
      </c>
      <c r="F1254" s="67" t="s">
        <v>732</v>
      </c>
      <c r="G1254" s="68" t="s">
        <v>733</v>
      </c>
      <c r="H1254" s="69" t="s">
        <v>930</v>
      </c>
      <c r="I1254" s="68" t="s">
        <v>726</v>
      </c>
      <c r="J1254" s="70" t="s">
        <v>727</v>
      </c>
      <c r="K1254" s="71" t="s">
        <v>37</v>
      </c>
      <c r="L1254" s="72">
        <v>42585</v>
      </c>
      <c r="M1254" s="73" t="s">
        <v>729</v>
      </c>
      <c r="N1254" s="74">
        <v>42591</v>
      </c>
      <c r="O1254" s="75">
        <f t="shared" si="367"/>
        <v>42591</v>
      </c>
      <c r="P1254" s="2765" t="s">
        <v>2119</v>
      </c>
      <c r="Q1254" s="2954"/>
      <c r="R1254" s="76">
        <v>262.71190000000001</v>
      </c>
      <c r="S1254" s="1945" t="s">
        <v>731</v>
      </c>
      <c r="T1254" s="77"/>
      <c r="U1254" s="1893"/>
      <c r="V1254" s="2079">
        <f t="shared" si="365"/>
        <v>0</v>
      </c>
      <c r="W1254" s="78">
        <f t="shared" si="366"/>
        <v>310.00004200000001</v>
      </c>
      <c r="X1254" s="1878" t="str">
        <f t="shared" si="364"/>
        <v xml:space="preserve">3.- C Lima Caucho 0210211-OT_003466  Reencauche 0001-006020 </v>
      </c>
      <c r="Z1254" s="19" t="str">
        <f>CONCATENATE(I1257,J1257)</f>
        <v>Vulcanizado (curación)Reenc. MASTERCAUCHO</v>
      </c>
    </row>
    <row r="1255" spans="2:26" ht="15.2" customHeight="1">
      <c r="B1255" s="37"/>
      <c r="E1255" s="66">
        <v>4</v>
      </c>
      <c r="F1255" s="67" t="s">
        <v>732</v>
      </c>
      <c r="G1255" s="68" t="s">
        <v>733</v>
      </c>
      <c r="H1255" s="69" t="s">
        <v>1513</v>
      </c>
      <c r="I1255" s="68" t="s">
        <v>726</v>
      </c>
      <c r="J1255" s="70" t="s">
        <v>727</v>
      </c>
      <c r="K1255" s="71" t="s">
        <v>37</v>
      </c>
      <c r="L1255" s="72">
        <v>42585</v>
      </c>
      <c r="M1255" s="73" t="s">
        <v>729</v>
      </c>
      <c r="N1255" s="74">
        <v>42591</v>
      </c>
      <c r="O1255" s="75">
        <f t="shared" si="367"/>
        <v>42591</v>
      </c>
      <c r="P1255" s="2765" t="s">
        <v>2119</v>
      </c>
      <c r="Q1255" s="2954"/>
      <c r="R1255" s="76">
        <v>262.71190000000001</v>
      </c>
      <c r="S1255" s="1945" t="s">
        <v>731</v>
      </c>
      <c r="T1255" s="77"/>
      <c r="U1255" s="1893"/>
      <c r="V1255" s="2079">
        <f t="shared" si="365"/>
        <v>0</v>
      </c>
      <c r="W1255" s="78">
        <f t="shared" si="366"/>
        <v>310.00004200000001</v>
      </c>
      <c r="X1255" s="1878" t="str">
        <f t="shared" si="364"/>
        <v xml:space="preserve">4.- C Lima Caucho 1041107-OT_003466  Reencauche 0001-006020 </v>
      </c>
      <c r="Z1255" s="19" t="str">
        <f t="shared" ref="Z1255:Z1281" si="368">CONCATENATE(I1258,J1258)</f>
        <v>Vulcanizado (curación)Reenc. MASTERCAUCHO</v>
      </c>
    </row>
    <row r="1256" spans="2:26" ht="15.2" customHeight="1">
      <c r="B1256" s="37"/>
      <c r="E1256" s="66">
        <v>5</v>
      </c>
      <c r="F1256" s="67" t="s">
        <v>732</v>
      </c>
      <c r="G1256" s="68" t="s">
        <v>733</v>
      </c>
      <c r="H1256" s="69" t="s">
        <v>1519</v>
      </c>
      <c r="I1256" s="2141" t="s">
        <v>811</v>
      </c>
      <c r="J1256" s="70" t="s">
        <v>727</v>
      </c>
      <c r="K1256" s="71" t="s">
        <v>37</v>
      </c>
      <c r="L1256" s="72">
        <v>42585</v>
      </c>
      <c r="M1256" s="73" t="s">
        <v>729</v>
      </c>
      <c r="N1256" s="74">
        <v>42591</v>
      </c>
      <c r="O1256" s="75">
        <f t="shared" si="367"/>
        <v>42591</v>
      </c>
      <c r="P1256" s="2765" t="s">
        <v>2119</v>
      </c>
      <c r="Q1256" s="2954"/>
      <c r="R1256" s="76">
        <v>105.93</v>
      </c>
      <c r="S1256" s="1945" t="s">
        <v>731</v>
      </c>
      <c r="T1256" s="77"/>
      <c r="U1256" s="1893"/>
      <c r="V1256" s="2079">
        <f t="shared" si="365"/>
        <v>0</v>
      </c>
      <c r="W1256" s="78">
        <f t="shared" si="366"/>
        <v>124.9974</v>
      </c>
      <c r="X1256" s="1878" t="str">
        <f t="shared" si="364"/>
        <v xml:space="preserve">5.- C Lima Caucho 0630907-OT_003466  Vulcanizado (curación) 0001-006020 </v>
      </c>
      <c r="Z1256" s="19" t="str">
        <f t="shared" si="368"/>
        <v>ReencaucheReenc. MASTERCAUCHO</v>
      </c>
    </row>
    <row r="1257" spans="2:26" ht="15.2" customHeight="1">
      <c r="B1257" s="37"/>
      <c r="E1257" s="66">
        <v>6</v>
      </c>
      <c r="F1257" s="67" t="s">
        <v>732</v>
      </c>
      <c r="G1257" s="68" t="s">
        <v>733</v>
      </c>
      <c r="H1257" s="69" t="s">
        <v>886</v>
      </c>
      <c r="I1257" s="2141" t="s">
        <v>811</v>
      </c>
      <c r="J1257" s="70" t="s">
        <v>727</v>
      </c>
      <c r="K1257" s="71" t="s">
        <v>37</v>
      </c>
      <c r="L1257" s="72">
        <v>42585</v>
      </c>
      <c r="M1257" s="73" t="s">
        <v>729</v>
      </c>
      <c r="N1257" s="74">
        <v>42591</v>
      </c>
      <c r="O1257" s="75">
        <f t="shared" si="367"/>
        <v>42591</v>
      </c>
      <c r="P1257" s="2765" t="s">
        <v>2119</v>
      </c>
      <c r="Q1257" s="2954"/>
      <c r="R1257" s="76">
        <v>105.93</v>
      </c>
      <c r="S1257" s="1945" t="s">
        <v>731</v>
      </c>
      <c r="T1257" s="77"/>
      <c r="U1257" s="1893"/>
      <c r="V1257" s="2079">
        <f t="shared" si="365"/>
        <v>0</v>
      </c>
      <c r="W1257" s="78">
        <f t="shared" si="366"/>
        <v>124.9974</v>
      </c>
      <c r="X1257" s="1878" t="str">
        <f t="shared" si="364"/>
        <v xml:space="preserve">6.- C Lima Caucho 0800910-OT_003466  Vulcanizado (curación) 0001-006020 </v>
      </c>
      <c r="Z1257" s="19" t="str">
        <f t="shared" si="368"/>
        <v>ReencaucheReenc. MASTERCAUCHO</v>
      </c>
    </row>
    <row r="1258" spans="2:26" ht="15.2" customHeight="1">
      <c r="B1258" s="37"/>
      <c r="E1258" s="79">
        <v>7</v>
      </c>
      <c r="F1258" s="80" t="s">
        <v>723</v>
      </c>
      <c r="G1258" s="81" t="s">
        <v>724</v>
      </c>
      <c r="H1258" s="82" t="s">
        <v>36</v>
      </c>
      <c r="I1258" s="2142" t="s">
        <v>811</v>
      </c>
      <c r="J1258" s="83" t="s">
        <v>727</v>
      </c>
      <c r="K1258" s="84" t="s">
        <v>37</v>
      </c>
      <c r="L1258" s="85">
        <v>42585</v>
      </c>
      <c r="M1258" s="86" t="s">
        <v>729</v>
      </c>
      <c r="N1258" s="87">
        <v>42591</v>
      </c>
      <c r="O1258" s="88">
        <f t="shared" si="367"/>
        <v>42591</v>
      </c>
      <c r="P1258" s="2766" t="s">
        <v>2119</v>
      </c>
      <c r="Q1258" s="2955"/>
      <c r="R1258" s="89">
        <v>105.93</v>
      </c>
      <c r="S1258" s="1946" t="s">
        <v>731</v>
      </c>
      <c r="T1258" s="77"/>
      <c r="U1258" s="1893"/>
      <c r="V1258" s="2079">
        <f t="shared" si="365"/>
        <v>0</v>
      </c>
      <c r="W1258" s="78">
        <f t="shared" si="366"/>
        <v>124.9974</v>
      </c>
      <c r="X1258" s="1878" t="str">
        <f t="shared" si="364"/>
        <v xml:space="preserve">7.- R Aeolus 0160114-OT_003466  Vulcanizado (curación) 0001-006020 </v>
      </c>
      <c r="Z1258" s="19" t="str">
        <f t="shared" si="368"/>
        <v>ReencaucheReenc. MASTERCAUCHO</v>
      </c>
    </row>
    <row r="1259" spans="2:26" ht="15.2" customHeight="1">
      <c r="B1259" s="37"/>
      <c r="E1259" s="66">
        <v>1</v>
      </c>
      <c r="F1259" s="67" t="s">
        <v>732</v>
      </c>
      <c r="G1259" s="68" t="s">
        <v>733</v>
      </c>
      <c r="H1259" s="69" t="s">
        <v>1719</v>
      </c>
      <c r="I1259" s="68" t="s">
        <v>726</v>
      </c>
      <c r="J1259" s="70" t="s">
        <v>727</v>
      </c>
      <c r="K1259" s="71" t="s">
        <v>1143</v>
      </c>
      <c r="L1259" s="72">
        <v>42573</v>
      </c>
      <c r="M1259" s="73" t="s">
        <v>729</v>
      </c>
      <c r="N1259" s="74">
        <v>42584</v>
      </c>
      <c r="O1259" s="75">
        <f t="shared" si="367"/>
        <v>42584</v>
      </c>
      <c r="P1259" s="2765" t="s">
        <v>34</v>
      </c>
      <c r="Q1259" s="2954"/>
      <c r="R1259" s="76">
        <v>279.66000000000003</v>
      </c>
      <c r="S1259" s="1945" t="s">
        <v>731</v>
      </c>
      <c r="T1259" s="77"/>
      <c r="U1259" s="1893"/>
      <c r="V1259" s="2079">
        <f t="shared" si="365"/>
        <v>0</v>
      </c>
      <c r="W1259" s="78">
        <f t="shared" si="366"/>
        <v>329.99880000000002</v>
      </c>
      <c r="X1259" s="1878" t="str">
        <f t="shared" si="364"/>
        <v xml:space="preserve">1.- C Lima Caucho 0330507-OT_003461  Reencauche 0001-005973 </v>
      </c>
      <c r="Z1259" s="19" t="str">
        <f t="shared" si="368"/>
        <v>ReencaucheReencauchadora RENOVA</v>
      </c>
    </row>
    <row r="1260" spans="2:26" ht="15.2" customHeight="1">
      <c r="B1260" s="37"/>
      <c r="E1260" s="66">
        <v>2</v>
      </c>
      <c r="F1260" s="67" t="s">
        <v>732</v>
      </c>
      <c r="G1260" s="68" t="s">
        <v>737</v>
      </c>
      <c r="H1260" s="69" t="s">
        <v>1015</v>
      </c>
      <c r="I1260" s="68" t="s">
        <v>726</v>
      </c>
      <c r="J1260" s="70" t="s">
        <v>727</v>
      </c>
      <c r="K1260" s="71" t="s">
        <v>1143</v>
      </c>
      <c r="L1260" s="72">
        <v>42573</v>
      </c>
      <c r="M1260" s="73" t="s">
        <v>729</v>
      </c>
      <c r="N1260" s="74">
        <v>42584</v>
      </c>
      <c r="O1260" s="75">
        <f t="shared" si="367"/>
        <v>42584</v>
      </c>
      <c r="P1260" s="2765" t="s">
        <v>34</v>
      </c>
      <c r="Q1260" s="2954"/>
      <c r="R1260" s="76">
        <v>279.66000000000003</v>
      </c>
      <c r="S1260" s="1945" t="s">
        <v>731</v>
      </c>
      <c r="T1260" s="77"/>
      <c r="U1260" s="1893"/>
      <c r="V1260" s="2079">
        <f t="shared" si="365"/>
        <v>0</v>
      </c>
      <c r="W1260" s="78">
        <f t="shared" si="366"/>
        <v>329.99880000000002</v>
      </c>
      <c r="X1260" s="1878" t="str">
        <f t="shared" si="364"/>
        <v xml:space="preserve">2.- C Vikrant 0450510-OT_003461  Reencauche 0001-005973 </v>
      </c>
      <c r="Z1260" s="19" t="str">
        <f t="shared" si="368"/>
        <v>ReencaucheReencauchadora RENOVA</v>
      </c>
    </row>
    <row r="1261" spans="2:26" ht="15.2" customHeight="1">
      <c r="B1261" s="37"/>
      <c r="E1261" s="79">
        <v>3</v>
      </c>
      <c r="F1261" s="80" t="s">
        <v>723</v>
      </c>
      <c r="G1261" s="81" t="s">
        <v>724</v>
      </c>
      <c r="H1261" s="82" t="s">
        <v>12</v>
      </c>
      <c r="I1261" s="81" t="s">
        <v>726</v>
      </c>
      <c r="J1261" s="83" t="s">
        <v>727</v>
      </c>
      <c r="K1261" s="84" t="s">
        <v>1143</v>
      </c>
      <c r="L1261" s="85">
        <v>42573</v>
      </c>
      <c r="M1261" s="86" t="s">
        <v>729</v>
      </c>
      <c r="N1261" s="87">
        <v>42584</v>
      </c>
      <c r="O1261" s="88">
        <f t="shared" si="367"/>
        <v>42584</v>
      </c>
      <c r="P1261" s="2766" t="s">
        <v>34</v>
      </c>
      <c r="Q1261" s="2955"/>
      <c r="R1261" s="89">
        <v>288.13499999999999</v>
      </c>
      <c r="S1261" s="1946" t="s">
        <v>731</v>
      </c>
      <c r="T1261" s="77"/>
      <c r="U1261" s="1893"/>
      <c r="V1261" s="2079">
        <f t="shared" si="365"/>
        <v>0</v>
      </c>
      <c r="W1261" s="78">
        <f t="shared" si="366"/>
        <v>339.99929999999995</v>
      </c>
      <c r="X1261" s="1878" t="str">
        <f t="shared" si="364"/>
        <v xml:space="preserve">3.- R Aeolus 0260413-OT_003461  Reencauche 0001-005973 </v>
      </c>
      <c r="Z1261" s="19" t="str">
        <f t="shared" si="368"/>
        <v>ReencaucheReencauchadora RENOVA</v>
      </c>
    </row>
    <row r="1262" spans="2:26" ht="15.2" customHeight="1">
      <c r="B1262" s="37"/>
      <c r="E1262" s="66">
        <v>1</v>
      </c>
      <c r="F1262" s="67" t="s">
        <v>732</v>
      </c>
      <c r="G1262" s="68" t="s">
        <v>733</v>
      </c>
      <c r="H1262" s="69" t="s">
        <v>1124</v>
      </c>
      <c r="I1262" s="68" t="s">
        <v>726</v>
      </c>
      <c r="J1262" s="70" t="s">
        <v>760</v>
      </c>
      <c r="K1262" s="71" t="s">
        <v>1514</v>
      </c>
      <c r="L1262" s="72">
        <v>42570</v>
      </c>
      <c r="M1262" s="73" t="s">
        <v>729</v>
      </c>
      <c r="N1262" s="74">
        <v>42577</v>
      </c>
      <c r="O1262" s="75">
        <f t="shared" si="367"/>
        <v>42577</v>
      </c>
      <c r="P1262" s="2765" t="s">
        <v>576</v>
      </c>
      <c r="Q1262" s="2954">
        <v>90.26</v>
      </c>
      <c r="R1262" s="76"/>
      <c r="S1262" s="1945" t="s">
        <v>731</v>
      </c>
      <c r="T1262" s="77"/>
      <c r="U1262" s="1893"/>
      <c r="V1262" s="2079">
        <f t="shared" si="365"/>
        <v>106.5068</v>
      </c>
      <c r="W1262" s="78">
        <f t="shared" si="366"/>
        <v>0</v>
      </c>
      <c r="X1262" s="1878" t="str">
        <f t="shared" si="364"/>
        <v xml:space="preserve">1.- C Lima Caucho 1000908-OT_226227  Reencauche F102-00002637 </v>
      </c>
      <c r="Z1262" s="19" t="str">
        <f t="shared" ref="Z1262:Z1274" si="369">CONCATENATE(I1265,J1265)</f>
        <v>ReencaucheReencauchadora RENOVA</v>
      </c>
    </row>
    <row r="1263" spans="2:26" ht="15.2" customHeight="1">
      <c r="B1263" s="37"/>
      <c r="E1263" s="66">
        <v>2</v>
      </c>
      <c r="F1263" s="67" t="s">
        <v>732</v>
      </c>
      <c r="G1263" s="68" t="s">
        <v>737</v>
      </c>
      <c r="H1263" s="69" t="s">
        <v>1528</v>
      </c>
      <c r="I1263" s="68" t="s">
        <v>726</v>
      </c>
      <c r="J1263" s="70" t="s">
        <v>760</v>
      </c>
      <c r="K1263" s="71" t="s">
        <v>1514</v>
      </c>
      <c r="L1263" s="72">
        <v>42570</v>
      </c>
      <c r="M1263" s="73" t="s">
        <v>729</v>
      </c>
      <c r="N1263" s="74">
        <v>42577</v>
      </c>
      <c r="O1263" s="75">
        <f t="shared" si="367"/>
        <v>42577</v>
      </c>
      <c r="P1263" s="2765" t="s">
        <v>576</v>
      </c>
      <c r="Q1263" s="2954">
        <v>90.26</v>
      </c>
      <c r="R1263" s="2140"/>
      <c r="S1263" s="1945" t="s">
        <v>731</v>
      </c>
      <c r="T1263" s="77"/>
      <c r="U1263" s="1893"/>
      <c r="V1263" s="2079">
        <f t="shared" si="365"/>
        <v>106.5068</v>
      </c>
      <c r="W1263" s="78">
        <f t="shared" si="366"/>
        <v>0</v>
      </c>
      <c r="X1263" s="1878" t="str">
        <f t="shared" si="364"/>
        <v xml:space="preserve">2.- C Vikrant 0500411-OT_226227  Reencauche F102-00002637 </v>
      </c>
      <c r="Z1263" s="19" t="str">
        <f t="shared" si="369"/>
        <v>ReencaucheReencauchadora RENOVA</v>
      </c>
    </row>
    <row r="1264" spans="2:26" ht="15.2" customHeight="1">
      <c r="B1264" s="37"/>
      <c r="E1264" s="66">
        <v>3</v>
      </c>
      <c r="F1264" s="67" t="s">
        <v>732</v>
      </c>
      <c r="G1264" s="68" t="s">
        <v>737</v>
      </c>
      <c r="H1264" s="69" t="s">
        <v>1277</v>
      </c>
      <c r="I1264" s="68" t="s">
        <v>726</v>
      </c>
      <c r="J1264" s="70" t="s">
        <v>760</v>
      </c>
      <c r="K1264" s="71" t="s">
        <v>1514</v>
      </c>
      <c r="L1264" s="72">
        <v>42570</v>
      </c>
      <c r="M1264" s="73" t="s">
        <v>729</v>
      </c>
      <c r="N1264" s="74">
        <v>42577</v>
      </c>
      <c r="O1264" s="75">
        <f t="shared" si="367"/>
        <v>42577</v>
      </c>
      <c r="P1264" s="2765" t="s">
        <v>576</v>
      </c>
      <c r="Q1264" s="2954">
        <v>90.26</v>
      </c>
      <c r="R1264" s="76"/>
      <c r="S1264" s="1945" t="s">
        <v>731</v>
      </c>
      <c r="T1264" s="77"/>
      <c r="U1264" s="1893"/>
      <c r="V1264" s="2079">
        <f t="shared" si="365"/>
        <v>106.5068</v>
      </c>
      <c r="W1264" s="78">
        <f t="shared" si="366"/>
        <v>0</v>
      </c>
      <c r="X1264" s="1878" t="str">
        <f t="shared" si="364"/>
        <v xml:space="preserve">3.- C Vikrant 1070705-OT_226227  Reencauche F102-00002637 </v>
      </c>
      <c r="Z1264" s="19" t="str">
        <f t="shared" si="369"/>
        <v>ReencaucheReencauchadora RENOVA</v>
      </c>
    </row>
    <row r="1265" spans="2:26" ht="15.2" customHeight="1">
      <c r="B1265" s="37"/>
      <c r="E1265" s="66">
        <v>4</v>
      </c>
      <c r="F1265" s="67" t="s">
        <v>732</v>
      </c>
      <c r="G1265" s="68" t="s">
        <v>737</v>
      </c>
      <c r="H1265" s="69" t="s">
        <v>2278</v>
      </c>
      <c r="I1265" s="68" t="s">
        <v>726</v>
      </c>
      <c r="J1265" s="70" t="s">
        <v>760</v>
      </c>
      <c r="K1265" s="71" t="s">
        <v>1514</v>
      </c>
      <c r="L1265" s="72">
        <v>42570</v>
      </c>
      <c r="M1265" s="73" t="s">
        <v>729</v>
      </c>
      <c r="N1265" s="74">
        <v>42577</v>
      </c>
      <c r="O1265" s="75">
        <f t="shared" si="367"/>
        <v>42577</v>
      </c>
      <c r="P1265" s="2765" t="s">
        <v>576</v>
      </c>
      <c r="Q1265" s="2954">
        <v>90.26</v>
      </c>
      <c r="R1265" s="76"/>
      <c r="S1265" s="1945" t="s">
        <v>731</v>
      </c>
      <c r="T1265" s="77"/>
      <c r="U1265" s="1893"/>
      <c r="V1265" s="2079">
        <f t="shared" si="365"/>
        <v>106.5068</v>
      </c>
      <c r="W1265" s="78">
        <f t="shared" si="366"/>
        <v>0</v>
      </c>
      <c r="X1265" s="1878" t="str">
        <f t="shared" si="364"/>
        <v xml:space="preserve">4.- C Vikrant 0520709-OT_226227  Reencauche F102-00002637 </v>
      </c>
      <c r="Z1265" s="19" t="str">
        <f t="shared" si="369"/>
        <v>ReencaucheReencauchadora RENOVA</v>
      </c>
    </row>
    <row r="1266" spans="2:26" ht="15.2" customHeight="1">
      <c r="B1266" s="37"/>
      <c r="E1266" s="66">
        <v>5</v>
      </c>
      <c r="F1266" s="67" t="s">
        <v>732</v>
      </c>
      <c r="G1266" s="68" t="s">
        <v>737</v>
      </c>
      <c r="H1266" s="69" t="s">
        <v>1224</v>
      </c>
      <c r="I1266" s="68" t="s">
        <v>726</v>
      </c>
      <c r="J1266" s="70" t="s">
        <v>760</v>
      </c>
      <c r="K1266" s="71" t="s">
        <v>1514</v>
      </c>
      <c r="L1266" s="72">
        <v>42570</v>
      </c>
      <c r="M1266" s="73" t="s">
        <v>729</v>
      </c>
      <c r="N1266" s="74">
        <v>42577</v>
      </c>
      <c r="O1266" s="75">
        <f t="shared" si="367"/>
        <v>42577</v>
      </c>
      <c r="P1266" s="2765" t="s">
        <v>576</v>
      </c>
      <c r="Q1266" s="2954">
        <v>90.26</v>
      </c>
      <c r="R1266" s="76"/>
      <c r="S1266" s="1945" t="s">
        <v>731</v>
      </c>
      <c r="T1266" s="77"/>
      <c r="U1266" s="1893"/>
      <c r="V1266" s="2079">
        <f t="shared" si="365"/>
        <v>106.5068</v>
      </c>
      <c r="W1266" s="78">
        <f t="shared" si="366"/>
        <v>0</v>
      </c>
      <c r="X1266" s="1878" t="str">
        <f t="shared" si="364"/>
        <v xml:space="preserve">5.- C Vikrant 007022010-OT_226227  Reencauche F102-00002637 </v>
      </c>
      <c r="Z1266" s="19" t="str">
        <f t="shared" si="369"/>
        <v>ReencaucheReencauchadora RENOVA</v>
      </c>
    </row>
    <row r="1267" spans="2:26" ht="15.2" customHeight="1">
      <c r="B1267" s="37"/>
      <c r="E1267" s="66">
        <v>6</v>
      </c>
      <c r="F1267" s="67" t="s">
        <v>732</v>
      </c>
      <c r="G1267" s="68" t="s">
        <v>757</v>
      </c>
      <c r="H1267" s="69" t="s">
        <v>1091</v>
      </c>
      <c r="I1267" s="68" t="s">
        <v>726</v>
      </c>
      <c r="J1267" s="70" t="s">
        <v>760</v>
      </c>
      <c r="K1267" s="71" t="s">
        <v>1514</v>
      </c>
      <c r="L1267" s="72">
        <v>42570</v>
      </c>
      <c r="M1267" s="73" t="s">
        <v>729</v>
      </c>
      <c r="N1267" s="74">
        <v>42577</v>
      </c>
      <c r="O1267" s="75">
        <f t="shared" si="367"/>
        <v>42577</v>
      </c>
      <c r="P1267" s="2765" t="s">
        <v>576</v>
      </c>
      <c r="Q1267" s="2954">
        <v>90.26</v>
      </c>
      <c r="R1267" s="76"/>
      <c r="S1267" s="1945" t="s">
        <v>731</v>
      </c>
      <c r="T1267" s="77"/>
      <c r="U1267" s="1893"/>
      <c r="V1267" s="2079">
        <f t="shared" si="365"/>
        <v>106.5068</v>
      </c>
      <c r="W1267" s="78">
        <f t="shared" si="366"/>
        <v>0</v>
      </c>
      <c r="X1267" s="1878" t="str">
        <f t="shared" si="364"/>
        <v xml:space="preserve">6.- C Goodyear 1160704-OT_226227  Reencauche F102-00002637 </v>
      </c>
      <c r="Z1267" s="19" t="str">
        <f t="shared" si="369"/>
        <v>ReencaucheReencauchadora RENOVA</v>
      </c>
    </row>
    <row r="1268" spans="2:26" ht="15.2" customHeight="1">
      <c r="B1268" s="37"/>
      <c r="E1268" s="66">
        <v>7</v>
      </c>
      <c r="F1268" s="67" t="s">
        <v>732</v>
      </c>
      <c r="G1268" s="68" t="s">
        <v>733</v>
      </c>
      <c r="H1268" s="69" t="s">
        <v>1810</v>
      </c>
      <c r="I1268" s="68" t="s">
        <v>726</v>
      </c>
      <c r="J1268" s="70" t="s">
        <v>760</v>
      </c>
      <c r="K1268" s="71" t="s">
        <v>1514</v>
      </c>
      <c r="L1268" s="72">
        <v>42570</v>
      </c>
      <c r="M1268" s="73" t="s">
        <v>729</v>
      </c>
      <c r="N1268" s="74">
        <v>42577</v>
      </c>
      <c r="O1268" s="75">
        <f t="shared" si="367"/>
        <v>42577</v>
      </c>
      <c r="P1268" s="2765" t="s">
        <v>577</v>
      </c>
      <c r="Q1268" s="2954">
        <v>0</v>
      </c>
      <c r="R1268" s="76"/>
      <c r="S1268" s="1945" t="s">
        <v>731</v>
      </c>
      <c r="T1268" s="1875" t="s">
        <v>578</v>
      </c>
      <c r="U1268" s="1893"/>
      <c r="V1268" s="2079">
        <f t="shared" si="365"/>
        <v>0</v>
      </c>
      <c r="W1268" s="78">
        <f t="shared" si="366"/>
        <v>0</v>
      </c>
      <c r="X1268" s="1878" t="str">
        <f t="shared" si="364"/>
        <v>7.- C Lima Caucho 0390707-OT_226227  Reencauche G031-0019572 Rechazada, G031-0019572</v>
      </c>
      <c r="Z1268" s="19" t="str">
        <f t="shared" si="369"/>
        <v>ReencaucheReencauchadora RENOVA</v>
      </c>
    </row>
    <row r="1269" spans="2:26" ht="15.2" customHeight="1">
      <c r="B1269" s="37"/>
      <c r="E1269" s="66">
        <v>8</v>
      </c>
      <c r="F1269" s="67" t="s">
        <v>732</v>
      </c>
      <c r="G1269" s="68" t="s">
        <v>733</v>
      </c>
      <c r="H1269" s="69" t="s">
        <v>930</v>
      </c>
      <c r="I1269" s="68" t="s">
        <v>726</v>
      </c>
      <c r="J1269" s="70" t="s">
        <v>760</v>
      </c>
      <c r="K1269" s="71" t="s">
        <v>1514</v>
      </c>
      <c r="L1269" s="72">
        <v>42570</v>
      </c>
      <c r="M1269" s="73" t="s">
        <v>729</v>
      </c>
      <c r="N1269" s="74">
        <v>42577</v>
      </c>
      <c r="O1269" s="75">
        <f t="shared" si="367"/>
        <v>42577</v>
      </c>
      <c r="P1269" s="2765" t="s">
        <v>577</v>
      </c>
      <c r="Q1269" s="2954">
        <v>0</v>
      </c>
      <c r="R1269" s="76"/>
      <c r="S1269" s="1945" t="s">
        <v>731</v>
      </c>
      <c r="T1269" s="1875" t="s">
        <v>578</v>
      </c>
      <c r="U1269" s="1893"/>
      <c r="V1269" s="2079">
        <f t="shared" si="365"/>
        <v>0</v>
      </c>
      <c r="W1269" s="78">
        <f t="shared" si="366"/>
        <v>0</v>
      </c>
      <c r="X1269" s="1878" t="str">
        <f t="shared" si="364"/>
        <v>8.- C Lima Caucho 0210211-OT_226227  Reencauche G031-0019572 Rechazada, G031-0019572</v>
      </c>
      <c r="Z1269" s="19" t="str">
        <f t="shared" si="369"/>
        <v>ReencaucheReenc. MASTERCAUCHO</v>
      </c>
    </row>
    <row r="1270" spans="2:26" ht="15.2" customHeight="1">
      <c r="B1270" s="37"/>
      <c r="E1270" s="66">
        <v>9</v>
      </c>
      <c r="F1270" s="67" t="s">
        <v>732</v>
      </c>
      <c r="G1270" s="68" t="s">
        <v>733</v>
      </c>
      <c r="H1270" s="69" t="s">
        <v>1513</v>
      </c>
      <c r="I1270" s="68" t="s">
        <v>726</v>
      </c>
      <c r="J1270" s="70" t="s">
        <v>760</v>
      </c>
      <c r="K1270" s="71" t="s">
        <v>1514</v>
      </c>
      <c r="L1270" s="72">
        <v>42570</v>
      </c>
      <c r="M1270" s="73" t="s">
        <v>729</v>
      </c>
      <c r="N1270" s="74">
        <v>42577</v>
      </c>
      <c r="O1270" s="75">
        <f t="shared" si="367"/>
        <v>42577</v>
      </c>
      <c r="P1270" s="2765" t="s">
        <v>577</v>
      </c>
      <c r="Q1270" s="2954">
        <v>0</v>
      </c>
      <c r="R1270" s="76"/>
      <c r="S1270" s="1945" t="s">
        <v>731</v>
      </c>
      <c r="T1270" s="1875" t="s">
        <v>578</v>
      </c>
      <c r="U1270" s="1893"/>
      <c r="V1270" s="2079">
        <f t="shared" si="365"/>
        <v>0</v>
      </c>
      <c r="W1270" s="78">
        <f t="shared" si="366"/>
        <v>0</v>
      </c>
      <c r="X1270" s="1878" t="str">
        <f t="shared" si="364"/>
        <v>9.- C Lima Caucho 1041107-OT_226227  Reencauche G031-0019572 Rechazada, G031-0019572</v>
      </c>
      <c r="Z1270" s="19" t="str">
        <f t="shared" si="369"/>
        <v>ReencaucheReenc. MASTERCAUCHO</v>
      </c>
    </row>
    <row r="1271" spans="2:26" ht="15.2" customHeight="1">
      <c r="B1271" s="37"/>
      <c r="E1271" s="79">
        <v>10</v>
      </c>
      <c r="F1271" s="80" t="s">
        <v>732</v>
      </c>
      <c r="G1271" s="81" t="s">
        <v>733</v>
      </c>
      <c r="H1271" s="82" t="s">
        <v>1220</v>
      </c>
      <c r="I1271" s="81" t="s">
        <v>726</v>
      </c>
      <c r="J1271" s="83" t="s">
        <v>760</v>
      </c>
      <c r="K1271" s="84" t="s">
        <v>1514</v>
      </c>
      <c r="L1271" s="85">
        <v>42570</v>
      </c>
      <c r="M1271" s="86" t="s">
        <v>729</v>
      </c>
      <c r="N1271" s="87">
        <v>42577</v>
      </c>
      <c r="O1271" s="88">
        <f t="shared" si="367"/>
        <v>42577</v>
      </c>
      <c r="P1271" s="2766" t="s">
        <v>577</v>
      </c>
      <c r="Q1271" s="2955">
        <v>0</v>
      </c>
      <c r="R1271" s="89"/>
      <c r="S1271" s="1946" t="s">
        <v>731</v>
      </c>
      <c r="T1271" s="1875" t="s">
        <v>578</v>
      </c>
      <c r="U1271" s="1893"/>
      <c r="V1271" s="2079">
        <f t="shared" si="365"/>
        <v>0</v>
      </c>
      <c r="W1271" s="78">
        <f t="shared" si="366"/>
        <v>0</v>
      </c>
      <c r="X1271" s="1878" t="str">
        <f t="shared" si="364"/>
        <v>10.- C Lima Caucho 1421207-OT_226227  Reencauche G031-0019572 Rechazada, G031-0019572</v>
      </c>
      <c r="Z1271" s="19" t="str">
        <f t="shared" si="369"/>
        <v>ReencaucheReenc. MASTERCAUCHO</v>
      </c>
    </row>
    <row r="1272" spans="2:26" ht="15.2" customHeight="1">
      <c r="B1272" s="37"/>
      <c r="E1272" s="66">
        <v>1</v>
      </c>
      <c r="F1272" s="67" t="s">
        <v>732</v>
      </c>
      <c r="G1272" s="68" t="s">
        <v>733</v>
      </c>
      <c r="H1272" s="69" t="s">
        <v>1461</v>
      </c>
      <c r="I1272" s="68" t="s">
        <v>726</v>
      </c>
      <c r="J1272" s="70" t="s">
        <v>727</v>
      </c>
      <c r="K1272" s="71" t="s">
        <v>1515</v>
      </c>
      <c r="L1272" s="72">
        <v>42563</v>
      </c>
      <c r="M1272" s="73" t="s">
        <v>729</v>
      </c>
      <c r="N1272" s="74">
        <v>42567</v>
      </c>
      <c r="O1272" s="75">
        <f t="shared" si="367"/>
        <v>42567</v>
      </c>
      <c r="P1272" s="2765" t="s">
        <v>31</v>
      </c>
      <c r="Q1272" s="2954"/>
      <c r="R1272" s="76">
        <v>279.66000000000003</v>
      </c>
      <c r="S1272" s="1945" t="s">
        <v>731</v>
      </c>
      <c r="T1272" s="77"/>
      <c r="U1272" s="1893"/>
      <c r="V1272" s="2079">
        <f t="shared" si="365"/>
        <v>0</v>
      </c>
      <c r="W1272" s="78">
        <f t="shared" si="366"/>
        <v>329.99880000000002</v>
      </c>
      <c r="X1272" s="1878" t="str">
        <f t="shared" si="364"/>
        <v xml:space="preserve">1.- C Lima Caucho 0420707-OT_003452  Reencauche 0001-005972 </v>
      </c>
      <c r="Z1272" s="19" t="str">
        <f t="shared" si="369"/>
        <v>Vulcanizado (curación)Reenc. MASTERCAUCHO</v>
      </c>
    </row>
    <row r="1273" spans="2:26" ht="15.2" customHeight="1">
      <c r="B1273" s="37"/>
      <c r="E1273" s="66">
        <v>2</v>
      </c>
      <c r="F1273" s="67" t="s">
        <v>732</v>
      </c>
      <c r="G1273" s="68" t="s">
        <v>733</v>
      </c>
      <c r="H1273" s="69" t="s">
        <v>1365</v>
      </c>
      <c r="I1273" s="68" t="s">
        <v>726</v>
      </c>
      <c r="J1273" s="70" t="s">
        <v>727</v>
      </c>
      <c r="K1273" s="71" t="s">
        <v>1515</v>
      </c>
      <c r="L1273" s="72">
        <v>42563</v>
      </c>
      <c r="M1273" s="73" t="s">
        <v>729</v>
      </c>
      <c r="N1273" s="74">
        <v>42567</v>
      </c>
      <c r="O1273" s="75">
        <f t="shared" si="367"/>
        <v>42567</v>
      </c>
      <c r="P1273" s="2765" t="s">
        <v>31</v>
      </c>
      <c r="Q1273" s="2954"/>
      <c r="R1273" s="76">
        <v>279.66000000000003</v>
      </c>
      <c r="S1273" s="1945" t="s">
        <v>731</v>
      </c>
      <c r="T1273" s="77"/>
      <c r="U1273" s="1893"/>
      <c r="V1273" s="2079">
        <f t="shared" si="365"/>
        <v>0</v>
      </c>
      <c r="W1273" s="78">
        <f t="shared" si="366"/>
        <v>329.99880000000002</v>
      </c>
      <c r="X1273" s="1878" t="str">
        <f t="shared" si="364"/>
        <v xml:space="preserve">2.- C Lima Caucho 1131107-OT_003452  Reencauche 0001-005972 </v>
      </c>
      <c r="Z1273" s="19" t="str">
        <f t="shared" si="369"/>
        <v>Transpl BandaReenc. MASTERCAUCHO</v>
      </c>
    </row>
    <row r="1274" spans="2:26" ht="15.2" customHeight="1">
      <c r="B1274" s="37"/>
      <c r="E1274" s="66">
        <v>3</v>
      </c>
      <c r="F1274" s="67" t="s">
        <v>732</v>
      </c>
      <c r="G1274" s="68" t="s">
        <v>733</v>
      </c>
      <c r="H1274" s="69" t="s">
        <v>1238</v>
      </c>
      <c r="I1274" s="68" t="s">
        <v>726</v>
      </c>
      <c r="J1274" s="70" t="s">
        <v>727</v>
      </c>
      <c r="K1274" s="71" t="s">
        <v>1515</v>
      </c>
      <c r="L1274" s="72">
        <v>42563</v>
      </c>
      <c r="M1274" s="73" t="s">
        <v>729</v>
      </c>
      <c r="N1274" s="74">
        <v>42567</v>
      </c>
      <c r="O1274" s="75">
        <f t="shared" si="367"/>
        <v>42567</v>
      </c>
      <c r="P1274" s="2765" t="s">
        <v>31</v>
      </c>
      <c r="Q1274" s="2954"/>
      <c r="R1274" s="76">
        <v>279.66000000000003</v>
      </c>
      <c r="S1274" s="1945" t="s">
        <v>731</v>
      </c>
      <c r="T1274" s="77"/>
      <c r="U1274" s="1893"/>
      <c r="V1274" s="2079">
        <f t="shared" si="365"/>
        <v>0</v>
      </c>
      <c r="W1274" s="78">
        <f t="shared" si="366"/>
        <v>329.99880000000002</v>
      </c>
      <c r="X1274" s="1878" t="str">
        <f t="shared" si="364"/>
        <v xml:space="preserve">3.- C Lima Caucho 0980908-OT_003452  Reencauche 0001-005972 </v>
      </c>
      <c r="Z1274" s="19" t="str">
        <f t="shared" si="369"/>
        <v>Sacar_BandaReenc. MASTERCAUCHO</v>
      </c>
    </row>
    <row r="1275" spans="2:26" ht="15.2" customHeight="1">
      <c r="B1275" s="37"/>
      <c r="E1275" s="66">
        <v>4</v>
      </c>
      <c r="F1275" s="67" t="s">
        <v>732</v>
      </c>
      <c r="G1275" s="68" t="s">
        <v>733</v>
      </c>
      <c r="H1275" s="69" t="s">
        <v>891</v>
      </c>
      <c r="I1275" s="68" t="s">
        <v>811</v>
      </c>
      <c r="J1275" s="70" t="s">
        <v>727</v>
      </c>
      <c r="K1275" s="71" t="s">
        <v>1515</v>
      </c>
      <c r="L1275" s="72">
        <v>42563</v>
      </c>
      <c r="M1275" s="73" t="s">
        <v>729</v>
      </c>
      <c r="N1275" s="74">
        <v>42567</v>
      </c>
      <c r="O1275" s="75">
        <f t="shared" si="367"/>
        <v>42567</v>
      </c>
      <c r="P1275" s="2765" t="s">
        <v>31</v>
      </c>
      <c r="Q1275" s="2954"/>
      <c r="R1275" s="76">
        <v>105.93</v>
      </c>
      <c r="S1275" s="1945" t="s">
        <v>731</v>
      </c>
      <c r="T1275" s="77"/>
      <c r="U1275" s="1893"/>
      <c r="V1275" s="2079">
        <f t="shared" si="365"/>
        <v>0</v>
      </c>
      <c r="W1275" s="78">
        <f t="shared" si="366"/>
        <v>124.9974</v>
      </c>
      <c r="X1275" s="1878" t="str">
        <f t="shared" si="364"/>
        <v xml:space="preserve">4.- C Lima Caucho 1171210-OT_003452  Vulcanizado (curación) 0001-005972 </v>
      </c>
      <c r="Z1275" s="19" t="str">
        <f t="shared" si="368"/>
        <v>ReencaucheReenc. MASTERCAUCHO</v>
      </c>
    </row>
    <row r="1276" spans="2:26" ht="15.2" customHeight="1">
      <c r="B1276" s="37"/>
      <c r="E1276" s="66">
        <v>5</v>
      </c>
      <c r="F1276" s="2109" t="s">
        <v>732</v>
      </c>
      <c r="G1276" s="2095" t="s">
        <v>733</v>
      </c>
      <c r="H1276" s="2096" t="s">
        <v>1613</v>
      </c>
      <c r="I1276" s="90" t="s">
        <v>740</v>
      </c>
      <c r="J1276" s="92" t="s">
        <v>727</v>
      </c>
      <c r="K1276" s="243" t="s">
        <v>1515</v>
      </c>
      <c r="L1276" s="2099">
        <v>42563</v>
      </c>
      <c r="M1276" s="73" t="s">
        <v>729</v>
      </c>
      <c r="N1276" s="74">
        <v>42567</v>
      </c>
      <c r="O1276" s="75">
        <f t="shared" si="367"/>
        <v>42567</v>
      </c>
      <c r="P1276" s="2765" t="s">
        <v>31</v>
      </c>
      <c r="Q1276" s="2954"/>
      <c r="R1276" s="76">
        <v>127.12</v>
      </c>
      <c r="S1276" s="1945" t="s">
        <v>731</v>
      </c>
      <c r="T1276" s="77"/>
      <c r="U1276" s="1893"/>
      <c r="V1276" s="2079">
        <f t="shared" si="365"/>
        <v>0</v>
      </c>
      <c r="W1276" s="78">
        <f t="shared" si="366"/>
        <v>150.0016</v>
      </c>
      <c r="X1276" s="1878" t="str">
        <f t="shared" si="364"/>
        <v xml:space="preserve">5.- C Lima Caucho 1311207-OT_003452  Transpl Banda 0001-005972 </v>
      </c>
      <c r="Z1276" s="19" t="str">
        <f t="shared" si="368"/>
        <v>ReencaucheReencauchadora RENOVA</v>
      </c>
    </row>
    <row r="1277" spans="2:26" ht="15.2" customHeight="1">
      <c r="B1277" s="37"/>
      <c r="E1277" s="66">
        <v>6</v>
      </c>
      <c r="F1277" s="2109" t="s">
        <v>732</v>
      </c>
      <c r="G1277" s="2095" t="s">
        <v>733</v>
      </c>
      <c r="H1277" s="2096" t="s">
        <v>799</v>
      </c>
      <c r="I1277" s="90" t="s">
        <v>744</v>
      </c>
      <c r="J1277" s="92" t="s">
        <v>727</v>
      </c>
      <c r="K1277" s="243" t="s">
        <v>1515</v>
      </c>
      <c r="L1277" s="2099">
        <v>42563</v>
      </c>
      <c r="M1277" s="73" t="s">
        <v>729</v>
      </c>
      <c r="N1277" s="74">
        <v>42567</v>
      </c>
      <c r="O1277" s="75">
        <f t="shared" si="367"/>
        <v>42567</v>
      </c>
      <c r="P1277" s="2765" t="s">
        <v>31</v>
      </c>
      <c r="Q1277" s="2954"/>
      <c r="R1277" s="76">
        <v>0</v>
      </c>
      <c r="S1277" s="1945" t="s">
        <v>731</v>
      </c>
      <c r="T1277" s="77"/>
      <c r="U1277" s="1893"/>
      <c r="V1277" s="2079">
        <f t="shared" si="365"/>
        <v>0</v>
      </c>
      <c r="W1277" s="78">
        <f t="shared" si="366"/>
        <v>0</v>
      </c>
      <c r="X1277" s="1878" t="str">
        <f t="shared" si="364"/>
        <v xml:space="preserve">6.- C Lima Caucho 0740908-OT_003452  Sacar_Banda 0001-005972 </v>
      </c>
      <c r="Z1277" s="19" t="str">
        <f t="shared" si="368"/>
        <v>ReencaucheReencauchadora RENOVA</v>
      </c>
    </row>
    <row r="1278" spans="2:26" ht="15.2" customHeight="1">
      <c r="B1278" s="37"/>
      <c r="E1278" s="79">
        <v>7</v>
      </c>
      <c r="F1278" s="3150" t="s">
        <v>732</v>
      </c>
      <c r="G1278" s="2576" t="s">
        <v>757</v>
      </c>
      <c r="H1278" s="2577" t="s">
        <v>1080</v>
      </c>
      <c r="I1278" s="2576" t="s">
        <v>726</v>
      </c>
      <c r="J1278" s="2578" t="s">
        <v>727</v>
      </c>
      <c r="K1278" s="2579" t="s">
        <v>1515</v>
      </c>
      <c r="L1278" s="2580">
        <v>42563</v>
      </c>
      <c r="M1278" s="3132" t="s">
        <v>729</v>
      </c>
      <c r="N1278" s="2582">
        <v>42573</v>
      </c>
      <c r="O1278" s="2583">
        <f t="shared" si="367"/>
        <v>42573</v>
      </c>
      <c r="P1278" s="2941" t="s">
        <v>32</v>
      </c>
      <c r="Q1278" s="2957"/>
      <c r="R1278" s="2584">
        <v>0</v>
      </c>
      <c r="S1278" s="2585" t="s">
        <v>731</v>
      </c>
      <c r="T1278" s="1875" t="s">
        <v>33</v>
      </c>
      <c r="U1278" s="1893"/>
      <c r="V1278" s="2079">
        <f t="shared" si="365"/>
        <v>0</v>
      </c>
      <c r="W1278" s="78">
        <f t="shared" si="366"/>
        <v>0</v>
      </c>
      <c r="X1278" s="1878" t="str">
        <f t="shared" si="364"/>
        <v>7.- C Goodyear 1180704-OT_003452  Reencauche G0001-001279 Rechazada, G0001-001279</v>
      </c>
      <c r="Z1278" s="19" t="str">
        <f t="shared" si="368"/>
        <v>ReencaucheReencauchadora RENOVA</v>
      </c>
    </row>
    <row r="1279" spans="2:26" ht="15.2" customHeight="1">
      <c r="B1279" s="37"/>
      <c r="E1279" s="66">
        <v>1</v>
      </c>
      <c r="F1279" s="67" t="s">
        <v>723</v>
      </c>
      <c r="G1279" s="68" t="s">
        <v>291</v>
      </c>
      <c r="H1279" s="69" t="s">
        <v>5</v>
      </c>
      <c r="I1279" s="68" t="s">
        <v>726</v>
      </c>
      <c r="J1279" s="70" t="s">
        <v>760</v>
      </c>
      <c r="K1279" s="71" t="s">
        <v>15</v>
      </c>
      <c r="L1279" s="72">
        <v>42562</v>
      </c>
      <c r="M1279" s="73" t="s">
        <v>729</v>
      </c>
      <c r="N1279" s="74">
        <v>42570</v>
      </c>
      <c r="O1279" s="75">
        <f t="shared" si="367"/>
        <v>42570</v>
      </c>
      <c r="P1279" s="2765" t="s">
        <v>1517</v>
      </c>
      <c r="Q1279" s="2954">
        <v>96.025000000000006</v>
      </c>
      <c r="R1279" s="76"/>
      <c r="S1279" s="1945" t="s">
        <v>731</v>
      </c>
      <c r="T1279" s="77"/>
      <c r="U1279" s="1893"/>
      <c r="V1279" s="2079">
        <f t="shared" si="365"/>
        <v>113.3095</v>
      </c>
      <c r="W1279" s="78">
        <f t="shared" si="366"/>
        <v>0</v>
      </c>
      <c r="X1279" s="1878" t="str">
        <f t="shared" si="364"/>
        <v xml:space="preserve">1.- R Brigestone 00250614-OT_225446  Reencauche F101-00004090 </v>
      </c>
      <c r="Z1279" s="19" t="str">
        <f t="shared" si="368"/>
        <v>ReencaucheReencauchadora RENOVA</v>
      </c>
    </row>
    <row r="1280" spans="2:26" ht="15.2" customHeight="1">
      <c r="B1280" s="37"/>
      <c r="E1280" s="66">
        <v>2</v>
      </c>
      <c r="F1280" s="67" t="s">
        <v>723</v>
      </c>
      <c r="G1280" s="68" t="s">
        <v>757</v>
      </c>
      <c r="H1280" s="69" t="s">
        <v>6</v>
      </c>
      <c r="I1280" s="68" t="s">
        <v>726</v>
      </c>
      <c r="J1280" s="70" t="s">
        <v>760</v>
      </c>
      <c r="K1280" s="71" t="s">
        <v>15</v>
      </c>
      <c r="L1280" s="72">
        <v>42562</v>
      </c>
      <c r="M1280" s="73" t="s">
        <v>729</v>
      </c>
      <c r="N1280" s="74">
        <v>42570</v>
      </c>
      <c r="O1280" s="75">
        <f t="shared" si="367"/>
        <v>42570</v>
      </c>
      <c r="P1280" s="2765" t="s">
        <v>1517</v>
      </c>
      <c r="Q1280" s="2954">
        <v>96.025000000000006</v>
      </c>
      <c r="R1280" s="76"/>
      <c r="S1280" s="1945" t="s">
        <v>731</v>
      </c>
      <c r="T1280" s="77"/>
      <c r="U1280" s="1893"/>
      <c r="V1280" s="2079">
        <f t="shared" si="365"/>
        <v>113.3095</v>
      </c>
      <c r="W1280" s="78">
        <f t="shared" si="366"/>
        <v>0</v>
      </c>
      <c r="X1280" s="1878" t="str">
        <f t="shared" si="364"/>
        <v xml:space="preserve">2.- R Goodyear 00240614-OT_225446  Reencauche F101-00004090 </v>
      </c>
      <c r="Z1280" s="19" t="str">
        <f t="shared" si="368"/>
        <v>ReencaucheReencauchadora RENOVA</v>
      </c>
    </row>
    <row r="1281" spans="2:26" ht="15.2" customHeight="1">
      <c r="B1281" s="37"/>
      <c r="E1281" s="66">
        <v>3</v>
      </c>
      <c r="F1281" s="67" t="s">
        <v>723</v>
      </c>
      <c r="G1281" s="68" t="s">
        <v>724</v>
      </c>
      <c r="H1281" s="69" t="s">
        <v>7</v>
      </c>
      <c r="I1281" s="68" t="s">
        <v>726</v>
      </c>
      <c r="J1281" s="70" t="s">
        <v>760</v>
      </c>
      <c r="K1281" s="71" t="s">
        <v>15</v>
      </c>
      <c r="L1281" s="72">
        <v>42562</v>
      </c>
      <c r="M1281" s="73" t="s">
        <v>729</v>
      </c>
      <c r="N1281" s="74">
        <v>42570</v>
      </c>
      <c r="O1281" s="75">
        <f t="shared" si="367"/>
        <v>42570</v>
      </c>
      <c r="P1281" s="2765" t="s">
        <v>1517</v>
      </c>
      <c r="Q1281" s="2954">
        <v>96.025000000000006</v>
      </c>
      <c r="R1281" s="76"/>
      <c r="S1281" s="1945" t="s">
        <v>731</v>
      </c>
      <c r="T1281" s="77"/>
      <c r="U1281" s="1893"/>
      <c r="V1281" s="2079">
        <f t="shared" si="365"/>
        <v>113.3095</v>
      </c>
      <c r="W1281" s="78">
        <f t="shared" si="366"/>
        <v>0</v>
      </c>
      <c r="X1281" s="1878" t="str">
        <f t="shared" si="364"/>
        <v xml:space="preserve">3.- R Aeolus 0120113-OT_225446  Reencauche F101-00004090 </v>
      </c>
      <c r="Z1281" s="19" t="str">
        <f t="shared" si="368"/>
        <v>ReencaucheReencauchadora RENOVA</v>
      </c>
    </row>
    <row r="1282" spans="2:26" ht="15.2" customHeight="1">
      <c r="B1282" s="37"/>
      <c r="E1282" s="66">
        <v>4</v>
      </c>
      <c r="F1282" s="67" t="s">
        <v>723</v>
      </c>
      <c r="G1282" s="68" t="s">
        <v>724</v>
      </c>
      <c r="H1282" s="69" t="s">
        <v>8</v>
      </c>
      <c r="I1282" s="68" t="s">
        <v>726</v>
      </c>
      <c r="J1282" s="70" t="s">
        <v>760</v>
      </c>
      <c r="K1282" s="71" t="s">
        <v>15</v>
      </c>
      <c r="L1282" s="72">
        <v>42562</v>
      </c>
      <c r="M1282" s="73" t="s">
        <v>729</v>
      </c>
      <c r="N1282" s="74">
        <v>42570</v>
      </c>
      <c r="O1282" s="75">
        <f t="shared" si="367"/>
        <v>42570</v>
      </c>
      <c r="P1282" s="2765" t="s">
        <v>1517</v>
      </c>
      <c r="Q1282" s="2954">
        <v>96.025000000000006</v>
      </c>
      <c r="R1282" s="76"/>
      <c r="S1282" s="1945" t="s">
        <v>731</v>
      </c>
      <c r="T1282" s="77"/>
      <c r="U1282" s="1893"/>
      <c r="V1282" s="2079">
        <f t="shared" si="365"/>
        <v>113.3095</v>
      </c>
      <c r="W1282" s="78">
        <f t="shared" si="366"/>
        <v>0</v>
      </c>
      <c r="X1282" s="1878" t="str">
        <f t="shared" si="364"/>
        <v xml:space="preserve">4.- R Aeolus 0350112-OT_225446  Reencauche F101-00004090 </v>
      </c>
      <c r="Z1282" s="19" t="str">
        <f t="shared" ref="Z1282:Z1290" si="370">CONCATENATE(I1285,J1285)</f>
        <v>ReencaucheReencauchadora RENOVA</v>
      </c>
    </row>
    <row r="1283" spans="2:26" ht="15.2" customHeight="1">
      <c r="B1283" s="37"/>
      <c r="E1283" s="66">
        <v>5</v>
      </c>
      <c r="F1283" s="67" t="s">
        <v>723</v>
      </c>
      <c r="G1283" s="68" t="s">
        <v>724</v>
      </c>
      <c r="H1283" s="69" t="s">
        <v>9</v>
      </c>
      <c r="I1283" s="68" t="s">
        <v>726</v>
      </c>
      <c r="J1283" s="70" t="s">
        <v>760</v>
      </c>
      <c r="K1283" s="71" t="s">
        <v>15</v>
      </c>
      <c r="L1283" s="72">
        <v>42562</v>
      </c>
      <c r="M1283" s="73" t="s">
        <v>729</v>
      </c>
      <c r="N1283" s="74">
        <v>42570</v>
      </c>
      <c r="O1283" s="75">
        <f t="shared" si="367"/>
        <v>42570</v>
      </c>
      <c r="P1283" s="2765" t="s">
        <v>1517</v>
      </c>
      <c r="Q1283" s="2954">
        <v>96.025000000000006</v>
      </c>
      <c r="R1283" s="76"/>
      <c r="S1283" s="1945" t="s">
        <v>731</v>
      </c>
      <c r="T1283" s="77"/>
      <c r="U1283" s="1893"/>
      <c r="V1283" s="2079">
        <f t="shared" si="365"/>
        <v>113.3095</v>
      </c>
      <c r="W1283" s="78">
        <f t="shared" si="366"/>
        <v>0</v>
      </c>
      <c r="X1283" s="1878" t="str">
        <f t="shared" si="364"/>
        <v xml:space="preserve">5.- R Aeolus 0100113-OT_225446  Reencauche F101-00004090 </v>
      </c>
      <c r="Z1283" s="19" t="str">
        <f t="shared" si="370"/>
        <v>ReencaucheReencauchadora RENOVA</v>
      </c>
    </row>
    <row r="1284" spans="2:26" ht="15.2" customHeight="1">
      <c r="B1284" s="37"/>
      <c r="E1284" s="66">
        <v>6</v>
      </c>
      <c r="F1284" s="67" t="s">
        <v>723</v>
      </c>
      <c r="G1284" s="68" t="s">
        <v>724</v>
      </c>
      <c r="H1284" s="69" t="s">
        <v>10</v>
      </c>
      <c r="I1284" s="68" t="s">
        <v>726</v>
      </c>
      <c r="J1284" s="70" t="s">
        <v>760</v>
      </c>
      <c r="K1284" s="71" t="s">
        <v>15</v>
      </c>
      <c r="L1284" s="72">
        <v>42562</v>
      </c>
      <c r="M1284" s="73" t="s">
        <v>729</v>
      </c>
      <c r="N1284" s="74">
        <v>42570</v>
      </c>
      <c r="O1284" s="75">
        <f t="shared" si="367"/>
        <v>42570</v>
      </c>
      <c r="P1284" s="2765" t="s">
        <v>1517</v>
      </c>
      <c r="Q1284" s="2954">
        <v>96.025000000000006</v>
      </c>
      <c r="R1284" s="76"/>
      <c r="S1284" s="1945" t="s">
        <v>731</v>
      </c>
      <c r="T1284" s="77"/>
      <c r="U1284" s="1893"/>
      <c r="V1284" s="2079">
        <f t="shared" si="365"/>
        <v>113.3095</v>
      </c>
      <c r="W1284" s="78">
        <f t="shared" si="366"/>
        <v>0</v>
      </c>
      <c r="X1284" s="1878" t="str">
        <f t="shared" si="364"/>
        <v xml:space="preserve">6.- R Aeolus 034912-OT_225446  Reencauche F101-00004090 </v>
      </c>
      <c r="Z1284" s="19" t="str">
        <f t="shared" si="370"/>
        <v>ReencaucheReencauchadora RENOVA</v>
      </c>
    </row>
    <row r="1285" spans="2:26" ht="15.2" customHeight="1">
      <c r="B1285" s="37"/>
      <c r="E1285" s="66">
        <v>7</v>
      </c>
      <c r="F1285" s="67" t="s">
        <v>723</v>
      </c>
      <c r="G1285" s="68" t="s">
        <v>724</v>
      </c>
      <c r="H1285" s="69" t="s">
        <v>11</v>
      </c>
      <c r="I1285" s="68" t="s">
        <v>726</v>
      </c>
      <c r="J1285" s="70" t="s">
        <v>760</v>
      </c>
      <c r="K1285" s="71" t="s">
        <v>15</v>
      </c>
      <c r="L1285" s="72">
        <v>42562</v>
      </c>
      <c r="M1285" s="73" t="s">
        <v>729</v>
      </c>
      <c r="N1285" s="74">
        <v>42570</v>
      </c>
      <c r="O1285" s="75">
        <f t="shared" si="367"/>
        <v>42570</v>
      </c>
      <c r="P1285" s="2765" t="s">
        <v>1517</v>
      </c>
      <c r="Q1285" s="2954">
        <v>96.025000000000006</v>
      </c>
      <c r="R1285" s="76"/>
      <c r="S1285" s="1945" t="s">
        <v>731</v>
      </c>
      <c r="T1285" s="77"/>
      <c r="U1285" s="1893"/>
      <c r="V1285" s="2079">
        <f t="shared" si="365"/>
        <v>113.3095</v>
      </c>
      <c r="W1285" s="78">
        <f t="shared" si="366"/>
        <v>0</v>
      </c>
      <c r="X1285" s="1878" t="str">
        <f t="shared" si="364"/>
        <v xml:space="preserve">7.- R Aeolus 033912-OT_225446  Reencauche F101-00004090 </v>
      </c>
      <c r="Z1285" s="19" t="str">
        <f t="shared" si="370"/>
        <v>ReencaucheReencauchadora RENOVA</v>
      </c>
    </row>
    <row r="1286" spans="2:26" ht="15.2" customHeight="1">
      <c r="B1286" s="37"/>
      <c r="E1286" s="66">
        <v>8</v>
      </c>
      <c r="F1286" s="67" t="s">
        <v>723</v>
      </c>
      <c r="G1286" s="68" t="s">
        <v>724</v>
      </c>
      <c r="H1286" s="69" t="s">
        <v>13</v>
      </c>
      <c r="I1286" s="68" t="s">
        <v>726</v>
      </c>
      <c r="J1286" s="70" t="s">
        <v>760</v>
      </c>
      <c r="K1286" s="71" t="s">
        <v>15</v>
      </c>
      <c r="L1286" s="72">
        <v>42562</v>
      </c>
      <c r="M1286" s="73" t="s">
        <v>729</v>
      </c>
      <c r="N1286" s="74">
        <v>42570</v>
      </c>
      <c r="O1286" s="75">
        <f t="shared" si="367"/>
        <v>42570</v>
      </c>
      <c r="P1286" s="2765" t="s">
        <v>1517</v>
      </c>
      <c r="Q1286" s="2954">
        <v>96.025000000000006</v>
      </c>
      <c r="R1286" s="76"/>
      <c r="S1286" s="1945" t="s">
        <v>731</v>
      </c>
      <c r="T1286" s="77"/>
      <c r="U1286" s="1893"/>
      <c r="V1286" s="2079">
        <f t="shared" si="365"/>
        <v>113.3095</v>
      </c>
      <c r="W1286" s="78">
        <f t="shared" si="366"/>
        <v>0</v>
      </c>
      <c r="X1286" s="1878" t="str">
        <f t="shared" si="364"/>
        <v xml:space="preserve">8.- R Aeolus 0250413-OT_225446  Reencauche F101-00004090 </v>
      </c>
      <c r="Z1286" s="19" t="str">
        <f t="shared" si="370"/>
        <v>ReencaucheReencauchadora RENOVA</v>
      </c>
    </row>
    <row r="1287" spans="2:26" ht="15.2" customHeight="1">
      <c r="B1287" s="37"/>
      <c r="E1287" s="66">
        <v>9</v>
      </c>
      <c r="F1287" s="67" t="s">
        <v>723</v>
      </c>
      <c r="G1287" s="68" t="s">
        <v>724</v>
      </c>
      <c r="H1287" s="69" t="s">
        <v>14</v>
      </c>
      <c r="I1287" s="68" t="s">
        <v>726</v>
      </c>
      <c r="J1287" s="70" t="s">
        <v>760</v>
      </c>
      <c r="K1287" s="71" t="s">
        <v>15</v>
      </c>
      <c r="L1287" s="72">
        <v>42562</v>
      </c>
      <c r="M1287" s="73" t="s">
        <v>729</v>
      </c>
      <c r="N1287" s="74">
        <v>42570</v>
      </c>
      <c r="O1287" s="75">
        <f t="shared" si="367"/>
        <v>42570</v>
      </c>
      <c r="P1287" s="2765" t="s">
        <v>1517</v>
      </c>
      <c r="Q1287" s="2954">
        <v>96.025000000000006</v>
      </c>
      <c r="R1287" s="76"/>
      <c r="S1287" s="1945" t="s">
        <v>731</v>
      </c>
      <c r="T1287" s="77"/>
      <c r="U1287" s="1893"/>
      <c r="V1287" s="2079">
        <f t="shared" si="365"/>
        <v>113.3095</v>
      </c>
      <c r="W1287" s="78">
        <f t="shared" si="366"/>
        <v>0</v>
      </c>
      <c r="X1287" s="1878" t="str">
        <f t="shared" si="364"/>
        <v xml:space="preserve">9.- R Aeolus 0100612-OT_225446  Reencauche F101-00004090 </v>
      </c>
      <c r="Z1287" s="19" t="str">
        <f t="shared" si="370"/>
        <v>ReencaucheReenc. BRANCO S.R.L.</v>
      </c>
    </row>
    <row r="1288" spans="2:26" ht="15.2" customHeight="1">
      <c r="B1288" s="37"/>
      <c r="E1288" s="66">
        <v>10</v>
      </c>
      <c r="F1288" s="67" t="s">
        <v>723</v>
      </c>
      <c r="G1288" s="68" t="s">
        <v>724</v>
      </c>
      <c r="H1288" s="69" t="s">
        <v>976</v>
      </c>
      <c r="I1288" s="68" t="s">
        <v>726</v>
      </c>
      <c r="J1288" s="70" t="s">
        <v>760</v>
      </c>
      <c r="K1288" s="71" t="s">
        <v>16</v>
      </c>
      <c r="L1288" s="72">
        <v>42562</v>
      </c>
      <c r="M1288" s="73" t="s">
        <v>729</v>
      </c>
      <c r="N1288" s="74">
        <v>42570</v>
      </c>
      <c r="O1288" s="75">
        <f t="shared" si="367"/>
        <v>42570</v>
      </c>
      <c r="P1288" s="2765" t="s">
        <v>1517</v>
      </c>
      <c r="Q1288" s="2954">
        <v>96.025000000000006</v>
      </c>
      <c r="R1288" s="76"/>
      <c r="S1288" s="1945" t="s">
        <v>731</v>
      </c>
      <c r="T1288" s="77"/>
      <c r="U1288" s="1893"/>
      <c r="V1288" s="2079">
        <f t="shared" si="365"/>
        <v>113.3095</v>
      </c>
      <c r="W1288" s="78">
        <f t="shared" si="366"/>
        <v>0</v>
      </c>
      <c r="X1288" s="1878" t="str">
        <f t="shared" si="364"/>
        <v xml:space="preserve">10.- R Aeolus 0090113-OT_225447  Reencauche F101-00004090 </v>
      </c>
      <c r="Z1288" s="19" t="str">
        <f t="shared" si="370"/>
        <v>ReencaucheReenc. BRANCO S.R.L.</v>
      </c>
    </row>
    <row r="1289" spans="2:26" ht="15.2" customHeight="1">
      <c r="B1289" s="37"/>
      <c r="E1289" s="79">
        <v>11</v>
      </c>
      <c r="F1289" s="80" t="s">
        <v>723</v>
      </c>
      <c r="G1289" s="81" t="s">
        <v>724</v>
      </c>
      <c r="H1289" s="82" t="s">
        <v>12</v>
      </c>
      <c r="I1289" s="81" t="s">
        <v>726</v>
      </c>
      <c r="J1289" s="83" t="s">
        <v>760</v>
      </c>
      <c r="K1289" s="84" t="s">
        <v>15</v>
      </c>
      <c r="L1289" s="85">
        <v>42562</v>
      </c>
      <c r="M1289" s="86" t="s">
        <v>729</v>
      </c>
      <c r="N1289" s="87">
        <v>42570</v>
      </c>
      <c r="O1289" s="88">
        <f t="shared" si="367"/>
        <v>42570</v>
      </c>
      <c r="P1289" s="2766"/>
      <c r="Q1289" s="2955"/>
      <c r="R1289" s="89"/>
      <c r="S1289" s="1946" t="s">
        <v>731</v>
      </c>
      <c r="T1289" s="1875" t="s">
        <v>1516</v>
      </c>
      <c r="U1289" s="1893"/>
      <c r="V1289" s="2079">
        <f t="shared" si="365"/>
        <v>0</v>
      </c>
      <c r="W1289" s="78">
        <f t="shared" si="366"/>
        <v>0</v>
      </c>
      <c r="X1289" s="1878" t="str">
        <f t="shared" si="364"/>
        <v>11.- R Aeolus 0260413-OT_225446  Reencauche  Rechazada, Guia 030-0059359</v>
      </c>
      <c r="Z1289" s="19" t="str">
        <f t="shared" si="370"/>
        <v>ReencaucheReenc. BRANCO S.R.L.</v>
      </c>
    </row>
    <row r="1290" spans="2:26" ht="15.2" customHeight="1">
      <c r="B1290" s="37"/>
      <c r="E1290" s="66">
        <v>1</v>
      </c>
      <c r="F1290" s="67" t="s">
        <v>732</v>
      </c>
      <c r="G1290" s="68" t="s">
        <v>733</v>
      </c>
      <c r="H1290" s="69" t="s">
        <v>1361</v>
      </c>
      <c r="I1290" s="68" t="s">
        <v>726</v>
      </c>
      <c r="J1290" s="2107" t="s">
        <v>499</v>
      </c>
      <c r="K1290" s="71" t="s">
        <v>500</v>
      </c>
      <c r="L1290" s="72">
        <v>42556</v>
      </c>
      <c r="M1290" s="73" t="s">
        <v>729</v>
      </c>
      <c r="N1290" s="74">
        <v>42562</v>
      </c>
      <c r="O1290" s="75">
        <f t="shared" si="367"/>
        <v>42562</v>
      </c>
      <c r="P1290" s="2765" t="s">
        <v>255</v>
      </c>
      <c r="Q1290" s="2954"/>
      <c r="R1290" s="76">
        <v>288.13560000000001</v>
      </c>
      <c r="S1290" s="1945" t="s">
        <v>731</v>
      </c>
      <c r="T1290" s="77"/>
      <c r="U1290" s="1893"/>
      <c r="V1290" s="2079">
        <f t="shared" si="365"/>
        <v>0</v>
      </c>
      <c r="W1290" s="78">
        <f t="shared" si="366"/>
        <v>340.00000799999998</v>
      </c>
      <c r="X1290" s="1878" t="str">
        <f t="shared" si="364"/>
        <v xml:space="preserve">1.- C Lima Caucho 0570610-OT_006979  Reencauche 004-000551 </v>
      </c>
      <c r="Z1290" s="19" t="str">
        <f t="shared" si="370"/>
        <v>ReencaucheReenc. BRANCO S.R.L.</v>
      </c>
    </row>
    <row r="1291" spans="2:26" ht="15.2" customHeight="1">
      <c r="B1291" s="37"/>
      <c r="E1291" s="66">
        <v>2</v>
      </c>
      <c r="F1291" s="67" t="s">
        <v>732</v>
      </c>
      <c r="G1291" s="68" t="s">
        <v>733</v>
      </c>
      <c r="H1291" s="69" t="s">
        <v>501</v>
      </c>
      <c r="I1291" s="68" t="s">
        <v>726</v>
      </c>
      <c r="J1291" s="2107" t="s">
        <v>499</v>
      </c>
      <c r="K1291" s="71" t="s">
        <v>500</v>
      </c>
      <c r="L1291" s="72">
        <v>42556</v>
      </c>
      <c r="M1291" s="73" t="s">
        <v>729</v>
      </c>
      <c r="N1291" s="74">
        <v>42562</v>
      </c>
      <c r="O1291" s="75">
        <v>42562</v>
      </c>
      <c r="P1291" s="2765" t="s">
        <v>255</v>
      </c>
      <c r="Q1291" s="2954"/>
      <c r="R1291" s="76">
        <v>288.13560000000001</v>
      </c>
      <c r="S1291" s="1945" t="s">
        <v>731</v>
      </c>
      <c r="T1291" s="77"/>
      <c r="U1291" s="1893"/>
      <c r="V1291" s="2079">
        <f t="shared" si="365"/>
        <v>0</v>
      </c>
      <c r="W1291" s="78">
        <f t="shared" si="366"/>
        <v>340.00000799999998</v>
      </c>
      <c r="X1291" s="1878" t="str">
        <f t="shared" si="364"/>
        <v xml:space="preserve">2.- C Lima Caucho 103110-OT_006979  Reencauche 004-000551 </v>
      </c>
      <c r="Z1291" s="19" t="str">
        <f t="shared" ref="Z1291:Z1301" si="371">CONCATENATE(I1294,J1294)</f>
        <v>ReencaucheReenc. BRANCO S.R.L.</v>
      </c>
    </row>
    <row r="1292" spans="2:26" ht="15.2" customHeight="1">
      <c r="B1292" s="37"/>
      <c r="E1292" s="66">
        <v>3</v>
      </c>
      <c r="F1292" s="67" t="s">
        <v>732</v>
      </c>
      <c r="G1292" s="68" t="s">
        <v>733</v>
      </c>
      <c r="H1292" s="69" t="s">
        <v>502</v>
      </c>
      <c r="I1292" s="68" t="s">
        <v>726</v>
      </c>
      <c r="J1292" s="2107" t="s">
        <v>499</v>
      </c>
      <c r="K1292" s="71" t="s">
        <v>500</v>
      </c>
      <c r="L1292" s="72">
        <v>42556</v>
      </c>
      <c r="M1292" s="73" t="s">
        <v>729</v>
      </c>
      <c r="N1292" s="74">
        <v>42562</v>
      </c>
      <c r="O1292" s="75">
        <v>42562</v>
      </c>
      <c r="P1292" s="2765" t="s">
        <v>255</v>
      </c>
      <c r="Q1292" s="2954"/>
      <c r="R1292" s="76">
        <v>288.13560000000001</v>
      </c>
      <c r="S1292" s="1945" t="s">
        <v>731</v>
      </c>
      <c r="T1292" s="77"/>
      <c r="U1292" s="1893"/>
      <c r="V1292" s="2079">
        <f t="shared" si="365"/>
        <v>0</v>
      </c>
      <c r="W1292" s="78">
        <f t="shared" si="366"/>
        <v>340.00000799999998</v>
      </c>
      <c r="X1292" s="1878" t="str">
        <f t="shared" si="364"/>
        <v xml:space="preserve">3.- C Lima Caucho 070810-OT_006979  Reencauche 004-000551 </v>
      </c>
      <c r="Z1292" s="19" t="str">
        <f t="shared" si="371"/>
        <v>ReencaucheReenc. BRANCO S.R.L.</v>
      </c>
    </row>
    <row r="1293" spans="2:26" ht="15.2" customHeight="1">
      <c r="B1293" s="37"/>
      <c r="E1293" s="66">
        <v>4</v>
      </c>
      <c r="F1293" s="67" t="s">
        <v>732</v>
      </c>
      <c r="G1293" s="68" t="s">
        <v>733</v>
      </c>
      <c r="H1293" s="69" t="s">
        <v>1364</v>
      </c>
      <c r="I1293" s="68" t="s">
        <v>726</v>
      </c>
      <c r="J1293" s="2107" t="s">
        <v>499</v>
      </c>
      <c r="K1293" s="71" t="s">
        <v>500</v>
      </c>
      <c r="L1293" s="72">
        <v>42556</v>
      </c>
      <c r="M1293" s="73" t="s">
        <v>729</v>
      </c>
      <c r="N1293" s="74">
        <v>42562</v>
      </c>
      <c r="O1293" s="75">
        <v>42562</v>
      </c>
      <c r="P1293" s="2765" t="s">
        <v>255</v>
      </c>
      <c r="Q1293" s="2954"/>
      <c r="R1293" s="76">
        <v>288.13560000000001</v>
      </c>
      <c r="S1293" s="1945" t="s">
        <v>731</v>
      </c>
      <c r="T1293" s="77"/>
      <c r="U1293" s="1893"/>
      <c r="V1293" s="2079">
        <f t="shared" si="365"/>
        <v>0</v>
      </c>
      <c r="W1293" s="78">
        <f t="shared" si="366"/>
        <v>340.00000799999998</v>
      </c>
      <c r="X1293" s="1878" t="str">
        <f t="shared" si="364"/>
        <v xml:space="preserve">4.- C Lima Caucho 0391112-OT_006979  Reencauche 004-000551 </v>
      </c>
      <c r="Z1293" s="19" t="str">
        <f t="shared" si="371"/>
        <v>ReencaucheReenc. BRANCO S.R.L.</v>
      </c>
    </row>
    <row r="1294" spans="2:26" ht="15.2" customHeight="1">
      <c r="B1294" s="37"/>
      <c r="E1294" s="66">
        <v>5</v>
      </c>
      <c r="F1294" s="67" t="s">
        <v>732</v>
      </c>
      <c r="G1294" s="68" t="s">
        <v>737</v>
      </c>
      <c r="H1294" s="69" t="s">
        <v>1157</v>
      </c>
      <c r="I1294" s="68" t="s">
        <v>726</v>
      </c>
      <c r="J1294" s="2107" t="s">
        <v>499</v>
      </c>
      <c r="K1294" s="71" t="s">
        <v>500</v>
      </c>
      <c r="L1294" s="72">
        <v>42556</v>
      </c>
      <c r="M1294" s="73" t="s">
        <v>729</v>
      </c>
      <c r="N1294" s="74">
        <v>42562</v>
      </c>
      <c r="O1294" s="75">
        <v>42562</v>
      </c>
      <c r="P1294" s="2765" t="s">
        <v>255</v>
      </c>
      <c r="Q1294" s="2954"/>
      <c r="R1294" s="76">
        <v>288.13560000000001</v>
      </c>
      <c r="S1294" s="1945" t="s">
        <v>731</v>
      </c>
      <c r="T1294" s="77"/>
      <c r="U1294" s="1893"/>
      <c r="V1294" s="2079">
        <f t="shared" si="365"/>
        <v>0</v>
      </c>
      <c r="W1294" s="78">
        <f t="shared" si="366"/>
        <v>340.00000799999998</v>
      </c>
      <c r="X1294" s="1878" t="str">
        <f t="shared" si="364"/>
        <v xml:space="preserve">5.- C Vikrant 0140111-OT_006979  Reencauche 004-000551 </v>
      </c>
      <c r="Z1294" s="19" t="str">
        <f t="shared" si="371"/>
        <v>ReencaucheReenc. BRANCO S.R.L.</v>
      </c>
    </row>
    <row r="1295" spans="2:26" ht="15.2" customHeight="1">
      <c r="B1295" s="37"/>
      <c r="E1295" s="66">
        <v>6</v>
      </c>
      <c r="F1295" s="67" t="s">
        <v>732</v>
      </c>
      <c r="G1295" s="68" t="s">
        <v>737</v>
      </c>
      <c r="H1295" s="69" t="s">
        <v>1040</v>
      </c>
      <c r="I1295" s="68" t="s">
        <v>726</v>
      </c>
      <c r="J1295" s="2107" t="s">
        <v>499</v>
      </c>
      <c r="K1295" s="71" t="s">
        <v>500</v>
      </c>
      <c r="L1295" s="72">
        <v>42556</v>
      </c>
      <c r="M1295" s="73" t="s">
        <v>729</v>
      </c>
      <c r="N1295" s="74">
        <v>42562</v>
      </c>
      <c r="O1295" s="75">
        <v>42562</v>
      </c>
      <c r="P1295" s="2765" t="s">
        <v>255</v>
      </c>
      <c r="Q1295" s="2954"/>
      <c r="R1295" s="76">
        <v>288.13560000000001</v>
      </c>
      <c r="S1295" s="1945" t="s">
        <v>731</v>
      </c>
      <c r="T1295" s="77"/>
      <c r="U1295" s="1893"/>
      <c r="V1295" s="2079">
        <f t="shared" si="365"/>
        <v>0</v>
      </c>
      <c r="W1295" s="78">
        <f t="shared" si="366"/>
        <v>340.00000799999998</v>
      </c>
      <c r="X1295" s="1878" t="str">
        <f t="shared" si="364"/>
        <v xml:space="preserve">6.- C Vikrant 0320211-OT_006979  Reencauche 004-000551 </v>
      </c>
      <c r="Z1295" s="19" t="str">
        <f t="shared" si="371"/>
        <v>ReencaucheReenc. BRANCO S.R.L.</v>
      </c>
    </row>
    <row r="1296" spans="2:26" ht="15.2" customHeight="1">
      <c r="B1296" s="37"/>
      <c r="E1296" s="66">
        <v>7</v>
      </c>
      <c r="F1296" s="67" t="s">
        <v>732</v>
      </c>
      <c r="G1296" s="68" t="s">
        <v>737</v>
      </c>
      <c r="H1296" s="69" t="s">
        <v>783</v>
      </c>
      <c r="I1296" s="68" t="s">
        <v>726</v>
      </c>
      <c r="J1296" s="2107" t="s">
        <v>499</v>
      </c>
      <c r="K1296" s="71" t="s">
        <v>500</v>
      </c>
      <c r="L1296" s="72">
        <v>42556</v>
      </c>
      <c r="M1296" s="73" t="s">
        <v>729</v>
      </c>
      <c r="N1296" s="74">
        <v>42562</v>
      </c>
      <c r="O1296" s="75">
        <v>42562</v>
      </c>
      <c r="P1296" s="2765" t="s">
        <v>255</v>
      </c>
      <c r="Q1296" s="2954"/>
      <c r="R1296" s="76">
        <v>288.13560000000001</v>
      </c>
      <c r="S1296" s="1945" t="s">
        <v>731</v>
      </c>
      <c r="T1296" s="77"/>
      <c r="U1296" s="1893"/>
      <c r="V1296" s="2079">
        <f t="shared" si="365"/>
        <v>0</v>
      </c>
      <c r="W1296" s="78">
        <f t="shared" si="366"/>
        <v>340.00000799999998</v>
      </c>
      <c r="X1296" s="1878" t="str">
        <f t="shared" si="364"/>
        <v xml:space="preserve">7.- C Vikrant 0350410-OT_006979  Reencauche 004-000551 </v>
      </c>
      <c r="Z1296" s="19" t="str">
        <f t="shared" si="371"/>
        <v>ReencaucheReenc. BRANCO S.R.L.</v>
      </c>
    </row>
    <row r="1297" spans="2:26" ht="15.2" customHeight="1">
      <c r="B1297" s="37"/>
      <c r="E1297" s="66">
        <v>8</v>
      </c>
      <c r="F1297" s="67" t="s">
        <v>732</v>
      </c>
      <c r="G1297" s="68" t="s">
        <v>737</v>
      </c>
      <c r="H1297" s="69" t="s">
        <v>1474</v>
      </c>
      <c r="I1297" s="68" t="s">
        <v>726</v>
      </c>
      <c r="J1297" s="2107" t="s">
        <v>499</v>
      </c>
      <c r="K1297" s="71" t="s">
        <v>500</v>
      </c>
      <c r="L1297" s="72">
        <v>42556</v>
      </c>
      <c r="M1297" s="73" t="s">
        <v>729</v>
      </c>
      <c r="N1297" s="74">
        <v>42562</v>
      </c>
      <c r="O1297" s="75">
        <v>42562</v>
      </c>
      <c r="P1297" s="2765" t="s">
        <v>255</v>
      </c>
      <c r="Q1297" s="2954"/>
      <c r="R1297" s="76">
        <v>288.13560000000001</v>
      </c>
      <c r="S1297" s="1945" t="s">
        <v>731</v>
      </c>
      <c r="T1297" s="77"/>
      <c r="U1297" s="1893"/>
      <c r="V1297" s="2079">
        <f t="shared" si="365"/>
        <v>0</v>
      </c>
      <c r="W1297" s="78">
        <f t="shared" si="366"/>
        <v>340.00000799999998</v>
      </c>
      <c r="X1297" s="1878" t="str">
        <f t="shared" si="364"/>
        <v xml:space="preserve">8.- C Vikrant 0110111-OT_006979  Reencauche 004-000551 </v>
      </c>
      <c r="Z1297" s="19" t="str">
        <f t="shared" si="371"/>
        <v>ReencaucheReenc. MASTERCAUCHO</v>
      </c>
    </row>
    <row r="1298" spans="2:26" ht="15.2" customHeight="1">
      <c r="B1298" s="37"/>
      <c r="E1298" s="66">
        <v>9</v>
      </c>
      <c r="F1298" s="67" t="s">
        <v>732</v>
      </c>
      <c r="G1298" s="68" t="s">
        <v>733</v>
      </c>
      <c r="H1298" s="69" t="s">
        <v>2</v>
      </c>
      <c r="I1298" s="68" t="s">
        <v>726</v>
      </c>
      <c r="J1298" s="2107" t="s">
        <v>499</v>
      </c>
      <c r="K1298" s="71" t="s">
        <v>500</v>
      </c>
      <c r="L1298" s="72">
        <v>42556</v>
      </c>
      <c r="M1298" s="73"/>
      <c r="N1298" s="74">
        <v>42562</v>
      </c>
      <c r="O1298" s="75">
        <f>+N1298</f>
        <v>42562</v>
      </c>
      <c r="P1298" s="2765" t="s">
        <v>256</v>
      </c>
      <c r="Q1298" s="2954"/>
      <c r="R1298" s="76">
        <v>0</v>
      </c>
      <c r="S1298" s="1945" t="s">
        <v>731</v>
      </c>
      <c r="T1298" s="1875" t="s">
        <v>257</v>
      </c>
      <c r="U1298" s="1893"/>
      <c r="V1298" s="2079">
        <f t="shared" si="365"/>
        <v>0</v>
      </c>
      <c r="W1298" s="78">
        <f t="shared" si="366"/>
        <v>0</v>
      </c>
      <c r="X1298" s="1878" t="str">
        <f t="shared" si="364"/>
        <v>9.- C Lima Caucho 0430707-OT_006979  Reencauche OD-007654 Rechazada, OD - 007654</v>
      </c>
      <c r="Z1298" s="19" t="str">
        <f t="shared" si="371"/>
        <v>ReencaucheReenc. MASTERCAUCHO</v>
      </c>
    </row>
    <row r="1299" spans="2:26" ht="15.2" customHeight="1">
      <c r="B1299" s="37"/>
      <c r="E1299" s="79">
        <v>10</v>
      </c>
      <c r="F1299" s="80" t="s">
        <v>732</v>
      </c>
      <c r="G1299" s="81" t="s">
        <v>733</v>
      </c>
      <c r="H1299" s="82" t="s">
        <v>1365</v>
      </c>
      <c r="I1299" s="81" t="s">
        <v>726</v>
      </c>
      <c r="J1299" s="2108" t="s">
        <v>499</v>
      </c>
      <c r="K1299" s="84" t="s">
        <v>500</v>
      </c>
      <c r="L1299" s="85">
        <v>42556</v>
      </c>
      <c r="M1299" s="86"/>
      <c r="N1299" s="87">
        <v>42562</v>
      </c>
      <c r="O1299" s="88">
        <f t="shared" ref="O1299:O1304" si="372">+N1299</f>
        <v>42562</v>
      </c>
      <c r="P1299" s="2766" t="s">
        <v>256</v>
      </c>
      <c r="Q1299" s="2955"/>
      <c r="R1299" s="89">
        <v>0</v>
      </c>
      <c r="S1299" s="1946" t="s">
        <v>731</v>
      </c>
      <c r="T1299" s="1875" t="s">
        <v>257</v>
      </c>
      <c r="U1299" s="1893"/>
      <c r="V1299" s="2079">
        <f t="shared" si="365"/>
        <v>0</v>
      </c>
      <c r="W1299" s="78">
        <f t="shared" si="366"/>
        <v>0</v>
      </c>
      <c r="X1299" s="1878" t="str">
        <f t="shared" si="364"/>
        <v>10.- C Lima Caucho 1131107-OT_006979  Reencauche OD-007654 Rechazada, OD - 007654</v>
      </c>
      <c r="Z1299" s="19" t="str">
        <f t="shared" si="371"/>
        <v>ReencaucheReenc. MASTERCAUCHO</v>
      </c>
    </row>
    <row r="1300" spans="2:26" ht="15.2" customHeight="1">
      <c r="B1300" s="37"/>
      <c r="E1300" s="66">
        <v>1</v>
      </c>
      <c r="F1300" s="67" t="s">
        <v>732</v>
      </c>
      <c r="G1300" s="68" t="s">
        <v>1108</v>
      </c>
      <c r="H1300" s="69" t="s">
        <v>979</v>
      </c>
      <c r="I1300" s="68" t="s">
        <v>726</v>
      </c>
      <c r="J1300" s="70" t="s">
        <v>727</v>
      </c>
      <c r="K1300" s="71" t="s">
        <v>980</v>
      </c>
      <c r="L1300" s="72">
        <v>42542</v>
      </c>
      <c r="M1300" s="73" t="s">
        <v>729</v>
      </c>
      <c r="N1300" s="74">
        <v>42546</v>
      </c>
      <c r="O1300" s="75">
        <f t="shared" si="372"/>
        <v>42546</v>
      </c>
      <c r="P1300" s="2765" t="s">
        <v>981</v>
      </c>
      <c r="Q1300" s="2954"/>
      <c r="R1300" s="76">
        <v>279.66000000000003</v>
      </c>
      <c r="S1300" s="1945" t="s">
        <v>731</v>
      </c>
      <c r="T1300" s="77"/>
      <c r="U1300" s="1893"/>
      <c r="V1300" s="2079">
        <f t="shared" si="365"/>
        <v>0</v>
      </c>
      <c r="W1300" s="78">
        <f t="shared" si="366"/>
        <v>329.99880000000002</v>
      </c>
      <c r="X1300" s="1878" t="str">
        <f t="shared" si="364"/>
        <v xml:space="preserve">1.- C Hankook 038030-OT_003988  Reencauche 0001-005766 </v>
      </c>
      <c r="Z1300" s="19" t="str">
        <f t="shared" si="371"/>
        <v>Transpl BandaReenc. MASTERCAUCHO</v>
      </c>
    </row>
    <row r="1301" spans="2:26" ht="15.2" customHeight="1">
      <c r="B1301" s="37"/>
      <c r="E1301" s="66">
        <v>2</v>
      </c>
      <c r="F1301" s="67" t="s">
        <v>732</v>
      </c>
      <c r="G1301" s="68" t="s">
        <v>737</v>
      </c>
      <c r="H1301" s="69" t="s">
        <v>1280</v>
      </c>
      <c r="I1301" s="68" t="s">
        <v>726</v>
      </c>
      <c r="J1301" s="70" t="s">
        <v>727</v>
      </c>
      <c r="K1301" s="71" t="s">
        <v>980</v>
      </c>
      <c r="L1301" s="72">
        <v>42542</v>
      </c>
      <c r="M1301" s="73" t="s">
        <v>729</v>
      </c>
      <c r="N1301" s="74">
        <v>42545</v>
      </c>
      <c r="O1301" s="75">
        <f t="shared" si="372"/>
        <v>42545</v>
      </c>
      <c r="P1301" s="2765" t="s">
        <v>981</v>
      </c>
      <c r="Q1301" s="2954"/>
      <c r="R1301" s="76">
        <v>279.66000000000003</v>
      </c>
      <c r="S1301" s="1945" t="s">
        <v>731</v>
      </c>
      <c r="T1301" s="77"/>
      <c r="U1301" s="1893"/>
      <c r="V1301" s="2079">
        <f t="shared" si="365"/>
        <v>0</v>
      </c>
      <c r="W1301" s="78">
        <f t="shared" si="366"/>
        <v>329.99880000000002</v>
      </c>
      <c r="X1301" s="1878" t="str">
        <f t="shared" si="364"/>
        <v xml:space="preserve">2.- C Vikrant 0410506-OT_003988  Reencauche 0001-005766 </v>
      </c>
      <c r="Z1301" s="19" t="str">
        <f t="shared" si="371"/>
        <v>Sacar_BandaReenc. MASTERCAUCHO</v>
      </c>
    </row>
    <row r="1302" spans="2:26" ht="15.2" customHeight="1">
      <c r="B1302" s="69"/>
      <c r="E1302" s="66">
        <v>3</v>
      </c>
      <c r="F1302" s="123" t="s">
        <v>732</v>
      </c>
      <c r="G1302" s="68" t="s">
        <v>733</v>
      </c>
      <c r="H1302" s="69" t="s">
        <v>1012</v>
      </c>
      <c r="I1302" s="68" t="s">
        <v>726</v>
      </c>
      <c r="J1302" s="70" t="s">
        <v>727</v>
      </c>
      <c r="K1302" s="71" t="s">
        <v>980</v>
      </c>
      <c r="L1302" s="72">
        <v>42542</v>
      </c>
      <c r="M1302" s="73" t="s">
        <v>729</v>
      </c>
      <c r="N1302" s="74">
        <v>42545</v>
      </c>
      <c r="O1302" s="75">
        <f t="shared" si="372"/>
        <v>42545</v>
      </c>
      <c r="P1302" s="2765" t="s">
        <v>981</v>
      </c>
      <c r="Q1302" s="2954"/>
      <c r="R1302" s="76">
        <v>279.66000000000003</v>
      </c>
      <c r="S1302" s="1945" t="s">
        <v>731</v>
      </c>
      <c r="T1302" s="77"/>
      <c r="U1302" s="1893"/>
      <c r="V1302" s="2079">
        <f t="shared" si="365"/>
        <v>0</v>
      </c>
      <c r="W1302" s="78">
        <f t="shared" si="366"/>
        <v>329.99880000000002</v>
      </c>
      <c r="X1302" s="1878" t="str">
        <f t="shared" si="364"/>
        <v xml:space="preserve">3.- C Lima Caucho 0500708-OT_003988  Reencauche 0001-005766 </v>
      </c>
      <c r="Z1302" s="19" t="str">
        <f>CONCATENATE(I1305,J1305)</f>
        <v>Vulcanizado (curación)Reenc. MASTERCAUCHO</v>
      </c>
    </row>
    <row r="1303" spans="2:26" ht="15.2" customHeight="1">
      <c r="B1303" s="37"/>
      <c r="E1303" s="66">
        <v>4</v>
      </c>
      <c r="F1303" s="123" t="s">
        <v>732</v>
      </c>
      <c r="G1303" s="2095" t="s">
        <v>733</v>
      </c>
      <c r="H1303" s="2096" t="s">
        <v>987</v>
      </c>
      <c r="I1303" s="2095" t="s">
        <v>740</v>
      </c>
      <c r="J1303" s="2097" t="s">
        <v>727</v>
      </c>
      <c r="K1303" s="2098" t="s">
        <v>980</v>
      </c>
      <c r="L1303" s="2099">
        <v>42542</v>
      </c>
      <c r="M1303" s="73" t="s">
        <v>729</v>
      </c>
      <c r="N1303" s="74">
        <v>42545</v>
      </c>
      <c r="O1303" s="75">
        <f t="shared" si="372"/>
        <v>42545</v>
      </c>
      <c r="P1303" s="2765" t="s">
        <v>981</v>
      </c>
      <c r="Q1303" s="2954"/>
      <c r="R1303" s="76">
        <v>127.12</v>
      </c>
      <c r="S1303" s="1945" t="s">
        <v>731</v>
      </c>
      <c r="T1303" s="77"/>
      <c r="U1303" s="1893"/>
      <c r="V1303" s="2079">
        <f t="shared" si="365"/>
        <v>0</v>
      </c>
      <c r="W1303" s="78">
        <f t="shared" si="366"/>
        <v>150.0016</v>
      </c>
      <c r="X1303" s="1878" t="str">
        <f t="shared" si="364"/>
        <v xml:space="preserve">4.- C Lima Caucho 1451207-OT_003988  Transpl Banda 0001-005766 </v>
      </c>
      <c r="Z1303" s="19" t="str">
        <f>CONCATENATE(I1306,J1306)</f>
        <v>Llanta de 2da OrgReenc. MASTERCAUCHO</v>
      </c>
    </row>
    <row r="1304" spans="2:26" ht="15.2" customHeight="1">
      <c r="B1304" s="37"/>
      <c r="E1304" s="79">
        <v>5</v>
      </c>
      <c r="F1304" s="80" t="s">
        <v>732</v>
      </c>
      <c r="G1304" s="2100" t="s">
        <v>733</v>
      </c>
      <c r="H1304" s="2101" t="s">
        <v>848</v>
      </c>
      <c r="I1304" s="2100" t="s">
        <v>744</v>
      </c>
      <c r="J1304" s="2102" t="s">
        <v>727</v>
      </c>
      <c r="K1304" s="2103" t="s">
        <v>980</v>
      </c>
      <c r="L1304" s="2104">
        <v>42542</v>
      </c>
      <c r="M1304" s="86" t="s">
        <v>729</v>
      </c>
      <c r="N1304" s="87">
        <v>42545</v>
      </c>
      <c r="O1304" s="88">
        <f t="shared" si="372"/>
        <v>42545</v>
      </c>
      <c r="P1304" s="2766" t="s">
        <v>982</v>
      </c>
      <c r="Q1304" s="2955"/>
      <c r="R1304" s="89">
        <v>0</v>
      </c>
      <c r="S1304" s="1946" t="s">
        <v>731</v>
      </c>
      <c r="T1304" s="77"/>
      <c r="U1304" s="1893"/>
      <c r="V1304" s="2079">
        <f t="shared" si="365"/>
        <v>0</v>
      </c>
      <c r="W1304" s="78">
        <f t="shared" si="366"/>
        <v>0</v>
      </c>
      <c r="X1304" s="1878" t="str">
        <f t="shared" si="364"/>
        <v xml:space="preserve">5.- C Lima Caucho 0530807-OT_003988  Sacar_Banda G0001-001226 </v>
      </c>
      <c r="Z1304" s="19" t="str">
        <f t="shared" ref="Z1304:Z1325" si="373">CONCATENATE(I1307,J1307)</f>
        <v>ReencaucheReencauchadora RENOVA</v>
      </c>
    </row>
    <row r="1305" spans="2:26" ht="15.2" customHeight="1">
      <c r="B1305" s="37"/>
      <c r="E1305" s="66">
        <v>1</v>
      </c>
      <c r="F1305" s="67" t="s">
        <v>723</v>
      </c>
      <c r="G1305" s="68" t="s">
        <v>724</v>
      </c>
      <c r="H1305" s="69" t="s">
        <v>1588</v>
      </c>
      <c r="I1305" s="68" t="s">
        <v>811</v>
      </c>
      <c r="J1305" s="70" t="s">
        <v>727</v>
      </c>
      <c r="K1305" s="71" t="s">
        <v>1590</v>
      </c>
      <c r="L1305" s="72">
        <v>42535</v>
      </c>
      <c r="M1305" s="73" t="s">
        <v>729</v>
      </c>
      <c r="N1305" s="74">
        <v>42539</v>
      </c>
      <c r="O1305" s="75">
        <f t="shared" ref="O1305:O1341" si="374">+N1305</f>
        <v>42539</v>
      </c>
      <c r="P1305" s="2765" t="s">
        <v>1592</v>
      </c>
      <c r="Q1305" s="2954"/>
      <c r="R1305" s="76">
        <v>127.12</v>
      </c>
      <c r="S1305" s="1945" t="s">
        <v>731</v>
      </c>
      <c r="T1305" s="77"/>
      <c r="U1305" s="1893"/>
      <c r="V1305" s="2079">
        <f t="shared" si="365"/>
        <v>0</v>
      </c>
      <c r="W1305" s="78">
        <f t="shared" si="366"/>
        <v>150.0016</v>
      </c>
      <c r="X1305" s="1878" t="str">
        <f t="shared" si="364"/>
        <v xml:space="preserve">1.- R Aeolus 0210215-OT_003982  Vulcanizado (curación) 0001-05720 </v>
      </c>
      <c r="Z1305" s="19" t="str">
        <f t="shared" si="373"/>
        <v>ReencaucheReencauchadora RENOVA</v>
      </c>
    </row>
    <row r="1306" spans="2:26" ht="15.2" customHeight="1">
      <c r="B1306" s="37"/>
      <c r="E1306" s="79">
        <v>2</v>
      </c>
      <c r="F1306" s="80" t="s">
        <v>723</v>
      </c>
      <c r="G1306" s="81" t="s">
        <v>757</v>
      </c>
      <c r="H1306" s="82" t="s">
        <v>1589</v>
      </c>
      <c r="I1306" s="81" t="s">
        <v>940</v>
      </c>
      <c r="J1306" s="83" t="s">
        <v>727</v>
      </c>
      <c r="K1306" s="84" t="s">
        <v>857</v>
      </c>
      <c r="L1306" s="85" t="s">
        <v>941</v>
      </c>
      <c r="M1306" s="86" t="s">
        <v>729</v>
      </c>
      <c r="N1306" s="87">
        <v>42539</v>
      </c>
      <c r="O1306" s="88">
        <f t="shared" si="374"/>
        <v>42539</v>
      </c>
      <c r="P1306" s="2766" t="s">
        <v>1592</v>
      </c>
      <c r="Q1306" s="2955"/>
      <c r="R1306" s="89">
        <v>381.35590000000002</v>
      </c>
      <c r="S1306" s="1946" t="s">
        <v>731</v>
      </c>
      <c r="T1306" s="77" t="s">
        <v>1591</v>
      </c>
      <c r="U1306" s="1893"/>
      <c r="V1306" s="2079">
        <f t="shared" si="365"/>
        <v>0</v>
      </c>
      <c r="W1306" s="78">
        <f t="shared" si="366"/>
        <v>449.99996199999998</v>
      </c>
      <c r="X1306" s="1878" t="str">
        <f t="shared" si="364"/>
        <v>2.- R Goodyear 8220616-OT_S/D  Llanta de 2da Org 0001-05720 GOODYEAR 0612</v>
      </c>
      <c r="Z1306" s="19" t="str">
        <f t="shared" si="373"/>
        <v>ReencaucheReencauchadora RENOVA</v>
      </c>
    </row>
    <row r="1307" spans="2:26" ht="15.2" customHeight="1">
      <c r="B1307" s="37"/>
      <c r="E1307" s="66">
        <v>1</v>
      </c>
      <c r="F1307" s="67" t="s">
        <v>732</v>
      </c>
      <c r="G1307" s="68" t="s">
        <v>733</v>
      </c>
      <c r="H1307" s="69" t="s">
        <v>1550</v>
      </c>
      <c r="I1307" s="68" t="s">
        <v>726</v>
      </c>
      <c r="J1307" s="70" t="s">
        <v>760</v>
      </c>
      <c r="K1307" s="71" t="s">
        <v>2106</v>
      </c>
      <c r="L1307" s="72">
        <v>42531</v>
      </c>
      <c r="M1307" s="73" t="s">
        <v>729</v>
      </c>
      <c r="N1307" s="74">
        <v>42541</v>
      </c>
      <c r="O1307" s="75">
        <f t="shared" si="374"/>
        <v>42541</v>
      </c>
      <c r="P1307" s="2765" t="s">
        <v>1283</v>
      </c>
      <c r="Q1307" s="2954">
        <v>90.26</v>
      </c>
      <c r="R1307" s="76"/>
      <c r="S1307" s="1945" t="s">
        <v>731</v>
      </c>
      <c r="T1307" s="77"/>
      <c r="U1307" s="1893"/>
      <c r="V1307" s="2079">
        <f t="shared" si="365"/>
        <v>106.5068</v>
      </c>
      <c r="W1307" s="78">
        <f t="shared" si="366"/>
        <v>0</v>
      </c>
      <c r="X1307" s="1878" t="str">
        <f t="shared" si="364"/>
        <v xml:space="preserve">1.- C Lima Caucho 0790908-OT_224438  Reencauche F101-00003472 </v>
      </c>
      <c r="Z1307" s="19" t="str">
        <f t="shared" si="373"/>
        <v>ReencaucheReencauchadora RENOVA</v>
      </c>
    </row>
    <row r="1308" spans="2:26" ht="15.2" customHeight="1">
      <c r="B1308" s="37"/>
      <c r="E1308" s="66">
        <v>2</v>
      </c>
      <c r="F1308" s="67" t="s">
        <v>732</v>
      </c>
      <c r="G1308" s="68" t="s">
        <v>733</v>
      </c>
      <c r="H1308" s="69" t="s">
        <v>1467</v>
      </c>
      <c r="I1308" s="68" t="s">
        <v>726</v>
      </c>
      <c r="J1308" s="70" t="s">
        <v>760</v>
      </c>
      <c r="K1308" s="71" t="s">
        <v>2106</v>
      </c>
      <c r="L1308" s="72">
        <v>42531</v>
      </c>
      <c r="M1308" s="73" t="s">
        <v>729</v>
      </c>
      <c r="N1308" s="74">
        <v>42541</v>
      </c>
      <c r="O1308" s="75">
        <f t="shared" si="374"/>
        <v>42541</v>
      </c>
      <c r="P1308" s="2765" t="s">
        <v>1283</v>
      </c>
      <c r="Q1308" s="2954">
        <v>90.26</v>
      </c>
      <c r="R1308" s="76"/>
      <c r="S1308" s="1945" t="s">
        <v>731</v>
      </c>
      <c r="T1308" s="77"/>
      <c r="U1308" s="1893"/>
      <c r="V1308" s="2079">
        <f t="shared" si="365"/>
        <v>106.5068</v>
      </c>
      <c r="W1308" s="78">
        <f t="shared" si="366"/>
        <v>0</v>
      </c>
      <c r="X1308" s="1878" t="str">
        <f t="shared" si="364"/>
        <v xml:space="preserve">2.- C Lima Caucho 0360411-OT_224438  Reencauche F101-00003472 </v>
      </c>
      <c r="Z1308" s="19" t="str">
        <f t="shared" si="373"/>
        <v>ReencaucheReencauchadora RENOVA</v>
      </c>
    </row>
    <row r="1309" spans="2:26" ht="15.2" customHeight="1">
      <c r="B1309" s="37"/>
      <c r="E1309" s="66">
        <v>3</v>
      </c>
      <c r="F1309" s="67" t="s">
        <v>732</v>
      </c>
      <c r="G1309" s="68" t="s">
        <v>733</v>
      </c>
      <c r="H1309" s="69" t="s">
        <v>1092</v>
      </c>
      <c r="I1309" s="68" t="s">
        <v>726</v>
      </c>
      <c r="J1309" s="70" t="s">
        <v>760</v>
      </c>
      <c r="K1309" s="71" t="s">
        <v>2106</v>
      </c>
      <c r="L1309" s="72">
        <v>42531</v>
      </c>
      <c r="M1309" s="73" t="s">
        <v>729</v>
      </c>
      <c r="N1309" s="74">
        <v>42541</v>
      </c>
      <c r="O1309" s="75">
        <f t="shared" si="374"/>
        <v>42541</v>
      </c>
      <c r="P1309" s="2765" t="s">
        <v>1283</v>
      </c>
      <c r="Q1309" s="2954">
        <v>90.26</v>
      </c>
      <c r="R1309" s="76"/>
      <c r="S1309" s="1945" t="s">
        <v>731</v>
      </c>
      <c r="T1309" s="77"/>
      <c r="U1309" s="1893"/>
      <c r="V1309" s="2079">
        <f t="shared" si="365"/>
        <v>106.5068</v>
      </c>
      <c r="W1309" s="78">
        <f t="shared" si="366"/>
        <v>0</v>
      </c>
      <c r="X1309" s="1878" t="str">
        <f t="shared" si="364"/>
        <v xml:space="preserve">3.- C Lima Caucho 0500610-OT_224438  Reencauche F101-00003472 </v>
      </c>
      <c r="Z1309" s="19" t="str">
        <f t="shared" si="373"/>
        <v>ReencaucheReencauchadora RENOVA</v>
      </c>
    </row>
    <row r="1310" spans="2:26" ht="15.2" customHeight="1">
      <c r="B1310" s="37"/>
      <c r="E1310" s="66">
        <v>4</v>
      </c>
      <c r="F1310" s="67" t="s">
        <v>732</v>
      </c>
      <c r="G1310" s="68" t="s">
        <v>733</v>
      </c>
      <c r="H1310" s="69" t="s">
        <v>1437</v>
      </c>
      <c r="I1310" s="68" t="s">
        <v>726</v>
      </c>
      <c r="J1310" s="70" t="s">
        <v>760</v>
      </c>
      <c r="K1310" s="71" t="s">
        <v>2106</v>
      </c>
      <c r="L1310" s="72">
        <v>42531</v>
      </c>
      <c r="M1310" s="73" t="s">
        <v>729</v>
      </c>
      <c r="N1310" s="74">
        <v>42541</v>
      </c>
      <c r="O1310" s="75">
        <f t="shared" si="374"/>
        <v>42541</v>
      </c>
      <c r="P1310" s="2765" t="s">
        <v>1283</v>
      </c>
      <c r="Q1310" s="2954">
        <v>90.26</v>
      </c>
      <c r="R1310" s="76"/>
      <c r="S1310" s="1945" t="s">
        <v>731</v>
      </c>
      <c r="T1310" s="77"/>
      <c r="U1310" s="1893"/>
      <c r="V1310" s="2079">
        <f t="shared" si="365"/>
        <v>106.5068</v>
      </c>
      <c r="W1310" s="78">
        <f t="shared" si="366"/>
        <v>0</v>
      </c>
      <c r="X1310" s="1878" t="str">
        <f t="shared" si="364"/>
        <v xml:space="preserve">4.- C Lima Caucho 0610911-OT_224438  Reencauche F101-00003472 </v>
      </c>
      <c r="Z1310" s="19" t="str">
        <f t="shared" si="373"/>
        <v>ReencaucheReencauchadora RENOVA</v>
      </c>
    </row>
    <row r="1311" spans="2:26" ht="15.2" customHeight="1">
      <c r="B1311" s="37"/>
      <c r="E1311" s="66">
        <v>5</v>
      </c>
      <c r="F1311" s="67" t="s">
        <v>732</v>
      </c>
      <c r="G1311" s="68" t="s">
        <v>737</v>
      </c>
      <c r="H1311" s="69" t="s">
        <v>948</v>
      </c>
      <c r="I1311" s="68" t="s">
        <v>726</v>
      </c>
      <c r="J1311" s="70" t="s">
        <v>760</v>
      </c>
      <c r="K1311" s="71" t="s">
        <v>2106</v>
      </c>
      <c r="L1311" s="72">
        <v>42531</v>
      </c>
      <c r="M1311" s="73" t="s">
        <v>729</v>
      </c>
      <c r="N1311" s="74">
        <v>42541</v>
      </c>
      <c r="O1311" s="75">
        <f t="shared" si="374"/>
        <v>42541</v>
      </c>
      <c r="P1311" s="2765" t="s">
        <v>1283</v>
      </c>
      <c r="Q1311" s="2954">
        <v>90.26</v>
      </c>
      <c r="R1311" s="76"/>
      <c r="S1311" s="1945" t="s">
        <v>731</v>
      </c>
      <c r="T1311" s="77"/>
      <c r="U1311" s="1893"/>
      <c r="V1311" s="2079">
        <f t="shared" si="365"/>
        <v>106.5068</v>
      </c>
      <c r="W1311" s="78">
        <f t="shared" si="366"/>
        <v>0</v>
      </c>
      <c r="X1311" s="1878" t="str">
        <f t="shared" si="364"/>
        <v xml:space="preserve">5.- C Vikrant 0050312-OT_224438  Reencauche F101-00003472 </v>
      </c>
      <c r="Z1311" s="19" t="str">
        <f t="shared" si="373"/>
        <v>ReencaucheReencauchadora RENOVA</v>
      </c>
    </row>
    <row r="1312" spans="2:26" ht="15.2" customHeight="1">
      <c r="B1312" s="37"/>
      <c r="E1312" s="66">
        <v>6</v>
      </c>
      <c r="F1312" s="67" t="s">
        <v>732</v>
      </c>
      <c r="G1312" s="68" t="s">
        <v>737</v>
      </c>
      <c r="H1312" s="69" t="s">
        <v>1274</v>
      </c>
      <c r="I1312" s="68" t="s">
        <v>726</v>
      </c>
      <c r="J1312" s="70" t="s">
        <v>760</v>
      </c>
      <c r="K1312" s="71" t="s">
        <v>2106</v>
      </c>
      <c r="L1312" s="72">
        <v>42531</v>
      </c>
      <c r="M1312" s="73" t="s">
        <v>729</v>
      </c>
      <c r="N1312" s="74">
        <v>42541</v>
      </c>
      <c r="O1312" s="75">
        <f t="shared" si="374"/>
        <v>42541</v>
      </c>
      <c r="P1312" s="2765" t="s">
        <v>1283</v>
      </c>
      <c r="Q1312" s="2954">
        <v>90.26</v>
      </c>
      <c r="R1312" s="76"/>
      <c r="S1312" s="1945" t="s">
        <v>731</v>
      </c>
      <c r="T1312" s="77"/>
      <c r="U1312" s="1893"/>
      <c r="V1312" s="2079">
        <f t="shared" si="365"/>
        <v>106.5068</v>
      </c>
      <c r="W1312" s="78">
        <f t="shared" si="366"/>
        <v>0</v>
      </c>
      <c r="X1312" s="1878" t="str">
        <f t="shared" si="364"/>
        <v xml:space="preserve">6.- C Vikrant 0250211-OT_224438  Reencauche F101-00003472 </v>
      </c>
      <c r="Z1312" s="19" t="str">
        <f t="shared" si="373"/>
        <v>ReencaucheReencauchadora RENOVA</v>
      </c>
    </row>
    <row r="1313" spans="1:26" ht="15.2" customHeight="1">
      <c r="B1313" s="37"/>
      <c r="E1313" s="66">
        <v>7</v>
      </c>
      <c r="F1313" s="67" t="s">
        <v>732</v>
      </c>
      <c r="G1313" s="68" t="s">
        <v>737</v>
      </c>
      <c r="H1313" s="69" t="s">
        <v>1623</v>
      </c>
      <c r="I1313" s="68" t="s">
        <v>726</v>
      </c>
      <c r="J1313" s="70" t="s">
        <v>760</v>
      </c>
      <c r="K1313" s="71" t="s">
        <v>2106</v>
      </c>
      <c r="L1313" s="72">
        <v>42531</v>
      </c>
      <c r="M1313" s="73" t="s">
        <v>729</v>
      </c>
      <c r="N1313" s="74">
        <v>42541</v>
      </c>
      <c r="O1313" s="75">
        <f t="shared" si="374"/>
        <v>42541</v>
      </c>
      <c r="P1313" s="2765" t="s">
        <v>1283</v>
      </c>
      <c r="Q1313" s="2954">
        <v>90.26</v>
      </c>
      <c r="R1313" s="76"/>
      <c r="S1313" s="1945" t="s">
        <v>731</v>
      </c>
      <c r="T1313" s="77"/>
      <c r="U1313" s="1893"/>
      <c r="V1313" s="2079">
        <f t="shared" si="365"/>
        <v>106.5068</v>
      </c>
      <c r="W1313" s="78">
        <f t="shared" si="366"/>
        <v>0</v>
      </c>
      <c r="X1313" s="1878" t="str">
        <f t="shared" si="364"/>
        <v xml:space="preserve">7.- C Vikrant 0751009-OT_224438  Reencauche F101-00003472 </v>
      </c>
      <c r="Z1313" s="19" t="str">
        <f t="shared" si="373"/>
        <v>ReencaucheReencauchadora RENOVA</v>
      </c>
    </row>
    <row r="1314" spans="1:26" ht="15.2" customHeight="1">
      <c r="B1314" s="37"/>
      <c r="E1314" s="66">
        <v>8</v>
      </c>
      <c r="F1314" s="67" t="s">
        <v>732</v>
      </c>
      <c r="G1314" s="68" t="s">
        <v>737</v>
      </c>
      <c r="H1314" s="69" t="s">
        <v>1331</v>
      </c>
      <c r="I1314" s="68" t="s">
        <v>726</v>
      </c>
      <c r="J1314" s="70" t="s">
        <v>760</v>
      </c>
      <c r="K1314" s="71" t="s">
        <v>2106</v>
      </c>
      <c r="L1314" s="72">
        <v>42531</v>
      </c>
      <c r="M1314" s="73" t="s">
        <v>729</v>
      </c>
      <c r="N1314" s="74">
        <v>42541</v>
      </c>
      <c r="O1314" s="75">
        <f t="shared" si="374"/>
        <v>42541</v>
      </c>
      <c r="P1314" s="2765" t="s">
        <v>1283</v>
      </c>
      <c r="Q1314" s="2954">
        <v>90.26</v>
      </c>
      <c r="R1314" s="76"/>
      <c r="S1314" s="1945" t="s">
        <v>731</v>
      </c>
      <c r="T1314" s="77"/>
      <c r="U1314" s="1893"/>
      <c r="V1314" s="2079">
        <f t="shared" si="365"/>
        <v>106.5068</v>
      </c>
      <c r="W1314" s="78">
        <f t="shared" si="366"/>
        <v>0</v>
      </c>
      <c r="X1314" s="1878" t="str">
        <f t="shared" ref="X1314:X1377" si="375">CONCATENATE(E1314,".- ",F1314," ",G1314," ",H1314,"-OT_",K1314," "," ",I1314," ",P1314," ",T1314)</f>
        <v xml:space="preserve">8.- C Vikrant 0150310-OT_224438  Reencauche F101-00003472 </v>
      </c>
      <c r="Z1314" s="19" t="str">
        <f t="shared" si="373"/>
        <v>ReencaucheReencauchadora RENOVA</v>
      </c>
    </row>
    <row r="1315" spans="1:26" ht="15.2" customHeight="1">
      <c r="B1315" s="37"/>
      <c r="E1315" s="66">
        <v>9</v>
      </c>
      <c r="F1315" s="67" t="s">
        <v>732</v>
      </c>
      <c r="G1315" s="68" t="s">
        <v>733</v>
      </c>
      <c r="H1315" s="69" t="s">
        <v>1259</v>
      </c>
      <c r="I1315" s="68" t="s">
        <v>726</v>
      </c>
      <c r="J1315" s="70" t="s">
        <v>760</v>
      </c>
      <c r="K1315" s="71" t="s">
        <v>2107</v>
      </c>
      <c r="L1315" s="72">
        <v>42531</v>
      </c>
      <c r="M1315" s="73" t="s">
        <v>729</v>
      </c>
      <c r="N1315" s="74">
        <v>42541</v>
      </c>
      <c r="O1315" s="75">
        <f t="shared" si="374"/>
        <v>42541</v>
      </c>
      <c r="P1315" s="2765" t="s">
        <v>1283</v>
      </c>
      <c r="Q1315" s="2954">
        <v>90.26</v>
      </c>
      <c r="R1315" s="76"/>
      <c r="S1315" s="1945" t="s">
        <v>731</v>
      </c>
      <c r="T1315" s="77"/>
      <c r="U1315" s="1893"/>
      <c r="V1315" s="2079">
        <f t="shared" ref="V1315:V1378" si="376">+Q1315*(1.18)</f>
        <v>106.5068</v>
      </c>
      <c r="W1315" s="78">
        <f t="shared" ref="W1315:W1378" si="377">+R1315*(1.18)</f>
        <v>0</v>
      </c>
      <c r="X1315" s="1878" t="str">
        <f t="shared" si="375"/>
        <v xml:space="preserve">9.- C Lima Caucho 0370411-OT_224439  Reencauche F101-00003472 </v>
      </c>
      <c r="Z1315" s="19" t="str">
        <f t="shared" si="373"/>
        <v>ReencaucheReencauchadora RENOVA</v>
      </c>
    </row>
    <row r="1316" spans="1:26" ht="15.2" customHeight="1">
      <c r="B1316" s="37"/>
      <c r="E1316" s="66">
        <v>10</v>
      </c>
      <c r="F1316" s="67" t="s">
        <v>732</v>
      </c>
      <c r="G1316" s="68" t="s">
        <v>737</v>
      </c>
      <c r="H1316" s="69" t="s">
        <v>1182</v>
      </c>
      <c r="I1316" s="68" t="s">
        <v>726</v>
      </c>
      <c r="J1316" s="70" t="s">
        <v>760</v>
      </c>
      <c r="K1316" s="71" t="s">
        <v>2107</v>
      </c>
      <c r="L1316" s="72">
        <v>42531</v>
      </c>
      <c r="M1316" s="73" t="s">
        <v>729</v>
      </c>
      <c r="N1316" s="74">
        <v>42541</v>
      </c>
      <c r="O1316" s="75">
        <f t="shared" si="374"/>
        <v>42541</v>
      </c>
      <c r="P1316" s="2765" t="s">
        <v>1283</v>
      </c>
      <c r="Q1316" s="2954">
        <v>90.26</v>
      </c>
      <c r="R1316" s="76"/>
      <c r="S1316" s="1945" t="s">
        <v>731</v>
      </c>
      <c r="T1316" s="77"/>
      <c r="U1316" s="1893"/>
      <c r="V1316" s="2079">
        <f t="shared" si="376"/>
        <v>106.5068</v>
      </c>
      <c r="W1316" s="78">
        <f t="shared" si="377"/>
        <v>0</v>
      </c>
      <c r="X1316" s="1878" t="str">
        <f t="shared" si="375"/>
        <v xml:space="preserve">10.- C Vikrant 0410510-OT_224439  Reencauche F101-00003472 </v>
      </c>
      <c r="Z1316" s="19" t="str">
        <f t="shared" si="373"/>
        <v>ReencaucheReencauchadora RENOVA</v>
      </c>
    </row>
    <row r="1317" spans="1:26" ht="15.2" customHeight="1">
      <c r="B1317" s="37"/>
      <c r="E1317" s="66">
        <v>11</v>
      </c>
      <c r="F1317" s="67" t="s">
        <v>732</v>
      </c>
      <c r="G1317" s="68" t="s">
        <v>737</v>
      </c>
      <c r="H1317" s="69" t="s">
        <v>1495</v>
      </c>
      <c r="I1317" s="68" t="s">
        <v>726</v>
      </c>
      <c r="J1317" s="70" t="s">
        <v>760</v>
      </c>
      <c r="K1317" s="71" t="s">
        <v>2107</v>
      </c>
      <c r="L1317" s="72">
        <v>42531</v>
      </c>
      <c r="M1317" s="73" t="s">
        <v>729</v>
      </c>
      <c r="N1317" s="74">
        <v>42541</v>
      </c>
      <c r="O1317" s="75">
        <f t="shared" si="374"/>
        <v>42541</v>
      </c>
      <c r="P1317" s="2765" t="s">
        <v>1283</v>
      </c>
      <c r="Q1317" s="2954">
        <v>90.26</v>
      </c>
      <c r="R1317" s="76"/>
      <c r="S1317" s="1945" t="s">
        <v>731</v>
      </c>
      <c r="T1317" s="77"/>
      <c r="U1317" s="1893"/>
      <c r="V1317" s="2079">
        <f t="shared" si="376"/>
        <v>106.5068</v>
      </c>
      <c r="W1317" s="78">
        <f t="shared" si="377"/>
        <v>0</v>
      </c>
      <c r="X1317" s="1878" t="str">
        <f t="shared" si="375"/>
        <v xml:space="preserve">11.- C Vikrant 0210712-OT_224439  Reencauche F101-00003472 </v>
      </c>
      <c r="Z1317" s="19" t="str">
        <f t="shared" si="373"/>
        <v>ReencaucheReencauchadora RENOVA</v>
      </c>
    </row>
    <row r="1318" spans="1:26" ht="15.2" customHeight="1">
      <c r="B1318" s="37"/>
      <c r="E1318" s="66">
        <v>12</v>
      </c>
      <c r="F1318" s="2264" t="s">
        <v>732</v>
      </c>
      <c r="G1318" s="2263" t="s">
        <v>737</v>
      </c>
      <c r="H1318" s="2265" t="s">
        <v>1426</v>
      </c>
      <c r="I1318" s="2263" t="s">
        <v>726</v>
      </c>
      <c r="J1318" s="2266" t="s">
        <v>760</v>
      </c>
      <c r="K1318" s="2267" t="s">
        <v>2107</v>
      </c>
      <c r="L1318" s="2268">
        <v>42531</v>
      </c>
      <c r="M1318" s="2269" t="s">
        <v>729</v>
      </c>
      <c r="N1318" s="2270">
        <v>42577</v>
      </c>
      <c r="O1318" s="2271">
        <f t="shared" si="374"/>
        <v>42577</v>
      </c>
      <c r="P1318" s="2777" t="s">
        <v>303</v>
      </c>
      <c r="Q1318" s="2956">
        <v>0</v>
      </c>
      <c r="R1318" s="2272"/>
      <c r="S1318" s="2273" t="s">
        <v>731</v>
      </c>
      <c r="T1318" s="1875" t="s">
        <v>302</v>
      </c>
      <c r="U1318" s="1893"/>
      <c r="V1318" s="2079">
        <f t="shared" si="376"/>
        <v>0</v>
      </c>
      <c r="W1318" s="78">
        <f t="shared" si="377"/>
        <v>0</v>
      </c>
      <c r="X1318" s="1878" t="str">
        <f t="shared" si="375"/>
        <v>12.- C Vikrant 0670906-OT_224439  Reencauche S / G Rechazada, S/G</v>
      </c>
      <c r="Z1318" s="19" t="str">
        <f t="shared" si="373"/>
        <v>ReencaucheReenc. MASTERCAUCHO</v>
      </c>
    </row>
    <row r="1319" spans="1:26" ht="15.2" customHeight="1">
      <c r="B1319" s="37"/>
      <c r="E1319" s="66">
        <v>13</v>
      </c>
      <c r="F1319" s="67" t="s">
        <v>732</v>
      </c>
      <c r="G1319" s="68" t="s">
        <v>776</v>
      </c>
      <c r="H1319" s="69" t="s">
        <v>1012</v>
      </c>
      <c r="I1319" s="68" t="s">
        <v>726</v>
      </c>
      <c r="J1319" s="70" t="s">
        <v>760</v>
      </c>
      <c r="K1319" s="71" t="s">
        <v>2106</v>
      </c>
      <c r="L1319" s="72">
        <v>42531</v>
      </c>
      <c r="M1319" s="73" t="s">
        <v>729</v>
      </c>
      <c r="N1319" s="74">
        <v>42541</v>
      </c>
      <c r="O1319" s="75">
        <f t="shared" si="374"/>
        <v>42541</v>
      </c>
      <c r="P1319" s="2765"/>
      <c r="Q1319" s="2954">
        <v>0</v>
      </c>
      <c r="R1319" s="76"/>
      <c r="S1319" s="1945" t="s">
        <v>731</v>
      </c>
      <c r="T1319" s="1875" t="s">
        <v>145</v>
      </c>
      <c r="U1319" s="1893"/>
      <c r="V1319" s="2079">
        <f t="shared" si="376"/>
        <v>0</v>
      </c>
      <c r="W1319" s="78">
        <f t="shared" si="377"/>
        <v>0</v>
      </c>
      <c r="X1319" s="1878" t="str">
        <f t="shared" si="375"/>
        <v>13.- C Altura 0500708-OT_224438  Reencauche  Rechazada, Guia 030-0057765</v>
      </c>
      <c r="Z1319" s="19" t="str">
        <f t="shared" si="373"/>
        <v>ReencaucheReenc. MASTERCAUCHO</v>
      </c>
    </row>
    <row r="1320" spans="1:26" ht="15.2" customHeight="1">
      <c r="B1320" s="37"/>
      <c r="E1320" s="79">
        <v>14</v>
      </c>
      <c r="F1320" s="80" t="s">
        <v>732</v>
      </c>
      <c r="G1320" s="81" t="s">
        <v>737</v>
      </c>
      <c r="H1320" s="82" t="s">
        <v>1280</v>
      </c>
      <c r="I1320" s="81" t="s">
        <v>726</v>
      </c>
      <c r="J1320" s="83" t="s">
        <v>760</v>
      </c>
      <c r="K1320" s="84" t="s">
        <v>2106</v>
      </c>
      <c r="L1320" s="85">
        <v>42531</v>
      </c>
      <c r="M1320" s="86" t="s">
        <v>729</v>
      </c>
      <c r="N1320" s="87">
        <v>42541</v>
      </c>
      <c r="O1320" s="88">
        <f t="shared" si="374"/>
        <v>42541</v>
      </c>
      <c r="P1320" s="2766"/>
      <c r="Q1320" s="2955">
        <v>0</v>
      </c>
      <c r="R1320" s="89"/>
      <c r="S1320" s="1946" t="s">
        <v>731</v>
      </c>
      <c r="T1320" s="1875" t="s">
        <v>145</v>
      </c>
      <c r="U1320" s="1893"/>
      <c r="V1320" s="2079">
        <f t="shared" si="376"/>
        <v>0</v>
      </c>
      <c r="W1320" s="78">
        <f t="shared" si="377"/>
        <v>0</v>
      </c>
      <c r="X1320" s="1878" t="str">
        <f t="shared" si="375"/>
        <v>14.- C Vikrant 0410506-OT_224438  Reencauche  Rechazada, Guia 030-0057765</v>
      </c>
      <c r="Z1320" s="19" t="str">
        <f t="shared" si="373"/>
        <v>ReencaucheReenc. MASTERCAUCHO</v>
      </c>
    </row>
    <row r="1321" spans="1:26" ht="15.2" customHeight="1">
      <c r="B1321" s="37"/>
      <c r="E1321" s="66">
        <v>1</v>
      </c>
      <c r="F1321" s="67" t="s">
        <v>723</v>
      </c>
      <c r="G1321" s="68" t="s">
        <v>724</v>
      </c>
      <c r="H1321" s="69" t="s">
        <v>1593</v>
      </c>
      <c r="I1321" s="68" t="s">
        <v>726</v>
      </c>
      <c r="J1321" s="70" t="s">
        <v>727</v>
      </c>
      <c r="K1321" s="71"/>
      <c r="L1321" s="72"/>
      <c r="M1321" s="73" t="s">
        <v>729</v>
      </c>
      <c r="N1321" s="74">
        <v>42532</v>
      </c>
      <c r="O1321" s="75">
        <f t="shared" si="374"/>
        <v>42532</v>
      </c>
      <c r="P1321" s="2765" t="s">
        <v>1893</v>
      </c>
      <c r="Q1321" s="2954"/>
      <c r="R1321" s="76">
        <v>0</v>
      </c>
      <c r="S1321" s="1945" t="s">
        <v>731</v>
      </c>
      <c r="T1321" s="77" t="s">
        <v>1604</v>
      </c>
      <c r="U1321" s="1893" t="s">
        <v>694</v>
      </c>
      <c r="V1321" s="2079">
        <f t="shared" si="376"/>
        <v>0</v>
      </c>
      <c r="W1321" s="78">
        <f t="shared" si="377"/>
        <v>0</v>
      </c>
      <c r="X1321" s="1878" t="str">
        <f t="shared" si="375"/>
        <v>1.- R Aeolus 8140616-OT_  Reencauche F0001-005697 Reempl a Aeolus 0360912</v>
      </c>
      <c r="Z1321" s="19" t="str">
        <f t="shared" si="373"/>
        <v>ReencaucheReenc. MASTERCAUCHO</v>
      </c>
    </row>
    <row r="1322" spans="1:26" ht="15.2" customHeight="1">
      <c r="B1322" s="37"/>
      <c r="E1322" s="66">
        <v>2</v>
      </c>
      <c r="F1322" s="67" t="s">
        <v>723</v>
      </c>
      <c r="G1322" s="68" t="s">
        <v>724</v>
      </c>
      <c r="H1322" s="69" t="s">
        <v>1598</v>
      </c>
      <c r="I1322" s="68" t="s">
        <v>726</v>
      </c>
      <c r="J1322" s="70" t="s">
        <v>727</v>
      </c>
      <c r="K1322" s="71"/>
      <c r="L1322" s="72"/>
      <c r="M1322" s="73" t="s">
        <v>729</v>
      </c>
      <c r="N1322" s="74">
        <v>42532</v>
      </c>
      <c r="O1322" s="75">
        <f t="shared" si="374"/>
        <v>42532</v>
      </c>
      <c r="P1322" s="2765" t="s">
        <v>1893</v>
      </c>
      <c r="Q1322" s="2954"/>
      <c r="R1322" s="76">
        <v>0</v>
      </c>
      <c r="S1322" s="1945" t="s">
        <v>731</v>
      </c>
      <c r="T1322" s="77" t="s">
        <v>1605</v>
      </c>
      <c r="U1322" s="1893" t="s">
        <v>694</v>
      </c>
      <c r="V1322" s="2079">
        <f t="shared" si="376"/>
        <v>0</v>
      </c>
      <c r="W1322" s="78">
        <f t="shared" si="377"/>
        <v>0</v>
      </c>
      <c r="X1322" s="1878" t="str">
        <f t="shared" si="375"/>
        <v>2.- R Aeolus 8190616-OT_  Reencauche F0001-005697 Reempl a Goodyear 0001500113</v>
      </c>
      <c r="Z1322" s="19" t="str">
        <f t="shared" si="373"/>
        <v>ReencaucheReenc. MASTERCAUCHO</v>
      </c>
    </row>
    <row r="1323" spans="1:26" ht="15.2" customHeight="1">
      <c r="A1323">
        <v>0</v>
      </c>
      <c r="B1323" s="37"/>
      <c r="E1323" s="66">
        <v>3</v>
      </c>
      <c r="F1323" s="67" t="s">
        <v>723</v>
      </c>
      <c r="G1323" s="68" t="s">
        <v>724</v>
      </c>
      <c r="H1323" s="69" t="s">
        <v>1600</v>
      </c>
      <c r="I1323" s="68" t="s">
        <v>726</v>
      </c>
      <c r="J1323" s="70" t="s">
        <v>727</v>
      </c>
      <c r="K1323" s="71"/>
      <c r="L1323" s="72"/>
      <c r="M1323" s="73" t="s">
        <v>729</v>
      </c>
      <c r="N1323" s="74">
        <v>42532</v>
      </c>
      <c r="O1323" s="75">
        <f t="shared" si="374"/>
        <v>42532</v>
      </c>
      <c r="P1323" s="2765" t="s">
        <v>1893</v>
      </c>
      <c r="Q1323" s="2954"/>
      <c r="R1323" s="76">
        <v>0</v>
      </c>
      <c r="S1323" s="1945" t="s">
        <v>731</v>
      </c>
      <c r="T1323" s="77" t="s">
        <v>1606</v>
      </c>
      <c r="U1323" s="1893" t="s">
        <v>694</v>
      </c>
      <c r="V1323" s="2079">
        <f t="shared" si="376"/>
        <v>0</v>
      </c>
      <c r="W1323" s="78">
        <f t="shared" si="377"/>
        <v>0</v>
      </c>
      <c r="X1323" s="1878" t="str">
        <f t="shared" si="375"/>
        <v>3.- R Aeolus 8210616-OT_  Reencauche F0001-005697 Reempl a Aeolus 0170113</v>
      </c>
      <c r="Z1323" s="19" t="str">
        <f t="shared" si="373"/>
        <v>ReencaucheReenc. MASTERCAUCHO</v>
      </c>
    </row>
    <row r="1324" spans="1:26" ht="15.2" customHeight="1">
      <c r="B1324" s="37"/>
      <c r="E1324" s="66">
        <v>4</v>
      </c>
      <c r="F1324" s="67" t="s">
        <v>723</v>
      </c>
      <c r="G1324" s="68" t="s">
        <v>1601</v>
      </c>
      <c r="H1324" s="69" t="s">
        <v>1596</v>
      </c>
      <c r="I1324" s="68" t="s">
        <v>726</v>
      </c>
      <c r="J1324" s="70" t="s">
        <v>727</v>
      </c>
      <c r="K1324" s="71"/>
      <c r="L1324" s="72"/>
      <c r="M1324" s="73" t="s">
        <v>729</v>
      </c>
      <c r="N1324" s="74">
        <v>42532</v>
      </c>
      <c r="O1324" s="75">
        <f t="shared" si="374"/>
        <v>42532</v>
      </c>
      <c r="P1324" s="2765" t="s">
        <v>1893</v>
      </c>
      <c r="Q1324" s="2954"/>
      <c r="R1324" s="76">
        <v>0</v>
      </c>
      <c r="S1324" s="1945" t="s">
        <v>731</v>
      </c>
      <c r="T1324" s="77" t="s">
        <v>1607</v>
      </c>
      <c r="U1324" s="1893" t="s">
        <v>694</v>
      </c>
      <c r="V1324" s="2079">
        <f t="shared" si="376"/>
        <v>0</v>
      </c>
      <c r="W1324" s="78">
        <f t="shared" si="377"/>
        <v>0</v>
      </c>
      <c r="X1324" s="1878" t="str">
        <f t="shared" si="375"/>
        <v>4.- R Roadshine 8170616-OT_  Reencauche F0001-005697 Reempl a Aeolus 0180113</v>
      </c>
      <c r="Z1324" s="19" t="str">
        <f t="shared" si="373"/>
        <v>ReencaucheReenc. MASTERCAUCHO</v>
      </c>
    </row>
    <row r="1325" spans="1:26" ht="15.2" customHeight="1">
      <c r="B1325" s="37"/>
      <c r="E1325" s="66">
        <v>5</v>
      </c>
      <c r="F1325" s="67" t="s">
        <v>723</v>
      </c>
      <c r="G1325" s="68" t="s">
        <v>825</v>
      </c>
      <c r="H1325" s="69" t="s">
        <v>1594</v>
      </c>
      <c r="I1325" s="68" t="s">
        <v>726</v>
      </c>
      <c r="J1325" s="70" t="s">
        <v>727</v>
      </c>
      <c r="K1325" s="71"/>
      <c r="L1325" s="72"/>
      <c r="M1325" s="73" t="s">
        <v>729</v>
      </c>
      <c r="N1325" s="74">
        <v>42532</v>
      </c>
      <c r="O1325" s="75">
        <f t="shared" si="374"/>
        <v>42532</v>
      </c>
      <c r="P1325" s="2765" t="s">
        <v>1893</v>
      </c>
      <c r="Q1325" s="2954"/>
      <c r="R1325" s="76">
        <v>0</v>
      </c>
      <c r="S1325" s="1945" t="s">
        <v>731</v>
      </c>
      <c r="T1325" s="77" t="s">
        <v>1608</v>
      </c>
      <c r="U1325" s="1893" t="s">
        <v>694</v>
      </c>
      <c r="V1325" s="2079">
        <f t="shared" si="376"/>
        <v>0</v>
      </c>
      <c r="W1325" s="78">
        <f t="shared" si="377"/>
        <v>0</v>
      </c>
      <c r="X1325" s="1878" t="str">
        <f t="shared" si="375"/>
        <v>5.- R Falken 8150616-OT_  Reencauche F0001-005697 Reempl a Aeolus 0190113</v>
      </c>
      <c r="Z1325" s="19" t="str">
        <f t="shared" si="373"/>
        <v>ReencaucheReenc. MASTERCAUCHO</v>
      </c>
    </row>
    <row r="1326" spans="1:26" ht="15.2" customHeight="1">
      <c r="B1326" s="37"/>
      <c r="E1326" s="66">
        <v>6</v>
      </c>
      <c r="F1326" s="67" t="s">
        <v>723</v>
      </c>
      <c r="G1326" s="68" t="s">
        <v>1602</v>
      </c>
      <c r="H1326" s="69" t="s">
        <v>1595</v>
      </c>
      <c r="I1326" s="68" t="s">
        <v>726</v>
      </c>
      <c r="J1326" s="70" t="s">
        <v>727</v>
      </c>
      <c r="K1326" s="71"/>
      <c r="L1326" s="72"/>
      <c r="M1326" s="73" t="s">
        <v>729</v>
      </c>
      <c r="N1326" s="74">
        <v>42532</v>
      </c>
      <c r="O1326" s="75">
        <f t="shared" si="374"/>
        <v>42532</v>
      </c>
      <c r="P1326" s="2765" t="s">
        <v>1893</v>
      </c>
      <c r="Q1326" s="2954"/>
      <c r="R1326" s="76">
        <v>0</v>
      </c>
      <c r="S1326" s="1945" t="s">
        <v>731</v>
      </c>
      <c r="T1326" s="77" t="s">
        <v>1609</v>
      </c>
      <c r="U1326" s="1893" t="s">
        <v>694</v>
      </c>
      <c r="V1326" s="2079">
        <f t="shared" si="376"/>
        <v>0</v>
      </c>
      <c r="W1326" s="78">
        <f t="shared" si="377"/>
        <v>0</v>
      </c>
      <c r="X1326" s="1878" t="str">
        <f t="shared" si="375"/>
        <v>6.- R Dunlop 8160616-OT_  Reencauche F0001-005697 Reempl a Aeolus 0160113</v>
      </c>
      <c r="Z1326" s="19" t="str">
        <f t="shared" ref="Z1326:Z1333" si="378">CONCATENATE(I1329,J1329)</f>
        <v>ReencaucheReenc. MASTERCAUCHO</v>
      </c>
    </row>
    <row r="1327" spans="1:26" ht="15.2" customHeight="1">
      <c r="B1327" s="37"/>
      <c r="E1327" s="66">
        <v>7</v>
      </c>
      <c r="F1327" s="67" t="s">
        <v>723</v>
      </c>
      <c r="G1327" s="68" t="s">
        <v>1603</v>
      </c>
      <c r="H1327" s="69" t="s">
        <v>1597</v>
      </c>
      <c r="I1327" s="68" t="s">
        <v>726</v>
      </c>
      <c r="J1327" s="70" t="s">
        <v>727</v>
      </c>
      <c r="K1327" s="71"/>
      <c r="L1327" s="72"/>
      <c r="M1327" s="73" t="s">
        <v>729</v>
      </c>
      <c r="N1327" s="74">
        <v>42532</v>
      </c>
      <c r="O1327" s="75">
        <f t="shared" si="374"/>
        <v>42532</v>
      </c>
      <c r="P1327" s="2765" t="s">
        <v>1893</v>
      </c>
      <c r="Q1327" s="2954"/>
      <c r="R1327" s="76">
        <v>0</v>
      </c>
      <c r="S1327" s="1945" t="s">
        <v>731</v>
      </c>
      <c r="T1327" s="77" t="s">
        <v>1610</v>
      </c>
      <c r="U1327" s="1893" t="s">
        <v>694</v>
      </c>
      <c r="V1327" s="2079">
        <f t="shared" si="376"/>
        <v>0</v>
      </c>
      <c r="W1327" s="78">
        <f t="shared" si="377"/>
        <v>0</v>
      </c>
      <c r="X1327" s="1878" t="str">
        <f t="shared" si="375"/>
        <v>7.- R Otani 8180616-OT_  Reencauche F0001-005697 Reempl a Goodyear 00260614</v>
      </c>
      <c r="Z1327" s="19" t="str">
        <f t="shared" si="378"/>
        <v>ReencaucheReenc. MASTERCAUCHO</v>
      </c>
    </row>
    <row r="1328" spans="1:26" ht="15.2" customHeight="1">
      <c r="B1328" s="37"/>
      <c r="E1328" s="79">
        <v>8</v>
      </c>
      <c r="F1328" s="80" t="s">
        <v>723</v>
      </c>
      <c r="G1328" s="81" t="s">
        <v>831</v>
      </c>
      <c r="H1328" s="82" t="s">
        <v>1599</v>
      </c>
      <c r="I1328" s="81" t="s">
        <v>726</v>
      </c>
      <c r="J1328" s="83" t="s">
        <v>727</v>
      </c>
      <c r="K1328" s="84"/>
      <c r="L1328" s="85"/>
      <c r="M1328" s="86" t="s">
        <v>729</v>
      </c>
      <c r="N1328" s="87">
        <v>42532</v>
      </c>
      <c r="O1328" s="88">
        <f t="shared" si="374"/>
        <v>42532</v>
      </c>
      <c r="P1328" s="2766" t="s">
        <v>1893</v>
      </c>
      <c r="Q1328" s="2955"/>
      <c r="R1328" s="89">
        <v>0</v>
      </c>
      <c r="S1328" s="1946" t="s">
        <v>731</v>
      </c>
      <c r="T1328" s="77" t="s">
        <v>1611</v>
      </c>
      <c r="U1328" s="1893" t="s">
        <v>694</v>
      </c>
      <c r="V1328" s="2079">
        <f t="shared" si="376"/>
        <v>0</v>
      </c>
      <c r="W1328" s="78">
        <f t="shared" si="377"/>
        <v>0</v>
      </c>
      <c r="X1328" s="1878" t="str">
        <f t="shared" si="375"/>
        <v>8.- R Kumho 8200616-OT_  Reencauche F0001-005697 Reempl a Aeolus 0370814</v>
      </c>
      <c r="Z1328" s="19" t="str">
        <f t="shared" si="378"/>
        <v>ReencaucheReenc. MASTERCAUCHO</v>
      </c>
    </row>
    <row r="1329" spans="1:26" ht="15.2" customHeight="1">
      <c r="B1329" s="37"/>
      <c r="E1329" s="66">
        <v>1</v>
      </c>
      <c r="F1329" s="67" t="s">
        <v>723</v>
      </c>
      <c r="G1329" s="68" t="s">
        <v>724</v>
      </c>
      <c r="H1329" s="69" t="s">
        <v>1004</v>
      </c>
      <c r="I1329" s="68" t="s">
        <v>726</v>
      </c>
      <c r="J1329" s="70" t="s">
        <v>727</v>
      </c>
      <c r="K1329" s="71" t="s">
        <v>351</v>
      </c>
      <c r="L1329" s="72">
        <v>42509</v>
      </c>
      <c r="M1329" s="73"/>
      <c r="N1329" s="74">
        <v>42532</v>
      </c>
      <c r="O1329" s="75">
        <f t="shared" si="374"/>
        <v>42532</v>
      </c>
      <c r="P1329" s="2765" t="s">
        <v>1893</v>
      </c>
      <c r="Q1329" s="2954"/>
      <c r="R1329" s="76">
        <v>279.661</v>
      </c>
      <c r="S1329" s="1945" t="s">
        <v>731</v>
      </c>
      <c r="T1329" s="77" t="s">
        <v>1894</v>
      </c>
      <c r="U1329" s="1893" t="s">
        <v>694</v>
      </c>
      <c r="V1329" s="2079">
        <f t="shared" si="376"/>
        <v>0</v>
      </c>
      <c r="W1329" s="78">
        <f t="shared" si="377"/>
        <v>329.99997999999999</v>
      </c>
      <c r="X1329" s="1878" t="str">
        <f t="shared" si="375"/>
        <v>1.- R Aeolus 0360912-OT_003192  Reencauche F0001-005697 AEOLUS 3510</v>
      </c>
      <c r="Z1329" s="19" t="str">
        <f t="shared" si="378"/>
        <v>ReencaucheReenc. MASTERCAUCHO</v>
      </c>
    </row>
    <row r="1330" spans="1:26" ht="15.2" customHeight="1">
      <c r="B1330" s="37"/>
      <c r="E1330" s="66">
        <v>2</v>
      </c>
      <c r="F1330" s="67" t="s">
        <v>723</v>
      </c>
      <c r="G1330" s="68" t="s">
        <v>757</v>
      </c>
      <c r="H1330" s="69" t="s">
        <v>344</v>
      </c>
      <c r="I1330" s="68" t="s">
        <v>726</v>
      </c>
      <c r="J1330" s="70" t="s">
        <v>727</v>
      </c>
      <c r="K1330" s="71" t="s">
        <v>351</v>
      </c>
      <c r="L1330" s="72">
        <v>42509</v>
      </c>
      <c r="M1330" s="73"/>
      <c r="N1330" s="74">
        <v>42532</v>
      </c>
      <c r="O1330" s="75">
        <f t="shared" si="374"/>
        <v>42532</v>
      </c>
      <c r="P1330" s="2765" t="s">
        <v>1893</v>
      </c>
      <c r="Q1330" s="2954"/>
      <c r="R1330" s="76">
        <v>279.661</v>
      </c>
      <c r="S1330" s="1945" t="s">
        <v>731</v>
      </c>
      <c r="T1330" s="77" t="s">
        <v>1895</v>
      </c>
      <c r="U1330" s="1893" t="s">
        <v>694</v>
      </c>
      <c r="V1330" s="2079">
        <f t="shared" si="376"/>
        <v>0</v>
      </c>
      <c r="W1330" s="78">
        <f t="shared" si="377"/>
        <v>329.99997999999999</v>
      </c>
      <c r="X1330" s="1878" t="str">
        <f t="shared" si="375"/>
        <v>2.- R Goodyear 000150113-OT_003192  Reencauche F0001-005697 AEOLUS 3511</v>
      </c>
      <c r="Z1330" s="19" t="str">
        <f t="shared" si="378"/>
        <v>ReencaucheReenc. MASTERCAUCHO</v>
      </c>
    </row>
    <row r="1331" spans="1:26" ht="15.2" customHeight="1">
      <c r="A1331">
        <v>0</v>
      </c>
      <c r="B1331" s="37"/>
      <c r="E1331" s="66">
        <v>3</v>
      </c>
      <c r="F1331" s="67" t="s">
        <v>723</v>
      </c>
      <c r="G1331" s="68" t="s">
        <v>724</v>
      </c>
      <c r="H1331" s="69" t="s">
        <v>345</v>
      </c>
      <c r="I1331" s="68" t="s">
        <v>726</v>
      </c>
      <c r="J1331" s="70" t="s">
        <v>727</v>
      </c>
      <c r="K1331" s="71" t="s">
        <v>351</v>
      </c>
      <c r="L1331" s="72">
        <v>42509</v>
      </c>
      <c r="M1331" s="73"/>
      <c r="N1331" s="74">
        <v>42532</v>
      </c>
      <c r="O1331" s="75">
        <f t="shared" si="374"/>
        <v>42532</v>
      </c>
      <c r="P1331" s="2765" t="s">
        <v>1893</v>
      </c>
      <c r="Q1331" s="2954"/>
      <c r="R1331" s="76">
        <v>279.661</v>
      </c>
      <c r="S1331" s="1945" t="s">
        <v>731</v>
      </c>
      <c r="T1331" s="77" t="s">
        <v>1896</v>
      </c>
      <c r="U1331" s="1893" t="s">
        <v>694</v>
      </c>
      <c r="V1331" s="2079">
        <f t="shared" si="376"/>
        <v>0</v>
      </c>
      <c r="W1331" s="78">
        <f t="shared" si="377"/>
        <v>329.99997999999999</v>
      </c>
      <c r="X1331" s="1878" t="str">
        <f t="shared" si="375"/>
        <v>3.- R Aeolus 0170113-OT_003192  Reencauche F0001-005697 AEOLUS 3710</v>
      </c>
      <c r="Z1331" s="19" t="str">
        <f t="shared" si="378"/>
        <v>ReencaucheReenc. MASTERCAUCHO</v>
      </c>
    </row>
    <row r="1332" spans="1:26" ht="15.2" customHeight="1">
      <c r="B1332" s="37"/>
      <c r="E1332" s="66">
        <v>4</v>
      </c>
      <c r="F1332" s="67" t="s">
        <v>723</v>
      </c>
      <c r="G1332" s="68" t="s">
        <v>724</v>
      </c>
      <c r="H1332" s="69" t="s">
        <v>346</v>
      </c>
      <c r="I1332" s="68" t="s">
        <v>726</v>
      </c>
      <c r="J1332" s="70" t="s">
        <v>727</v>
      </c>
      <c r="K1332" s="71" t="s">
        <v>351</v>
      </c>
      <c r="L1332" s="72">
        <v>42509</v>
      </c>
      <c r="M1332" s="73"/>
      <c r="N1332" s="74">
        <v>42532</v>
      </c>
      <c r="O1332" s="75">
        <f t="shared" si="374"/>
        <v>42532</v>
      </c>
      <c r="P1332" s="2765" t="s">
        <v>1893</v>
      </c>
      <c r="Q1332" s="2954"/>
      <c r="R1332" s="76">
        <v>279.661</v>
      </c>
      <c r="S1332" s="1945" t="s">
        <v>731</v>
      </c>
      <c r="T1332" s="77" t="s">
        <v>1897</v>
      </c>
      <c r="U1332" s="1893" t="s">
        <v>694</v>
      </c>
      <c r="V1332" s="2079">
        <f t="shared" si="376"/>
        <v>0</v>
      </c>
      <c r="W1332" s="78">
        <f t="shared" si="377"/>
        <v>329.99997999999999</v>
      </c>
      <c r="X1332" s="1878" t="str">
        <f t="shared" si="375"/>
        <v>4.- R Aeolus 0180113-OT_003192  Reencauche F0001-005697 ROADSHINE 4814</v>
      </c>
      <c r="Z1332" s="19" t="str">
        <f t="shared" si="378"/>
        <v>ReencaucheReenc. MASTERCAUCHO</v>
      </c>
    </row>
    <row r="1333" spans="1:26" ht="15.2" customHeight="1">
      <c r="B1333" s="37"/>
      <c r="E1333" s="66">
        <v>5</v>
      </c>
      <c r="F1333" s="67" t="s">
        <v>723</v>
      </c>
      <c r="G1333" s="68" t="s">
        <v>724</v>
      </c>
      <c r="H1333" s="69" t="s">
        <v>347</v>
      </c>
      <c r="I1333" s="68" t="s">
        <v>726</v>
      </c>
      <c r="J1333" s="70" t="s">
        <v>727</v>
      </c>
      <c r="K1333" s="71" t="s">
        <v>351</v>
      </c>
      <c r="L1333" s="72">
        <v>42509</v>
      </c>
      <c r="M1333" s="73"/>
      <c r="N1333" s="74">
        <v>42532</v>
      </c>
      <c r="O1333" s="75">
        <f t="shared" si="374"/>
        <v>42532</v>
      </c>
      <c r="P1333" s="2765" t="s">
        <v>1893</v>
      </c>
      <c r="Q1333" s="2954"/>
      <c r="R1333" s="76">
        <v>279.661</v>
      </c>
      <c r="S1333" s="1945" t="s">
        <v>731</v>
      </c>
      <c r="T1333" s="77" t="s">
        <v>1898</v>
      </c>
      <c r="U1333" s="1893" t="s">
        <v>694</v>
      </c>
      <c r="V1333" s="2079">
        <f t="shared" si="376"/>
        <v>0</v>
      </c>
      <c r="W1333" s="78">
        <f t="shared" si="377"/>
        <v>329.99997999999999</v>
      </c>
      <c r="X1333" s="1878" t="str">
        <f t="shared" si="375"/>
        <v>5.- R Aeolus 0190113-OT_003192  Reencauche F0001-005697 FALKEN 4513</v>
      </c>
      <c r="Z1333" s="19" t="str">
        <f t="shared" si="378"/>
        <v>ReencaucheReenc. MASTERCAUCHO</v>
      </c>
    </row>
    <row r="1334" spans="1:26" ht="15.2" customHeight="1">
      <c r="B1334" s="37"/>
      <c r="E1334" s="66">
        <v>6</v>
      </c>
      <c r="F1334" s="67" t="s">
        <v>723</v>
      </c>
      <c r="G1334" s="68" t="s">
        <v>724</v>
      </c>
      <c r="H1334" s="69" t="s">
        <v>348</v>
      </c>
      <c r="I1334" s="68" t="s">
        <v>726</v>
      </c>
      <c r="J1334" s="70" t="s">
        <v>727</v>
      </c>
      <c r="K1334" s="71" t="s">
        <v>351</v>
      </c>
      <c r="L1334" s="72">
        <v>42509</v>
      </c>
      <c r="M1334" s="73"/>
      <c r="N1334" s="74">
        <v>42532</v>
      </c>
      <c r="O1334" s="75">
        <f t="shared" si="374"/>
        <v>42532</v>
      </c>
      <c r="P1334" s="2765" t="s">
        <v>1893</v>
      </c>
      <c r="Q1334" s="2954"/>
      <c r="R1334" s="76">
        <v>279.661</v>
      </c>
      <c r="S1334" s="1945" t="s">
        <v>731</v>
      </c>
      <c r="T1334" s="77" t="s">
        <v>1899</v>
      </c>
      <c r="U1334" s="1893" t="s">
        <v>694</v>
      </c>
      <c r="V1334" s="2079">
        <f t="shared" si="376"/>
        <v>0</v>
      </c>
      <c r="W1334" s="78">
        <f t="shared" si="377"/>
        <v>329.99997999999999</v>
      </c>
      <c r="X1334" s="1878" t="str">
        <f t="shared" si="375"/>
        <v>6.- R Aeolus 0160113-OT_003192  Reencauche F0001-005697 DUNLOP 2312</v>
      </c>
      <c r="Z1334" s="19" t="str">
        <f t="shared" ref="Z1334:Z1359" si="379">CONCATENATE(I1337,J1337)</f>
        <v>Transpl BandaReenc. MASTERCAUCHO</v>
      </c>
    </row>
    <row r="1335" spans="1:26" ht="15.2" customHeight="1">
      <c r="B1335" s="37"/>
      <c r="E1335" s="66">
        <v>7</v>
      </c>
      <c r="F1335" s="67" t="s">
        <v>723</v>
      </c>
      <c r="G1335" s="68" t="s">
        <v>757</v>
      </c>
      <c r="H1335" s="69" t="s">
        <v>349</v>
      </c>
      <c r="I1335" s="68" t="s">
        <v>726</v>
      </c>
      <c r="J1335" s="70" t="s">
        <v>727</v>
      </c>
      <c r="K1335" s="71" t="s">
        <v>351</v>
      </c>
      <c r="L1335" s="72">
        <v>42509</v>
      </c>
      <c r="M1335" s="73"/>
      <c r="N1335" s="74">
        <v>42532</v>
      </c>
      <c r="O1335" s="75">
        <f t="shared" si="374"/>
        <v>42532</v>
      </c>
      <c r="P1335" s="2765" t="s">
        <v>1893</v>
      </c>
      <c r="Q1335" s="2954"/>
      <c r="R1335" s="76">
        <v>279.661</v>
      </c>
      <c r="S1335" s="1945" t="s">
        <v>731</v>
      </c>
      <c r="T1335" s="77" t="s">
        <v>1900</v>
      </c>
      <c r="U1335" s="1893" t="s">
        <v>694</v>
      </c>
      <c r="V1335" s="2079">
        <f t="shared" si="376"/>
        <v>0</v>
      </c>
      <c r="W1335" s="78">
        <f t="shared" si="377"/>
        <v>329.99997999999999</v>
      </c>
      <c r="X1335" s="1878" t="str">
        <f t="shared" si="375"/>
        <v>7.- R Goodyear 00260614-OT_003192  Reencauche F0001-005697 OTANI 2812</v>
      </c>
      <c r="Z1335" s="19" t="str">
        <f t="shared" si="379"/>
        <v>Transpl BandaReenc. MASTERCAUCHO</v>
      </c>
    </row>
    <row r="1336" spans="1:26" ht="15.2" customHeight="1">
      <c r="B1336" s="37"/>
      <c r="E1336" s="79">
        <v>8</v>
      </c>
      <c r="F1336" s="80" t="s">
        <v>723</v>
      </c>
      <c r="G1336" s="81" t="s">
        <v>724</v>
      </c>
      <c r="H1336" s="82" t="s">
        <v>350</v>
      </c>
      <c r="I1336" s="81" t="s">
        <v>726</v>
      </c>
      <c r="J1336" s="83" t="s">
        <v>727</v>
      </c>
      <c r="K1336" s="84" t="s">
        <v>351</v>
      </c>
      <c r="L1336" s="85">
        <v>42509</v>
      </c>
      <c r="M1336" s="86"/>
      <c r="N1336" s="87">
        <v>42532</v>
      </c>
      <c r="O1336" s="88">
        <f t="shared" si="374"/>
        <v>42532</v>
      </c>
      <c r="P1336" s="2766" t="s">
        <v>1893</v>
      </c>
      <c r="Q1336" s="2955"/>
      <c r="R1336" s="89">
        <v>279.661</v>
      </c>
      <c r="S1336" s="1946" t="s">
        <v>731</v>
      </c>
      <c r="T1336" s="77" t="s">
        <v>1901</v>
      </c>
      <c r="U1336" s="1893" t="s">
        <v>694</v>
      </c>
      <c r="V1336" s="2079">
        <f t="shared" si="376"/>
        <v>0</v>
      </c>
      <c r="W1336" s="78">
        <f t="shared" si="377"/>
        <v>329.99997999999999</v>
      </c>
      <c r="X1336" s="1878" t="str">
        <f t="shared" si="375"/>
        <v>8.- R Aeolus 0370814-OT_003192  Reencauche F0001-005697 KUMHO 5011</v>
      </c>
      <c r="Z1336" s="19" t="str">
        <f t="shared" si="379"/>
        <v>Sacar_BandaReenc. MASTERCAUCHO</v>
      </c>
    </row>
    <row r="1337" spans="1:26" ht="15.2" customHeight="1">
      <c r="B1337" s="37"/>
      <c r="E1337" s="66">
        <v>1</v>
      </c>
      <c r="F1337" s="67" t="s">
        <v>732</v>
      </c>
      <c r="G1337" s="68" t="s">
        <v>757</v>
      </c>
      <c r="H1337" s="69" t="s">
        <v>1070</v>
      </c>
      <c r="I1337" s="68" t="s">
        <v>740</v>
      </c>
      <c r="J1337" s="70" t="s">
        <v>727</v>
      </c>
      <c r="K1337" s="71" t="s">
        <v>535</v>
      </c>
      <c r="L1337" s="72">
        <v>42504</v>
      </c>
      <c r="M1337" s="73" t="s">
        <v>729</v>
      </c>
      <c r="N1337" s="74">
        <v>42532</v>
      </c>
      <c r="O1337" s="75">
        <f t="shared" si="374"/>
        <v>42532</v>
      </c>
      <c r="P1337" s="2765" t="s">
        <v>1893</v>
      </c>
      <c r="Q1337" s="2954"/>
      <c r="R1337" s="76">
        <v>127.12</v>
      </c>
      <c r="S1337" s="1945" t="s">
        <v>731</v>
      </c>
      <c r="T1337" s="77"/>
      <c r="U1337" s="1893" t="s">
        <v>693</v>
      </c>
      <c r="V1337" s="2079">
        <f t="shared" si="376"/>
        <v>0</v>
      </c>
      <c r="W1337" s="78">
        <f t="shared" si="377"/>
        <v>150.0016</v>
      </c>
      <c r="X1337" s="1878" t="str">
        <f t="shared" si="375"/>
        <v xml:space="preserve">1.- C Goodyear 0700404-OT_003191  Transpl Banda F0001-005697 </v>
      </c>
      <c r="Z1337" s="19" t="str">
        <f t="shared" si="379"/>
        <v>Sacar_BandaReenc. MASTERCAUCHO</v>
      </c>
    </row>
    <row r="1338" spans="1:26" ht="15.2" customHeight="1">
      <c r="B1338" s="37"/>
      <c r="E1338" s="66">
        <v>2</v>
      </c>
      <c r="F1338" s="67" t="s">
        <v>732</v>
      </c>
      <c r="G1338" s="68" t="s">
        <v>1108</v>
      </c>
      <c r="H1338" s="69" t="s">
        <v>534</v>
      </c>
      <c r="I1338" s="68" t="s">
        <v>740</v>
      </c>
      <c r="J1338" s="70" t="s">
        <v>727</v>
      </c>
      <c r="K1338" s="71" t="s">
        <v>535</v>
      </c>
      <c r="L1338" s="72">
        <v>42504</v>
      </c>
      <c r="M1338" s="73" t="s">
        <v>729</v>
      </c>
      <c r="N1338" s="74">
        <v>42532</v>
      </c>
      <c r="O1338" s="75">
        <f t="shared" si="374"/>
        <v>42532</v>
      </c>
      <c r="P1338" s="2765" t="s">
        <v>1893</v>
      </c>
      <c r="Q1338" s="2954"/>
      <c r="R1338" s="76">
        <v>127.12</v>
      </c>
      <c r="S1338" s="1945" t="s">
        <v>731</v>
      </c>
      <c r="T1338" s="77"/>
      <c r="U1338" s="1893" t="s">
        <v>693</v>
      </c>
      <c r="V1338" s="2079">
        <f t="shared" si="376"/>
        <v>0</v>
      </c>
      <c r="W1338" s="78">
        <f t="shared" si="377"/>
        <v>150.0016</v>
      </c>
      <c r="X1338" s="1878" t="str">
        <f t="shared" si="375"/>
        <v xml:space="preserve">2.- C Hankook 05303-OT_003191  Transpl Banda F0001-005697 </v>
      </c>
      <c r="Z1338" s="19" t="str">
        <f t="shared" si="379"/>
        <v>ReencaucheReencauchadora RENOVA</v>
      </c>
    </row>
    <row r="1339" spans="1:26" ht="15.2" customHeight="1">
      <c r="B1339" s="37"/>
      <c r="E1339" s="66">
        <v>3</v>
      </c>
      <c r="F1339" s="67" t="s">
        <v>732</v>
      </c>
      <c r="G1339" s="68" t="s">
        <v>733</v>
      </c>
      <c r="H1339" s="69" t="s">
        <v>1366</v>
      </c>
      <c r="I1339" s="68" t="s">
        <v>744</v>
      </c>
      <c r="J1339" s="70" t="s">
        <v>727</v>
      </c>
      <c r="K1339" s="71" t="s">
        <v>535</v>
      </c>
      <c r="L1339" s="72">
        <v>42504</v>
      </c>
      <c r="M1339" s="73" t="s">
        <v>729</v>
      </c>
      <c r="N1339" s="74">
        <v>42534</v>
      </c>
      <c r="O1339" s="75">
        <f t="shared" si="374"/>
        <v>42534</v>
      </c>
      <c r="P1339" s="2765" t="s">
        <v>1892</v>
      </c>
      <c r="Q1339" s="2954"/>
      <c r="R1339" s="76">
        <v>0</v>
      </c>
      <c r="S1339" s="1945" t="s">
        <v>731</v>
      </c>
      <c r="T1339" s="77"/>
      <c r="U1339" s="1893" t="s">
        <v>693</v>
      </c>
      <c r="V1339" s="2079">
        <f t="shared" si="376"/>
        <v>0</v>
      </c>
      <c r="W1339" s="78">
        <f t="shared" si="377"/>
        <v>0</v>
      </c>
      <c r="X1339" s="1878" t="str">
        <f t="shared" si="375"/>
        <v xml:space="preserve">3.- C Lima Caucho 0150108-OT_003191  Sacar_Banda G0001-001201 </v>
      </c>
      <c r="Z1339" s="19" t="str">
        <f t="shared" si="379"/>
        <v>ReencaucheReencauchadora RENOVA</v>
      </c>
    </row>
    <row r="1340" spans="1:26" ht="15.2" customHeight="1">
      <c r="B1340" s="37"/>
      <c r="E1340" s="79">
        <v>4</v>
      </c>
      <c r="F1340" s="80" t="s">
        <v>732</v>
      </c>
      <c r="G1340" s="81" t="s">
        <v>733</v>
      </c>
      <c r="H1340" s="82" t="s">
        <v>1455</v>
      </c>
      <c r="I1340" s="81" t="s">
        <v>744</v>
      </c>
      <c r="J1340" s="83" t="s">
        <v>727</v>
      </c>
      <c r="K1340" s="84" t="s">
        <v>535</v>
      </c>
      <c r="L1340" s="85">
        <v>42504</v>
      </c>
      <c r="M1340" s="86" t="s">
        <v>729</v>
      </c>
      <c r="N1340" s="87">
        <v>42534</v>
      </c>
      <c r="O1340" s="88">
        <f t="shared" si="374"/>
        <v>42534</v>
      </c>
      <c r="P1340" s="2766" t="s">
        <v>1892</v>
      </c>
      <c r="Q1340" s="2955"/>
      <c r="R1340" s="89">
        <v>0</v>
      </c>
      <c r="S1340" s="1946" t="s">
        <v>731</v>
      </c>
      <c r="T1340" s="77"/>
      <c r="U1340" s="1893" t="s">
        <v>693</v>
      </c>
      <c r="V1340" s="2079">
        <f t="shared" si="376"/>
        <v>0</v>
      </c>
      <c r="W1340" s="78">
        <f t="shared" si="377"/>
        <v>0</v>
      </c>
      <c r="X1340" s="1878" t="str">
        <f t="shared" si="375"/>
        <v xml:space="preserve">4.- C Lima Caucho 0010107-OT_003191  Sacar_Banda G0001-001201 </v>
      </c>
      <c r="Z1340" s="19" t="str">
        <f t="shared" si="379"/>
        <v>ReencaucheReencauchadora RENOVA</v>
      </c>
    </row>
    <row r="1341" spans="1:26" ht="15.2" customHeight="1">
      <c r="B1341" s="37"/>
      <c r="E1341" s="66">
        <v>1</v>
      </c>
      <c r="F1341" s="67" t="s">
        <v>732</v>
      </c>
      <c r="G1341" s="68" t="s">
        <v>733</v>
      </c>
      <c r="H1341" s="69" t="s">
        <v>985</v>
      </c>
      <c r="I1341" s="68" t="s">
        <v>726</v>
      </c>
      <c r="J1341" s="70" t="s">
        <v>760</v>
      </c>
      <c r="K1341" s="71" t="s">
        <v>146</v>
      </c>
      <c r="L1341" s="72">
        <v>42494</v>
      </c>
      <c r="M1341" s="73" t="s">
        <v>729</v>
      </c>
      <c r="N1341" s="74">
        <v>42511</v>
      </c>
      <c r="O1341" s="75">
        <f t="shared" si="374"/>
        <v>42511</v>
      </c>
      <c r="P1341" s="2765" t="s">
        <v>142</v>
      </c>
      <c r="Q1341" s="2954">
        <f>80.02*1</f>
        <v>80.02</v>
      </c>
      <c r="R1341" s="76"/>
      <c r="S1341" s="1945" t="s">
        <v>731</v>
      </c>
      <c r="T1341" s="77"/>
      <c r="U1341" s="1893" t="s">
        <v>693</v>
      </c>
      <c r="V1341" s="2079">
        <f t="shared" si="376"/>
        <v>94.423599999999993</v>
      </c>
      <c r="W1341" s="78">
        <f t="shared" si="377"/>
        <v>0</v>
      </c>
      <c r="X1341" s="1878" t="str">
        <f t="shared" si="375"/>
        <v xml:space="preserve">1.- C Lima Caucho 0890908-OT_223374  Reencauche F101-00002819 </v>
      </c>
      <c r="Z1341" s="19" t="str">
        <f t="shared" si="379"/>
        <v>ReencaucheReencauchadora RENOVA</v>
      </c>
    </row>
    <row r="1342" spans="1:26" ht="15.2" customHeight="1">
      <c r="B1342" s="37"/>
      <c r="E1342" s="66">
        <v>2</v>
      </c>
      <c r="F1342" s="67" t="s">
        <v>732</v>
      </c>
      <c r="G1342" s="68" t="s">
        <v>737</v>
      </c>
      <c r="H1342" s="69" t="s">
        <v>1712</v>
      </c>
      <c r="I1342" s="68" t="s">
        <v>726</v>
      </c>
      <c r="J1342" s="70" t="s">
        <v>760</v>
      </c>
      <c r="K1342" s="71" t="s">
        <v>146</v>
      </c>
      <c r="L1342" s="72">
        <v>42494</v>
      </c>
      <c r="M1342" s="73" t="s">
        <v>729</v>
      </c>
      <c r="N1342" s="74">
        <v>42511</v>
      </c>
      <c r="O1342" s="75">
        <v>42511</v>
      </c>
      <c r="P1342" s="2765" t="s">
        <v>142</v>
      </c>
      <c r="Q1342" s="2954">
        <v>80.02</v>
      </c>
      <c r="R1342" s="76"/>
      <c r="S1342" s="1945" t="s">
        <v>731</v>
      </c>
      <c r="T1342" s="77"/>
      <c r="U1342" s="1893" t="s">
        <v>693</v>
      </c>
      <c r="V1342" s="2079">
        <f t="shared" si="376"/>
        <v>94.423599999999993</v>
      </c>
      <c r="W1342" s="78">
        <f t="shared" si="377"/>
        <v>0</v>
      </c>
      <c r="X1342" s="1878" t="str">
        <f t="shared" si="375"/>
        <v xml:space="preserve">2.- C Vikrant 0030111-OT_223374  Reencauche F101-00002819 </v>
      </c>
      <c r="Z1342" s="19" t="str">
        <f t="shared" si="379"/>
        <v>ReencaucheReencauchadora RENOVA</v>
      </c>
    </row>
    <row r="1343" spans="1:26" ht="15.2" customHeight="1">
      <c r="B1343" s="37"/>
      <c r="E1343" s="66">
        <v>3</v>
      </c>
      <c r="F1343" s="67" t="s">
        <v>732</v>
      </c>
      <c r="G1343" s="68" t="s">
        <v>733</v>
      </c>
      <c r="H1343" s="69" t="s">
        <v>983</v>
      </c>
      <c r="I1343" s="68" t="s">
        <v>726</v>
      </c>
      <c r="J1343" s="70" t="s">
        <v>760</v>
      </c>
      <c r="K1343" s="71" t="s">
        <v>147</v>
      </c>
      <c r="L1343" s="72">
        <v>42494</v>
      </c>
      <c r="M1343" s="73" t="s">
        <v>729</v>
      </c>
      <c r="N1343" s="74">
        <v>42511</v>
      </c>
      <c r="O1343" s="75">
        <v>42511</v>
      </c>
      <c r="P1343" s="2765" t="s">
        <v>142</v>
      </c>
      <c r="Q1343" s="2954">
        <v>80.02</v>
      </c>
      <c r="R1343" s="76"/>
      <c r="S1343" s="1945" t="s">
        <v>731</v>
      </c>
      <c r="T1343" s="77"/>
      <c r="U1343" s="1893" t="s">
        <v>693</v>
      </c>
      <c r="V1343" s="2079">
        <f t="shared" si="376"/>
        <v>94.423599999999993</v>
      </c>
      <c r="W1343" s="78">
        <f t="shared" si="377"/>
        <v>0</v>
      </c>
      <c r="X1343" s="1878" t="str">
        <f t="shared" si="375"/>
        <v xml:space="preserve">3.- C Lima Caucho 1211210-OT_223373  Reencauche F101-00002819 </v>
      </c>
      <c r="Z1343" s="19" t="str">
        <f t="shared" si="379"/>
        <v>ReencaucheReencauchadora RENOVA</v>
      </c>
    </row>
    <row r="1344" spans="1:26" ht="15.2" customHeight="1">
      <c r="B1344" s="37"/>
      <c r="E1344" s="66">
        <v>4</v>
      </c>
      <c r="F1344" s="67" t="s">
        <v>732</v>
      </c>
      <c r="G1344" s="68" t="s">
        <v>733</v>
      </c>
      <c r="H1344" s="69" t="s">
        <v>947</v>
      </c>
      <c r="I1344" s="68" t="s">
        <v>726</v>
      </c>
      <c r="J1344" s="70" t="s">
        <v>760</v>
      </c>
      <c r="K1344" s="71" t="s">
        <v>147</v>
      </c>
      <c r="L1344" s="72">
        <v>42494</v>
      </c>
      <c r="M1344" s="73" t="s">
        <v>729</v>
      </c>
      <c r="N1344" s="74">
        <v>42511</v>
      </c>
      <c r="O1344" s="75">
        <v>42511</v>
      </c>
      <c r="P1344" s="2765" t="s">
        <v>142</v>
      </c>
      <c r="Q1344" s="2954">
        <v>80.02</v>
      </c>
      <c r="R1344" s="76"/>
      <c r="S1344" s="1945" t="s">
        <v>731</v>
      </c>
      <c r="T1344" s="77"/>
      <c r="U1344" s="1893" t="s">
        <v>693</v>
      </c>
      <c r="V1344" s="2079">
        <f t="shared" si="376"/>
        <v>94.423599999999993</v>
      </c>
      <c r="W1344" s="78">
        <f t="shared" si="377"/>
        <v>0</v>
      </c>
      <c r="X1344" s="1878" t="str">
        <f t="shared" si="375"/>
        <v xml:space="preserve">4.- C Lima Caucho 0020113-OT_223373  Reencauche F101-00002819 </v>
      </c>
      <c r="Z1344" s="19" t="str">
        <f t="shared" si="379"/>
        <v>ReencaucheReencauchadora RENOVA</v>
      </c>
    </row>
    <row r="1345" spans="2:26" ht="15.2" customHeight="1">
      <c r="B1345" s="37"/>
      <c r="E1345" s="66">
        <v>5</v>
      </c>
      <c r="F1345" s="67" t="s">
        <v>732</v>
      </c>
      <c r="G1345" s="68" t="s">
        <v>733</v>
      </c>
      <c r="H1345" s="69" t="s">
        <v>1268</v>
      </c>
      <c r="I1345" s="68" t="s">
        <v>726</v>
      </c>
      <c r="J1345" s="70" t="s">
        <v>760</v>
      </c>
      <c r="K1345" s="71" t="s">
        <v>147</v>
      </c>
      <c r="L1345" s="72">
        <v>42494</v>
      </c>
      <c r="M1345" s="73" t="s">
        <v>729</v>
      </c>
      <c r="N1345" s="74">
        <v>42511</v>
      </c>
      <c r="O1345" s="75">
        <v>42511</v>
      </c>
      <c r="P1345" s="2765" t="s">
        <v>142</v>
      </c>
      <c r="Q1345" s="2954">
        <v>80.02</v>
      </c>
      <c r="R1345" s="76"/>
      <c r="S1345" s="1945" t="s">
        <v>731</v>
      </c>
      <c r="T1345" s="77"/>
      <c r="U1345" s="1893" t="s">
        <v>693</v>
      </c>
      <c r="V1345" s="2079">
        <f t="shared" si="376"/>
        <v>94.423599999999993</v>
      </c>
      <c r="W1345" s="78">
        <f t="shared" si="377"/>
        <v>0</v>
      </c>
      <c r="X1345" s="1878" t="str">
        <f t="shared" si="375"/>
        <v xml:space="preserve">5.- C Lima Caucho 0540610-OT_223373  Reencauche F101-00002819 </v>
      </c>
      <c r="Z1345" s="19" t="str">
        <f t="shared" si="379"/>
        <v>ReencaucheReencauchadora RENOVA</v>
      </c>
    </row>
    <row r="1346" spans="2:26" ht="15.2" customHeight="1">
      <c r="B1346" s="37"/>
      <c r="E1346" s="66">
        <v>6</v>
      </c>
      <c r="F1346" s="67" t="s">
        <v>732</v>
      </c>
      <c r="G1346" s="68" t="s">
        <v>733</v>
      </c>
      <c r="H1346" s="69" t="s">
        <v>1093</v>
      </c>
      <c r="I1346" s="68" t="s">
        <v>726</v>
      </c>
      <c r="J1346" s="70" t="s">
        <v>760</v>
      </c>
      <c r="K1346" s="71" t="s">
        <v>147</v>
      </c>
      <c r="L1346" s="72">
        <v>42494</v>
      </c>
      <c r="M1346" s="73" t="s">
        <v>729</v>
      </c>
      <c r="N1346" s="74">
        <v>42511</v>
      </c>
      <c r="O1346" s="75">
        <v>42511</v>
      </c>
      <c r="P1346" s="2765" t="s">
        <v>142</v>
      </c>
      <c r="Q1346" s="2954">
        <v>80.02</v>
      </c>
      <c r="R1346" s="76"/>
      <c r="S1346" s="1945" t="s">
        <v>731</v>
      </c>
      <c r="T1346" s="77"/>
      <c r="U1346" s="1893" t="s">
        <v>693</v>
      </c>
      <c r="V1346" s="2079">
        <f t="shared" si="376"/>
        <v>94.423599999999993</v>
      </c>
      <c r="W1346" s="78">
        <f t="shared" si="377"/>
        <v>0</v>
      </c>
      <c r="X1346" s="1878" t="str">
        <f t="shared" si="375"/>
        <v xml:space="preserve">6.- C Lima Caucho 1021210-OT_223373  Reencauche F101-00002819 </v>
      </c>
      <c r="Z1346" s="19" t="str">
        <f t="shared" si="379"/>
        <v>ReencaucheReencauchadora RENOVA</v>
      </c>
    </row>
    <row r="1347" spans="2:26" ht="15.2" customHeight="1">
      <c r="B1347" s="37"/>
      <c r="E1347" s="66">
        <v>7</v>
      </c>
      <c r="F1347" s="67" t="s">
        <v>732</v>
      </c>
      <c r="G1347" s="68" t="s">
        <v>737</v>
      </c>
      <c r="H1347" s="69" t="s">
        <v>143</v>
      </c>
      <c r="I1347" s="68" t="s">
        <v>726</v>
      </c>
      <c r="J1347" s="70" t="s">
        <v>760</v>
      </c>
      <c r="K1347" s="71" t="s">
        <v>147</v>
      </c>
      <c r="L1347" s="72">
        <v>42494</v>
      </c>
      <c r="M1347" s="73" t="s">
        <v>729</v>
      </c>
      <c r="N1347" s="74">
        <v>42511</v>
      </c>
      <c r="O1347" s="75">
        <v>42511</v>
      </c>
      <c r="P1347" s="2765" t="s">
        <v>142</v>
      </c>
      <c r="Q1347" s="2954">
        <v>80.02</v>
      </c>
      <c r="R1347" s="76"/>
      <c r="S1347" s="1945" t="s">
        <v>731</v>
      </c>
      <c r="T1347" s="77"/>
      <c r="U1347" s="1893" t="s">
        <v>693</v>
      </c>
      <c r="V1347" s="2079">
        <f t="shared" si="376"/>
        <v>94.423599999999993</v>
      </c>
      <c r="W1347" s="78">
        <f t="shared" si="377"/>
        <v>0</v>
      </c>
      <c r="X1347" s="1878" t="str">
        <f t="shared" si="375"/>
        <v xml:space="preserve">7.- C Vikrant 00540709-OT_223373  Reencauche F101-00002819 </v>
      </c>
      <c r="Z1347" s="19" t="str">
        <f t="shared" si="379"/>
        <v>ReencaucheReencauchadora RENOVA</v>
      </c>
    </row>
    <row r="1348" spans="2:26" ht="15.2" customHeight="1">
      <c r="B1348" s="37"/>
      <c r="E1348" s="66">
        <v>8</v>
      </c>
      <c r="F1348" s="67" t="s">
        <v>732</v>
      </c>
      <c r="G1348" s="68" t="s">
        <v>737</v>
      </c>
      <c r="H1348" s="69" t="s">
        <v>1273</v>
      </c>
      <c r="I1348" s="68" t="s">
        <v>726</v>
      </c>
      <c r="J1348" s="70" t="s">
        <v>760</v>
      </c>
      <c r="K1348" s="71" t="s">
        <v>147</v>
      </c>
      <c r="L1348" s="72">
        <v>42494</v>
      </c>
      <c r="M1348" s="73" t="s">
        <v>729</v>
      </c>
      <c r="N1348" s="74">
        <v>42511</v>
      </c>
      <c r="O1348" s="75">
        <v>42511</v>
      </c>
      <c r="P1348" s="2765" t="s">
        <v>142</v>
      </c>
      <c r="Q1348" s="2954">
        <v>80.02</v>
      </c>
      <c r="R1348" s="76"/>
      <c r="S1348" s="1945" t="s">
        <v>731</v>
      </c>
      <c r="T1348" s="77"/>
      <c r="U1348" s="1893" t="s">
        <v>693</v>
      </c>
      <c r="V1348" s="2079">
        <f t="shared" si="376"/>
        <v>94.423599999999993</v>
      </c>
      <c r="W1348" s="78">
        <f t="shared" si="377"/>
        <v>0</v>
      </c>
      <c r="X1348" s="1878" t="str">
        <f t="shared" si="375"/>
        <v xml:space="preserve">8.- C Vikrant 0370510-OT_223373  Reencauche F101-00002819 </v>
      </c>
      <c r="Z1348" s="19" t="str">
        <f t="shared" si="379"/>
        <v>ReencaucheReencauchadora RENOVA</v>
      </c>
    </row>
    <row r="1349" spans="2:26" ht="15.2" customHeight="1">
      <c r="B1349" s="37"/>
      <c r="E1349" s="66">
        <v>9</v>
      </c>
      <c r="F1349" s="67" t="s">
        <v>732</v>
      </c>
      <c r="G1349" s="68" t="s">
        <v>737</v>
      </c>
      <c r="H1349" s="69" t="s">
        <v>1682</v>
      </c>
      <c r="I1349" s="68" t="s">
        <v>726</v>
      </c>
      <c r="J1349" s="70" t="s">
        <v>760</v>
      </c>
      <c r="K1349" s="71" t="s">
        <v>147</v>
      </c>
      <c r="L1349" s="72">
        <v>42494</v>
      </c>
      <c r="M1349" s="73" t="s">
        <v>729</v>
      </c>
      <c r="N1349" s="74">
        <v>42511</v>
      </c>
      <c r="O1349" s="75">
        <v>42511</v>
      </c>
      <c r="P1349" s="2765" t="s">
        <v>142</v>
      </c>
      <c r="Q1349" s="2954">
        <v>80.02</v>
      </c>
      <c r="R1349" s="76"/>
      <c r="S1349" s="1945" t="s">
        <v>731</v>
      </c>
      <c r="T1349" s="77"/>
      <c r="U1349" s="1893" t="s">
        <v>693</v>
      </c>
      <c r="V1349" s="2079">
        <f t="shared" si="376"/>
        <v>94.423599999999993</v>
      </c>
      <c r="W1349" s="78">
        <f t="shared" si="377"/>
        <v>0</v>
      </c>
      <c r="X1349" s="1878" t="str">
        <f t="shared" si="375"/>
        <v xml:space="preserve">9.- C Vikrant 0040111-OT_223373  Reencauche F101-00002819 </v>
      </c>
      <c r="Z1349" s="19" t="str">
        <f t="shared" si="379"/>
        <v>ReencaucheReencauchadora RENOVA</v>
      </c>
    </row>
    <row r="1350" spans="2:26" ht="15.2" customHeight="1">
      <c r="B1350" s="37"/>
      <c r="E1350" s="66">
        <v>10</v>
      </c>
      <c r="F1350" s="67" t="s">
        <v>732</v>
      </c>
      <c r="G1350" s="68" t="s">
        <v>737</v>
      </c>
      <c r="H1350" s="69" t="s">
        <v>999</v>
      </c>
      <c r="I1350" s="68" t="s">
        <v>726</v>
      </c>
      <c r="J1350" s="70" t="s">
        <v>760</v>
      </c>
      <c r="K1350" s="71" t="s">
        <v>147</v>
      </c>
      <c r="L1350" s="72">
        <v>42494</v>
      </c>
      <c r="M1350" s="73" t="s">
        <v>729</v>
      </c>
      <c r="N1350" s="74">
        <v>42511</v>
      </c>
      <c r="O1350" s="75">
        <v>42511</v>
      </c>
      <c r="P1350" s="2765" t="s">
        <v>142</v>
      </c>
      <c r="Q1350" s="2954">
        <v>80.02</v>
      </c>
      <c r="R1350" s="76"/>
      <c r="S1350" s="1945" t="s">
        <v>731</v>
      </c>
      <c r="T1350" s="77"/>
      <c r="U1350" s="1893" t="s">
        <v>693</v>
      </c>
      <c r="V1350" s="2079">
        <f t="shared" si="376"/>
        <v>94.423599999999993</v>
      </c>
      <c r="W1350" s="78">
        <f t="shared" si="377"/>
        <v>0</v>
      </c>
      <c r="X1350" s="1878" t="str">
        <f t="shared" si="375"/>
        <v xml:space="preserve">10.- C Vikrant 0851007-OT_223373  Reencauche F101-00002819 </v>
      </c>
      <c r="Z1350" s="19" t="str">
        <f t="shared" si="379"/>
        <v>ReencaucheReenc. MASTERCAUCHO</v>
      </c>
    </row>
    <row r="1351" spans="2:26" ht="15.2" customHeight="1">
      <c r="B1351" s="37"/>
      <c r="E1351" s="66">
        <v>11</v>
      </c>
      <c r="F1351" s="67" t="s">
        <v>732</v>
      </c>
      <c r="G1351" s="68" t="s">
        <v>737</v>
      </c>
      <c r="H1351" s="69" t="s">
        <v>1318</v>
      </c>
      <c r="I1351" s="68" t="s">
        <v>726</v>
      </c>
      <c r="J1351" s="70" t="s">
        <v>760</v>
      </c>
      <c r="K1351" s="71" t="s">
        <v>147</v>
      </c>
      <c r="L1351" s="72">
        <v>42494</v>
      </c>
      <c r="M1351" s="73" t="s">
        <v>729</v>
      </c>
      <c r="N1351" s="74">
        <v>42511</v>
      </c>
      <c r="O1351" s="75">
        <v>42511</v>
      </c>
      <c r="P1351" s="2765" t="s">
        <v>142</v>
      </c>
      <c r="Q1351" s="2954">
        <v>80.02</v>
      </c>
      <c r="R1351" s="76"/>
      <c r="S1351" s="1945" t="s">
        <v>731</v>
      </c>
      <c r="T1351" s="77"/>
      <c r="U1351" s="1893" t="s">
        <v>693</v>
      </c>
      <c r="V1351" s="2079">
        <f t="shared" si="376"/>
        <v>94.423599999999993</v>
      </c>
      <c r="W1351" s="78">
        <f t="shared" si="377"/>
        <v>0</v>
      </c>
      <c r="X1351" s="1878" t="str">
        <f t="shared" si="375"/>
        <v xml:space="preserve">11.- C Vikrant 0330410-OT_223373  Reencauche F101-00002819 </v>
      </c>
      <c r="Z1351" s="19" t="str">
        <f t="shared" si="379"/>
        <v>Casc 2a trnsplReenc. MASTERCAUCHO</v>
      </c>
    </row>
    <row r="1352" spans="2:26" ht="15.2" customHeight="1">
      <c r="B1352" s="37"/>
      <c r="E1352" s="79">
        <v>12</v>
      </c>
      <c r="F1352" s="80" t="s">
        <v>732</v>
      </c>
      <c r="G1352" s="81" t="s">
        <v>733</v>
      </c>
      <c r="H1352" s="82" t="s">
        <v>1266</v>
      </c>
      <c r="I1352" s="81" t="s">
        <v>726</v>
      </c>
      <c r="J1352" s="83" t="s">
        <v>760</v>
      </c>
      <c r="K1352" s="84" t="s">
        <v>147</v>
      </c>
      <c r="L1352" s="85">
        <v>42494</v>
      </c>
      <c r="M1352" s="86" t="s">
        <v>729</v>
      </c>
      <c r="N1352" s="87">
        <v>42511</v>
      </c>
      <c r="O1352" s="88">
        <v>42511</v>
      </c>
      <c r="P1352" s="2766" t="s">
        <v>144</v>
      </c>
      <c r="Q1352" s="2955"/>
      <c r="R1352" s="89"/>
      <c r="S1352" s="1946" t="s">
        <v>731</v>
      </c>
      <c r="T1352" s="1875" t="s">
        <v>145</v>
      </c>
      <c r="U1352" s="1893" t="s">
        <v>693</v>
      </c>
      <c r="V1352" s="2079">
        <f t="shared" si="376"/>
        <v>0</v>
      </c>
      <c r="W1352" s="78">
        <f t="shared" si="377"/>
        <v>0</v>
      </c>
      <c r="X1352" s="1878" t="str">
        <f t="shared" si="375"/>
        <v>12.- C Lima Caucho 0990908-OT_223373  Reencauche G030-0057765 Rechazada, Guia 030-0057765</v>
      </c>
      <c r="Z1352" s="19" t="str">
        <f t="shared" si="379"/>
        <v>Vulcanizado (curación)Reenc. MASTERCAUCHO</v>
      </c>
    </row>
    <row r="1353" spans="2:26" ht="15.2" customHeight="1">
      <c r="B1353" s="37"/>
      <c r="E1353" s="66">
        <v>1</v>
      </c>
      <c r="F1353" s="67" t="s">
        <v>732</v>
      </c>
      <c r="G1353" s="68" t="s">
        <v>757</v>
      </c>
      <c r="H1353" s="69" t="s">
        <v>1228</v>
      </c>
      <c r="I1353" s="68" t="s">
        <v>726</v>
      </c>
      <c r="J1353" s="70" t="s">
        <v>727</v>
      </c>
      <c r="K1353" s="71" t="s">
        <v>1102</v>
      </c>
      <c r="L1353" s="72">
        <v>42492</v>
      </c>
      <c r="M1353" s="73" t="s">
        <v>729</v>
      </c>
      <c r="N1353" s="74">
        <v>42503</v>
      </c>
      <c r="O1353" s="75">
        <f t="shared" ref="O1353:O1363" si="380">+N1353</f>
        <v>42503</v>
      </c>
      <c r="P1353" s="2765" t="s">
        <v>533</v>
      </c>
      <c r="Q1353" s="2954"/>
      <c r="R1353" s="76">
        <v>262.70999999999998</v>
      </c>
      <c r="S1353" s="1945" t="s">
        <v>731</v>
      </c>
      <c r="T1353" s="77"/>
      <c r="U1353" s="1893" t="s">
        <v>693</v>
      </c>
      <c r="V1353" s="2079">
        <f t="shared" si="376"/>
        <v>0</v>
      </c>
      <c r="W1353" s="78">
        <f t="shared" si="377"/>
        <v>309.99779999999998</v>
      </c>
      <c r="X1353" s="1878" t="str">
        <f t="shared" si="375"/>
        <v xml:space="preserve">1.- C Goodyear 0140205-OT_002495  Reencauche 0001-005484 </v>
      </c>
      <c r="Z1353" s="19" t="str">
        <f t="shared" si="379"/>
        <v>Sacar_BandaReenc. MASTERCAUCHO</v>
      </c>
    </row>
    <row r="1354" spans="2:26" ht="15.2" customHeight="1">
      <c r="B1354" s="37"/>
      <c r="E1354" s="66">
        <v>2</v>
      </c>
      <c r="F1354" s="67" t="s">
        <v>723</v>
      </c>
      <c r="G1354" s="68" t="s">
        <v>757</v>
      </c>
      <c r="H1354" s="69" t="s">
        <v>531</v>
      </c>
      <c r="I1354" s="68" t="s">
        <v>3224</v>
      </c>
      <c r="J1354" s="70" t="s">
        <v>727</v>
      </c>
      <c r="K1354" s="71" t="s">
        <v>532</v>
      </c>
      <c r="L1354" s="72">
        <v>42492</v>
      </c>
      <c r="M1354" s="73" t="s">
        <v>729</v>
      </c>
      <c r="N1354" s="74">
        <v>42503</v>
      </c>
      <c r="O1354" s="75">
        <f t="shared" si="380"/>
        <v>42503</v>
      </c>
      <c r="P1354" s="2765" t="s">
        <v>533</v>
      </c>
      <c r="Q1354" s="2954"/>
      <c r="R1354" s="76">
        <v>228.81360000000001</v>
      </c>
      <c r="S1354" s="1945" t="s">
        <v>731</v>
      </c>
      <c r="T1354" s="77"/>
      <c r="U1354" s="1893" t="s">
        <v>694</v>
      </c>
      <c r="V1354" s="2079">
        <f t="shared" si="376"/>
        <v>0</v>
      </c>
      <c r="W1354" s="78">
        <f t="shared" si="377"/>
        <v>270.00004799999999</v>
      </c>
      <c r="X1354" s="1878" t="str">
        <f t="shared" si="375"/>
        <v xml:space="preserve">2.- R Goodyear 8130516-OT_dot-5007  Casc 2a trnspl 0001-005484 </v>
      </c>
      <c r="Z1354" s="19" t="str">
        <f t="shared" si="379"/>
        <v>ReencaucheReenc. MASTERCAUCHO</v>
      </c>
    </row>
    <row r="1355" spans="2:26" ht="15.2" customHeight="1">
      <c r="B1355" s="37"/>
      <c r="E1355" s="66">
        <v>3</v>
      </c>
      <c r="F1355" s="67" t="s">
        <v>723</v>
      </c>
      <c r="G1355" s="68" t="s">
        <v>825</v>
      </c>
      <c r="H1355" s="69" t="s">
        <v>880</v>
      </c>
      <c r="I1355" s="68" t="s">
        <v>811</v>
      </c>
      <c r="J1355" s="70" t="s">
        <v>727</v>
      </c>
      <c r="K1355" s="71" t="s">
        <v>1102</v>
      </c>
      <c r="L1355" s="72">
        <v>42492</v>
      </c>
      <c r="M1355" s="73" t="s">
        <v>729</v>
      </c>
      <c r="N1355" s="74">
        <v>42503</v>
      </c>
      <c r="O1355" s="75">
        <f t="shared" si="380"/>
        <v>42503</v>
      </c>
      <c r="P1355" s="2765" t="s">
        <v>533</v>
      </c>
      <c r="Q1355" s="2954"/>
      <c r="R1355" s="76">
        <v>127.12</v>
      </c>
      <c r="S1355" s="1945" t="s">
        <v>731</v>
      </c>
      <c r="T1355" s="77"/>
      <c r="U1355" s="1893" t="s">
        <v>694</v>
      </c>
      <c r="V1355" s="2079">
        <f t="shared" si="376"/>
        <v>0</v>
      </c>
      <c r="W1355" s="78">
        <f t="shared" si="377"/>
        <v>150.0016</v>
      </c>
      <c r="X1355" s="1878" t="str">
        <f t="shared" si="375"/>
        <v xml:space="preserve">3.- R Falken 0590611-OT_002495  Vulcanizado (curación) 0001-005484 </v>
      </c>
      <c r="Z1355" s="19" t="str">
        <f t="shared" si="379"/>
        <v>ReencaucheReenc. MASTERCAUCHO</v>
      </c>
    </row>
    <row r="1356" spans="2:26" ht="15.2" customHeight="1">
      <c r="B1356" s="37"/>
      <c r="E1356" s="79">
        <v>4</v>
      </c>
      <c r="F1356" s="80" t="s">
        <v>723</v>
      </c>
      <c r="G1356" s="81" t="s">
        <v>151</v>
      </c>
      <c r="H1356" s="82" t="s">
        <v>1101</v>
      </c>
      <c r="I1356" s="81" t="s">
        <v>744</v>
      </c>
      <c r="J1356" s="83" t="s">
        <v>727</v>
      </c>
      <c r="K1356" s="84" t="s">
        <v>1102</v>
      </c>
      <c r="L1356" s="85">
        <v>42492</v>
      </c>
      <c r="M1356" s="86" t="s">
        <v>729</v>
      </c>
      <c r="N1356" s="87">
        <v>42503</v>
      </c>
      <c r="O1356" s="88">
        <f t="shared" si="380"/>
        <v>42503</v>
      </c>
      <c r="P1356" s="2766" t="s">
        <v>533</v>
      </c>
      <c r="Q1356" s="2955"/>
      <c r="R1356" s="89">
        <v>0</v>
      </c>
      <c r="S1356" s="1946" t="s">
        <v>731</v>
      </c>
      <c r="T1356" s="77"/>
      <c r="U1356" s="1893" t="s">
        <v>693</v>
      </c>
      <c r="V1356" s="2079">
        <f t="shared" si="376"/>
        <v>0</v>
      </c>
      <c r="W1356" s="78">
        <f t="shared" si="377"/>
        <v>0</v>
      </c>
      <c r="X1356" s="1878" t="str">
        <f t="shared" si="375"/>
        <v xml:space="preserve">4.- R WindPower 0821215-OT_002495  Sacar_Banda 0001-005484 </v>
      </c>
      <c r="Z1356" s="19" t="str">
        <f t="shared" si="379"/>
        <v>ReencaucheReenc. MASTERCAUCHO</v>
      </c>
    </row>
    <row r="1357" spans="2:26" ht="15.2" customHeight="1">
      <c r="B1357" s="37"/>
      <c r="E1357" s="66">
        <v>1</v>
      </c>
      <c r="F1357" s="67" t="s">
        <v>732</v>
      </c>
      <c r="G1357" s="68" t="s">
        <v>733</v>
      </c>
      <c r="H1357" s="69" t="s">
        <v>1122</v>
      </c>
      <c r="I1357" s="68" t="s">
        <v>726</v>
      </c>
      <c r="J1357" s="70" t="s">
        <v>727</v>
      </c>
      <c r="K1357" s="71" t="s">
        <v>1099</v>
      </c>
      <c r="L1357" s="72">
        <v>42483</v>
      </c>
      <c r="M1357" s="73" t="s">
        <v>729</v>
      </c>
      <c r="N1357" s="74">
        <v>205</v>
      </c>
      <c r="O1357" s="75">
        <f t="shared" si="380"/>
        <v>205</v>
      </c>
      <c r="P1357" s="2765" t="s">
        <v>1100</v>
      </c>
      <c r="Q1357" s="2954"/>
      <c r="R1357" s="76">
        <v>254.24</v>
      </c>
      <c r="S1357" s="1945" t="s">
        <v>731</v>
      </c>
      <c r="T1357" s="77"/>
      <c r="U1357" s="1893" t="s">
        <v>693</v>
      </c>
      <c r="V1357" s="2079">
        <f t="shared" si="376"/>
        <v>0</v>
      </c>
      <c r="W1357" s="78">
        <f t="shared" si="377"/>
        <v>300.00319999999999</v>
      </c>
      <c r="X1357" s="1878" t="str">
        <f t="shared" si="375"/>
        <v xml:space="preserve">1.- C Lima Caucho 0210108-OT_003173  Reencauche 0001-005409 </v>
      </c>
      <c r="Z1357" s="19" t="str">
        <f t="shared" si="379"/>
        <v>Transpl BandaReenc. MASTERCAUCHO</v>
      </c>
    </row>
    <row r="1358" spans="2:26" ht="15.2" customHeight="1">
      <c r="B1358" s="37"/>
      <c r="E1358" s="79">
        <v>2</v>
      </c>
      <c r="F1358" s="80" t="s">
        <v>732</v>
      </c>
      <c r="G1358" s="81" t="s">
        <v>733</v>
      </c>
      <c r="H1358" s="82" t="s">
        <v>1098</v>
      </c>
      <c r="I1358" s="81" t="s">
        <v>726</v>
      </c>
      <c r="J1358" s="83" t="s">
        <v>727</v>
      </c>
      <c r="K1358" s="84" t="s">
        <v>1099</v>
      </c>
      <c r="L1358" s="85">
        <v>42483</v>
      </c>
      <c r="M1358" s="86" t="s">
        <v>729</v>
      </c>
      <c r="N1358" s="87">
        <v>205</v>
      </c>
      <c r="O1358" s="88">
        <f t="shared" si="380"/>
        <v>205</v>
      </c>
      <c r="P1358" s="2766" t="s">
        <v>1100</v>
      </c>
      <c r="Q1358" s="2955"/>
      <c r="R1358" s="89">
        <v>254.24</v>
      </c>
      <c r="S1358" s="1946" t="s">
        <v>731</v>
      </c>
      <c r="T1358" s="77"/>
      <c r="U1358" s="1893" t="s">
        <v>693</v>
      </c>
      <c r="V1358" s="2079">
        <f t="shared" si="376"/>
        <v>0</v>
      </c>
      <c r="W1358" s="78">
        <f t="shared" si="377"/>
        <v>300.00319999999999</v>
      </c>
      <c r="X1358" s="1878" t="str">
        <f t="shared" si="375"/>
        <v xml:space="preserve">2.- C Lima Caucho 0030113-OT_003173  Reencauche 0001-005409 </v>
      </c>
      <c r="Z1358" s="19" t="str">
        <f t="shared" si="379"/>
        <v>Casc 2a trnsplReenc. MASTERCAUCHO</v>
      </c>
    </row>
    <row r="1359" spans="2:26" ht="15.2" customHeight="1">
      <c r="B1359" s="37"/>
      <c r="E1359" s="66">
        <v>1</v>
      </c>
      <c r="F1359" s="67" t="s">
        <v>732</v>
      </c>
      <c r="G1359" s="68" t="s">
        <v>733</v>
      </c>
      <c r="H1359" s="69" t="s">
        <v>1370</v>
      </c>
      <c r="I1359" s="68" t="s">
        <v>726</v>
      </c>
      <c r="J1359" s="70" t="s">
        <v>727</v>
      </c>
      <c r="K1359" s="71" t="s">
        <v>1808</v>
      </c>
      <c r="L1359" s="72">
        <v>42468</v>
      </c>
      <c r="M1359" s="73" t="s">
        <v>729</v>
      </c>
      <c r="N1359" s="74">
        <v>42483</v>
      </c>
      <c r="O1359" s="75">
        <f t="shared" si="380"/>
        <v>42483</v>
      </c>
      <c r="P1359" s="2765" t="s">
        <v>1565</v>
      </c>
      <c r="Q1359" s="2954"/>
      <c r="R1359" s="76">
        <v>262.70999999999998</v>
      </c>
      <c r="S1359" s="1945" t="s">
        <v>731</v>
      </c>
      <c r="T1359" s="77"/>
      <c r="U1359" s="1893" t="s">
        <v>693</v>
      </c>
      <c r="V1359" s="2079">
        <f t="shared" si="376"/>
        <v>0</v>
      </c>
      <c r="W1359" s="78">
        <f t="shared" si="377"/>
        <v>309.99779999999998</v>
      </c>
      <c r="X1359" s="1878" t="str">
        <f t="shared" si="375"/>
        <v xml:space="preserve">1.- C Lima Caucho 0180108-OT_002458  Reencauche 0001-005345 </v>
      </c>
      <c r="Z1359" s="19" t="str">
        <f t="shared" si="379"/>
        <v>Sacar_BandaReenc. MASTERCAUCHO</v>
      </c>
    </row>
    <row r="1360" spans="2:26" ht="15.2" customHeight="1">
      <c r="B1360" s="37"/>
      <c r="E1360" s="66">
        <v>2</v>
      </c>
      <c r="F1360" s="67" t="s">
        <v>732</v>
      </c>
      <c r="G1360" s="90" t="s">
        <v>757</v>
      </c>
      <c r="H1360" s="91" t="s">
        <v>1793</v>
      </c>
      <c r="I1360" s="90" t="s">
        <v>740</v>
      </c>
      <c r="J1360" s="92" t="s">
        <v>727</v>
      </c>
      <c r="K1360" s="243" t="s">
        <v>1808</v>
      </c>
      <c r="L1360" s="244">
        <v>42468</v>
      </c>
      <c r="M1360" s="73" t="s">
        <v>729</v>
      </c>
      <c r="N1360" s="74">
        <v>42483</v>
      </c>
      <c r="O1360" s="75">
        <f t="shared" si="380"/>
        <v>42483</v>
      </c>
      <c r="P1360" s="2765" t="s">
        <v>1565</v>
      </c>
      <c r="Q1360" s="2954"/>
      <c r="R1360" s="76">
        <v>262.70999999999998</v>
      </c>
      <c r="S1360" s="1945" t="s">
        <v>731</v>
      </c>
      <c r="T1360" s="77"/>
      <c r="U1360" s="1893" t="s">
        <v>693</v>
      </c>
      <c r="V1360" s="2079">
        <f t="shared" si="376"/>
        <v>0</v>
      </c>
      <c r="W1360" s="78">
        <f t="shared" si="377"/>
        <v>309.99779999999998</v>
      </c>
      <c r="X1360" s="1878" t="str">
        <f t="shared" si="375"/>
        <v xml:space="preserve">2.- C Goodyear 162112004-OT_002458  Transpl Banda 0001-005345 </v>
      </c>
      <c r="Z1360" s="19" t="str">
        <f t="shared" ref="Z1360:Z1378" si="381">CONCATENATE(I1363,J1363)</f>
        <v>Sacar_BandaReenc. MASTERCAUCHO</v>
      </c>
    </row>
    <row r="1361" spans="2:26" ht="15.2" customHeight="1">
      <c r="B1361" s="37"/>
      <c r="E1361" s="66">
        <v>3</v>
      </c>
      <c r="F1361" s="67" t="s">
        <v>723</v>
      </c>
      <c r="G1361" s="68" t="s">
        <v>1566</v>
      </c>
      <c r="H1361" s="69" t="s">
        <v>1567</v>
      </c>
      <c r="I1361" s="68" t="s">
        <v>3224</v>
      </c>
      <c r="J1361" s="70" t="s">
        <v>727</v>
      </c>
      <c r="K1361" s="71" t="s">
        <v>1568</v>
      </c>
      <c r="L1361" s="72"/>
      <c r="M1361" s="73" t="s">
        <v>729</v>
      </c>
      <c r="N1361" s="74">
        <v>42483</v>
      </c>
      <c r="O1361" s="75">
        <f t="shared" si="380"/>
        <v>42483</v>
      </c>
      <c r="P1361" s="2765"/>
      <c r="Q1361" s="2954"/>
      <c r="R1361" s="76"/>
      <c r="S1361" s="1945" t="s">
        <v>731</v>
      </c>
      <c r="T1361" s="77"/>
      <c r="U1361" s="1893" t="s">
        <v>694</v>
      </c>
      <c r="V1361" s="2079">
        <f t="shared" si="376"/>
        <v>0</v>
      </c>
      <c r="W1361" s="78">
        <f t="shared" si="377"/>
        <v>0</v>
      </c>
      <c r="X1361" s="1878" t="str">
        <f t="shared" si="375"/>
        <v xml:space="preserve">3.- R Jinyu 8120416-OT_dot-2912  Casc 2a trnspl  </v>
      </c>
      <c r="Z1361" s="19" t="str">
        <f t="shared" si="381"/>
        <v>ReencaucheReenc. MASTERCAUCHO</v>
      </c>
    </row>
    <row r="1362" spans="2:26" ht="15.2" customHeight="1">
      <c r="B1362" s="37"/>
      <c r="E1362" s="66">
        <v>4</v>
      </c>
      <c r="F1362" s="67" t="s">
        <v>723</v>
      </c>
      <c r="G1362" s="90" t="s">
        <v>825</v>
      </c>
      <c r="H1362" s="91" t="s">
        <v>1794</v>
      </c>
      <c r="I1362" s="90" t="s">
        <v>744</v>
      </c>
      <c r="J1362" s="92" t="s">
        <v>727</v>
      </c>
      <c r="K1362" s="243" t="s">
        <v>1808</v>
      </c>
      <c r="L1362" s="244">
        <v>42468</v>
      </c>
      <c r="M1362" s="73" t="s">
        <v>729</v>
      </c>
      <c r="N1362" s="74">
        <v>42483</v>
      </c>
      <c r="O1362" s="75">
        <f t="shared" si="380"/>
        <v>42483</v>
      </c>
      <c r="P1362" s="2765"/>
      <c r="Q1362" s="2954"/>
      <c r="R1362" s="76"/>
      <c r="S1362" s="1945" t="s">
        <v>731</v>
      </c>
      <c r="T1362" s="77"/>
      <c r="U1362" s="1893" t="s">
        <v>694</v>
      </c>
      <c r="V1362" s="2079">
        <f t="shared" si="376"/>
        <v>0</v>
      </c>
      <c r="W1362" s="78">
        <f t="shared" si="377"/>
        <v>0</v>
      </c>
      <c r="X1362" s="1878" t="str">
        <f t="shared" si="375"/>
        <v xml:space="preserve">4.- R Falken 4311-OT_002458  Sacar_Banda  </v>
      </c>
      <c r="Z1362" s="19" t="str">
        <f t="shared" si="381"/>
        <v>Transpl BandaReenc. MASTERCAUCHO</v>
      </c>
    </row>
    <row r="1363" spans="2:26" ht="15.2" customHeight="1">
      <c r="B1363" s="37"/>
      <c r="E1363" s="79">
        <v>5</v>
      </c>
      <c r="F1363" s="80" t="s">
        <v>723</v>
      </c>
      <c r="G1363" s="114" t="s">
        <v>724</v>
      </c>
      <c r="H1363" s="115" t="s">
        <v>1807</v>
      </c>
      <c r="I1363" s="114" t="s">
        <v>744</v>
      </c>
      <c r="J1363" s="93" t="s">
        <v>727</v>
      </c>
      <c r="K1363" s="350" t="s">
        <v>1808</v>
      </c>
      <c r="L1363" s="351">
        <v>42468</v>
      </c>
      <c r="M1363" s="86" t="s">
        <v>729</v>
      </c>
      <c r="N1363" s="87">
        <v>42483</v>
      </c>
      <c r="O1363" s="88">
        <f t="shared" si="380"/>
        <v>42483</v>
      </c>
      <c r="P1363" s="2766"/>
      <c r="Q1363" s="2955"/>
      <c r="R1363" s="89"/>
      <c r="S1363" s="1946" t="s">
        <v>731</v>
      </c>
      <c r="T1363" s="77"/>
      <c r="U1363" s="1893" t="s">
        <v>694</v>
      </c>
      <c r="V1363" s="2079">
        <f t="shared" si="376"/>
        <v>0</v>
      </c>
      <c r="W1363" s="78">
        <f t="shared" si="377"/>
        <v>0</v>
      </c>
      <c r="X1363" s="1878" t="str">
        <f t="shared" si="375"/>
        <v xml:space="preserve">5.- R Aeolus 0250215-OT_002458  Sacar_Banda  </v>
      </c>
      <c r="Z1363" s="19" t="str">
        <f t="shared" si="381"/>
        <v>ReencaucheReenc. MASTERCAUCHO</v>
      </c>
    </row>
    <row r="1364" spans="2:26" ht="15.2" customHeight="1">
      <c r="B1364" s="37"/>
      <c r="E1364" s="66">
        <v>1</v>
      </c>
      <c r="F1364" s="67" t="s">
        <v>732</v>
      </c>
      <c r="G1364" s="68" t="s">
        <v>737</v>
      </c>
      <c r="H1364" s="69" t="s">
        <v>1279</v>
      </c>
      <c r="I1364" s="68" t="s">
        <v>726</v>
      </c>
      <c r="J1364" s="70" t="s">
        <v>727</v>
      </c>
      <c r="K1364" s="71" t="s">
        <v>94</v>
      </c>
      <c r="L1364" s="72">
        <v>42450</v>
      </c>
      <c r="M1364" s="73" t="s">
        <v>729</v>
      </c>
      <c r="N1364" s="74">
        <v>42459</v>
      </c>
      <c r="O1364" s="75">
        <v>42459</v>
      </c>
      <c r="P1364" s="2765" t="s">
        <v>2319</v>
      </c>
      <c r="Q1364" s="2954"/>
      <c r="R1364" s="76">
        <v>254.24</v>
      </c>
      <c r="S1364" s="1945" t="s">
        <v>731</v>
      </c>
      <c r="T1364" s="77"/>
      <c r="U1364" s="1893" t="s">
        <v>693</v>
      </c>
      <c r="V1364" s="2079">
        <f t="shared" si="376"/>
        <v>0</v>
      </c>
      <c r="W1364" s="78">
        <f t="shared" si="377"/>
        <v>300.00319999999999</v>
      </c>
      <c r="X1364" s="1878" t="str">
        <f t="shared" si="375"/>
        <v xml:space="preserve">1.- C Vikrant 0190111-OT_002230  Reencauche 0001-005153 </v>
      </c>
      <c r="Z1364" s="19" t="str">
        <f t="shared" si="381"/>
        <v>Sacar_BandaReenc. MASTERCAUCHO</v>
      </c>
    </row>
    <row r="1365" spans="2:26" ht="15.2" customHeight="1">
      <c r="B1365" s="37"/>
      <c r="E1365" s="66">
        <v>2</v>
      </c>
      <c r="F1365" s="67" t="s">
        <v>732</v>
      </c>
      <c r="G1365" s="90" t="s">
        <v>733</v>
      </c>
      <c r="H1365" s="91" t="s">
        <v>1366</v>
      </c>
      <c r="I1365" s="90" t="s">
        <v>740</v>
      </c>
      <c r="J1365" s="92" t="s">
        <v>727</v>
      </c>
      <c r="K1365" s="243" t="s">
        <v>94</v>
      </c>
      <c r="L1365" s="244">
        <v>42450</v>
      </c>
      <c r="M1365" s="73" t="s">
        <v>729</v>
      </c>
      <c r="N1365" s="74">
        <v>42459</v>
      </c>
      <c r="O1365" s="75">
        <f>+N1365</f>
        <v>42459</v>
      </c>
      <c r="P1365" s="2765" t="s">
        <v>2319</v>
      </c>
      <c r="Q1365" s="2954"/>
      <c r="R1365" s="76">
        <v>127.12</v>
      </c>
      <c r="S1365" s="1945" t="s">
        <v>731</v>
      </c>
      <c r="T1365" s="77"/>
      <c r="U1365" s="1893" t="s">
        <v>693</v>
      </c>
      <c r="V1365" s="2079">
        <f t="shared" si="376"/>
        <v>0</v>
      </c>
      <c r="W1365" s="78">
        <f t="shared" si="377"/>
        <v>150.0016</v>
      </c>
      <c r="X1365" s="1878" t="str">
        <f t="shared" si="375"/>
        <v xml:space="preserve">2.- C Lima Caucho 0150108-OT_002230  Transpl Banda 0001-005153 </v>
      </c>
      <c r="Z1365" s="19" t="str">
        <f t="shared" si="381"/>
        <v>Transpl BandaReenc. MASTERCAUCHO</v>
      </c>
    </row>
    <row r="1366" spans="2:26" ht="15.2" customHeight="1">
      <c r="B1366" s="37"/>
      <c r="E1366" s="66">
        <v>3</v>
      </c>
      <c r="F1366" s="67" t="s">
        <v>732</v>
      </c>
      <c r="G1366" s="68" t="s">
        <v>814</v>
      </c>
      <c r="H1366" s="69" t="s">
        <v>1480</v>
      </c>
      <c r="I1366" s="68" t="s">
        <v>726</v>
      </c>
      <c r="J1366" s="70" t="s">
        <v>727</v>
      </c>
      <c r="K1366" s="71" t="s">
        <v>94</v>
      </c>
      <c r="L1366" s="72">
        <v>42450</v>
      </c>
      <c r="M1366" s="73" t="s">
        <v>729</v>
      </c>
      <c r="N1366" s="74">
        <v>42459</v>
      </c>
      <c r="O1366" s="75">
        <v>42459</v>
      </c>
      <c r="P1366" s="2765" t="s">
        <v>2319</v>
      </c>
      <c r="Q1366" s="2954"/>
      <c r="R1366" s="76">
        <v>254.24</v>
      </c>
      <c r="S1366" s="1945" t="s">
        <v>731</v>
      </c>
      <c r="T1366" s="77"/>
      <c r="U1366" s="1893" t="s">
        <v>693</v>
      </c>
      <c r="V1366" s="2079">
        <f t="shared" si="376"/>
        <v>0</v>
      </c>
      <c r="W1366" s="78">
        <f t="shared" si="377"/>
        <v>300.00319999999999</v>
      </c>
      <c r="X1366" s="1878" t="str">
        <f t="shared" si="375"/>
        <v xml:space="preserve">3.- C Birla 0510706-OT_002230  Reencauche 0001-005153 </v>
      </c>
      <c r="Z1366" s="19" t="str">
        <f t="shared" si="381"/>
        <v>Vulcanizado (curación)Reenc. MASTERCAUCHO</v>
      </c>
    </row>
    <row r="1367" spans="2:26" ht="15.2" customHeight="1">
      <c r="B1367" s="37"/>
      <c r="E1367" s="79">
        <v>4</v>
      </c>
      <c r="F1367" s="80" t="s">
        <v>732</v>
      </c>
      <c r="G1367" s="114" t="s">
        <v>757</v>
      </c>
      <c r="H1367" s="115" t="s">
        <v>934</v>
      </c>
      <c r="I1367" s="114" t="s">
        <v>744</v>
      </c>
      <c r="J1367" s="93" t="s">
        <v>727</v>
      </c>
      <c r="K1367" s="350" t="s">
        <v>94</v>
      </c>
      <c r="L1367" s="351">
        <v>42450</v>
      </c>
      <c r="M1367" s="86" t="s">
        <v>729</v>
      </c>
      <c r="N1367" s="87">
        <v>42465</v>
      </c>
      <c r="O1367" s="88">
        <f t="shared" ref="O1367:O1375" si="382">+N1367</f>
        <v>42465</v>
      </c>
      <c r="P1367" s="2766"/>
      <c r="Q1367" s="2955"/>
      <c r="R1367" s="89">
        <v>0</v>
      </c>
      <c r="S1367" s="1946" t="s">
        <v>731</v>
      </c>
      <c r="T1367" s="77"/>
      <c r="U1367" s="1893" t="s">
        <v>693</v>
      </c>
      <c r="V1367" s="2079">
        <f t="shared" si="376"/>
        <v>0</v>
      </c>
      <c r="W1367" s="78">
        <f t="shared" si="377"/>
        <v>0</v>
      </c>
      <c r="X1367" s="1878" t="str">
        <f t="shared" si="375"/>
        <v xml:space="preserve">4.- C Goodyear 050032004-OT_002230  Sacar_Banda  </v>
      </c>
      <c r="Z1367" s="19" t="str">
        <f t="shared" si="381"/>
        <v>ReencaucheReenc. MASTERCAUCHO</v>
      </c>
    </row>
    <row r="1368" spans="2:26" ht="15.2" customHeight="1">
      <c r="B1368" s="37"/>
      <c r="E1368" s="79">
        <v>1</v>
      </c>
      <c r="F1368" s="80" t="s">
        <v>732</v>
      </c>
      <c r="G1368" s="114" t="s">
        <v>733</v>
      </c>
      <c r="H1368" s="115" t="s">
        <v>1553</v>
      </c>
      <c r="I1368" s="114" t="s">
        <v>740</v>
      </c>
      <c r="J1368" s="93" t="s">
        <v>727</v>
      </c>
      <c r="K1368" s="350" t="s">
        <v>406</v>
      </c>
      <c r="L1368" s="351">
        <v>42445</v>
      </c>
      <c r="M1368" s="86" t="s">
        <v>729</v>
      </c>
      <c r="N1368" s="87">
        <v>42450</v>
      </c>
      <c r="O1368" s="88">
        <f t="shared" si="382"/>
        <v>42450</v>
      </c>
      <c r="P1368" s="2782" t="s">
        <v>2318</v>
      </c>
      <c r="Q1368" s="2955"/>
      <c r="R1368" s="89">
        <v>127.12</v>
      </c>
      <c r="S1368" s="1946" t="s">
        <v>731</v>
      </c>
      <c r="T1368" s="77"/>
      <c r="U1368" s="1893" t="s">
        <v>693</v>
      </c>
      <c r="V1368" s="2079">
        <f t="shared" si="376"/>
        <v>0</v>
      </c>
      <c r="W1368" s="78">
        <f t="shared" si="377"/>
        <v>150.0016</v>
      </c>
      <c r="X1368" s="1878" t="str">
        <f t="shared" si="375"/>
        <v xml:space="preserve">1.- C Lima Caucho 0640610-OT_002225  Transpl Banda 0001-005101 </v>
      </c>
      <c r="Z1368" s="19" t="str">
        <f t="shared" si="381"/>
        <v>Transpl BandaReenc. MASTERCAUCHO</v>
      </c>
    </row>
    <row r="1369" spans="2:26" ht="15.2" customHeight="1">
      <c r="B1369" s="37"/>
      <c r="E1369" s="66">
        <v>1</v>
      </c>
      <c r="F1369" s="67" t="s">
        <v>723</v>
      </c>
      <c r="G1369" s="2041" t="s">
        <v>724</v>
      </c>
      <c r="H1369" s="2042" t="s">
        <v>1348</v>
      </c>
      <c r="I1369" s="2041" t="s">
        <v>811</v>
      </c>
      <c r="J1369" s="2043" t="s">
        <v>727</v>
      </c>
      <c r="K1369" s="2044" t="s">
        <v>407</v>
      </c>
      <c r="L1369" s="2045">
        <v>42438</v>
      </c>
      <c r="M1369" s="73" t="s">
        <v>729</v>
      </c>
      <c r="N1369" s="74">
        <v>42445</v>
      </c>
      <c r="O1369" s="75">
        <f t="shared" si="382"/>
        <v>42445</v>
      </c>
      <c r="P1369" s="2783" t="s">
        <v>2318</v>
      </c>
      <c r="Q1369" s="2954"/>
      <c r="R1369" s="76">
        <v>105.93</v>
      </c>
      <c r="S1369" s="1945" t="s">
        <v>731</v>
      </c>
      <c r="T1369" s="77"/>
      <c r="U1369" s="1893" t="s">
        <v>694</v>
      </c>
      <c r="V1369" s="2079">
        <f t="shared" si="376"/>
        <v>0</v>
      </c>
      <c r="W1369" s="78">
        <f t="shared" si="377"/>
        <v>124.9974</v>
      </c>
      <c r="X1369" s="1878" t="str">
        <f t="shared" si="375"/>
        <v xml:space="preserve">1.- R Aeolus 0220614-OT_002156  Vulcanizado (curación) 0001-005101 </v>
      </c>
      <c r="Z1369" s="19" t="str">
        <f t="shared" si="381"/>
        <v>ReencaucheReenc. MASTERCAUCHO</v>
      </c>
    </row>
    <row r="1370" spans="2:26" ht="15.2" customHeight="1">
      <c r="B1370" s="37"/>
      <c r="E1370" s="66">
        <v>2</v>
      </c>
      <c r="F1370" s="67" t="s">
        <v>723</v>
      </c>
      <c r="G1370" s="68" t="s">
        <v>247</v>
      </c>
      <c r="H1370" s="69" t="s">
        <v>249</v>
      </c>
      <c r="I1370" s="68" t="s">
        <v>726</v>
      </c>
      <c r="J1370" s="70" t="s">
        <v>727</v>
      </c>
      <c r="K1370" s="71" t="s">
        <v>1569</v>
      </c>
      <c r="L1370" s="72">
        <v>42438</v>
      </c>
      <c r="M1370" s="73" t="s">
        <v>729</v>
      </c>
      <c r="N1370" s="74">
        <v>42450</v>
      </c>
      <c r="O1370" s="75">
        <f t="shared" si="382"/>
        <v>42450</v>
      </c>
      <c r="P1370" s="2783" t="s">
        <v>2318</v>
      </c>
      <c r="Q1370" s="2954"/>
      <c r="R1370" s="76">
        <v>262.71186440677968</v>
      </c>
      <c r="S1370" s="1945" t="s">
        <v>731</v>
      </c>
      <c r="T1370" s="77" t="s">
        <v>248</v>
      </c>
      <c r="U1370" s="1893" t="s">
        <v>694</v>
      </c>
      <c r="V1370" s="2079">
        <f t="shared" si="376"/>
        <v>0</v>
      </c>
      <c r="W1370" s="78">
        <f t="shared" si="377"/>
        <v>310</v>
      </c>
      <c r="X1370" s="1878" t="str">
        <f t="shared" si="375"/>
        <v>2.- R Double Happines 8110316-OT_002156 dot-0215  Reencauche 0001-005101 se cambia x banda diferente ex-GOODRIDE</v>
      </c>
      <c r="Z1370" s="19" t="str">
        <f t="shared" si="381"/>
        <v>Vulcanizado (curación)Reenc. MASTERCAUCHO</v>
      </c>
    </row>
    <row r="1371" spans="2:26" ht="15.2" customHeight="1">
      <c r="B1371" s="37"/>
      <c r="E1371" s="79">
        <v>3</v>
      </c>
      <c r="F1371" s="80" t="s">
        <v>732</v>
      </c>
      <c r="G1371" s="114" t="s">
        <v>733</v>
      </c>
      <c r="H1371" s="115" t="s">
        <v>1715</v>
      </c>
      <c r="I1371" s="114" t="s">
        <v>740</v>
      </c>
      <c r="J1371" s="93" t="s">
        <v>727</v>
      </c>
      <c r="K1371" s="350" t="s">
        <v>407</v>
      </c>
      <c r="L1371" s="351">
        <v>42438</v>
      </c>
      <c r="M1371" s="86" t="s">
        <v>729</v>
      </c>
      <c r="N1371" s="87">
        <v>42445</v>
      </c>
      <c r="O1371" s="88">
        <f t="shared" si="382"/>
        <v>42445</v>
      </c>
      <c r="P1371" s="2782" t="s">
        <v>2318</v>
      </c>
      <c r="Q1371" s="2955"/>
      <c r="R1371" s="89">
        <v>127.12</v>
      </c>
      <c r="S1371" s="1946" t="s">
        <v>731</v>
      </c>
      <c r="T1371" s="77"/>
      <c r="U1371" s="1890" t="s">
        <v>693</v>
      </c>
      <c r="V1371" s="2079">
        <f t="shared" si="376"/>
        <v>0</v>
      </c>
      <c r="W1371" s="78">
        <f t="shared" si="377"/>
        <v>150.0016</v>
      </c>
      <c r="X1371" s="1878" t="str">
        <f t="shared" si="375"/>
        <v xml:space="preserve">3.- C Lima Caucho 0700808-OT_002156  Transpl Banda 0001-005101 </v>
      </c>
      <c r="Z1371" s="19" t="str">
        <f t="shared" si="381"/>
        <v>Transpl BandaReenc. MASTERCAUCHO</v>
      </c>
    </row>
    <row r="1372" spans="2:26" ht="15.2" customHeight="1">
      <c r="B1372" s="37"/>
      <c r="E1372" s="66">
        <v>1</v>
      </c>
      <c r="F1372" s="67" t="s">
        <v>732</v>
      </c>
      <c r="G1372" s="68" t="s">
        <v>737</v>
      </c>
      <c r="H1372" s="69" t="s">
        <v>901</v>
      </c>
      <c r="I1372" s="68" t="s">
        <v>726</v>
      </c>
      <c r="J1372" s="70" t="s">
        <v>727</v>
      </c>
      <c r="K1372" s="71" t="s">
        <v>902</v>
      </c>
      <c r="L1372" s="72">
        <v>42429</v>
      </c>
      <c r="M1372" s="73" t="s">
        <v>729</v>
      </c>
      <c r="N1372" s="74">
        <v>42433</v>
      </c>
      <c r="O1372" s="75">
        <f t="shared" si="382"/>
        <v>42433</v>
      </c>
      <c r="P1372" s="2765" t="s">
        <v>644</v>
      </c>
      <c r="Q1372" s="2954"/>
      <c r="R1372" s="76">
        <v>254.24</v>
      </c>
      <c r="S1372" s="1945" t="s">
        <v>731</v>
      </c>
      <c r="T1372" s="77"/>
      <c r="U1372" s="1893" t="s">
        <v>693</v>
      </c>
      <c r="V1372" s="2079">
        <f t="shared" si="376"/>
        <v>0</v>
      </c>
      <c r="W1372" s="78">
        <f t="shared" si="377"/>
        <v>300.00319999999999</v>
      </c>
      <c r="X1372" s="1878" t="str">
        <f t="shared" si="375"/>
        <v xml:space="preserve">1.- C Vikrant 0760906-OT_002149  Reencauche 0001-005009 </v>
      </c>
      <c r="Z1372" s="19" t="str">
        <f t="shared" si="381"/>
        <v>Sacar_BandaReenc. MASTERCAUCHO</v>
      </c>
    </row>
    <row r="1373" spans="2:26" ht="15.2" customHeight="1">
      <c r="B1373" s="37"/>
      <c r="E1373" s="66">
        <v>2</v>
      </c>
      <c r="F1373" s="67" t="s">
        <v>732</v>
      </c>
      <c r="G1373" s="2041" t="s">
        <v>757</v>
      </c>
      <c r="H1373" s="2042" t="s">
        <v>927</v>
      </c>
      <c r="I1373" s="2041" t="s">
        <v>811</v>
      </c>
      <c r="J1373" s="2043" t="s">
        <v>727</v>
      </c>
      <c r="K1373" s="2044" t="s">
        <v>902</v>
      </c>
      <c r="L1373" s="2045">
        <v>42429</v>
      </c>
      <c r="M1373" s="73" t="s">
        <v>729</v>
      </c>
      <c r="N1373" s="74">
        <v>42433</v>
      </c>
      <c r="O1373" s="75">
        <f t="shared" si="382"/>
        <v>42433</v>
      </c>
      <c r="P1373" s="2765"/>
      <c r="Q1373" s="2954"/>
      <c r="R1373" s="76">
        <v>0</v>
      </c>
      <c r="S1373" s="1945" t="s">
        <v>731</v>
      </c>
      <c r="T1373" s="1875" t="s">
        <v>817</v>
      </c>
      <c r="U1373" s="1893" t="s">
        <v>693</v>
      </c>
      <c r="V1373" s="2079">
        <f t="shared" si="376"/>
        <v>0</v>
      </c>
      <c r="W1373" s="78">
        <f t="shared" si="377"/>
        <v>0</v>
      </c>
      <c r="X1373" s="1878" t="str">
        <f t="shared" si="375"/>
        <v>2.- C Goodyear 4104-OT_002149  Vulcanizado (curación)  Rechazada, Falla en Carcasa, No se Facturo</v>
      </c>
      <c r="Z1373" s="19" t="str">
        <f t="shared" si="381"/>
        <v>ReencaucheReencauchadora RENOVA</v>
      </c>
    </row>
    <row r="1374" spans="2:26" ht="15.2" customHeight="1">
      <c r="B1374" s="37"/>
      <c r="E1374" s="66">
        <v>3</v>
      </c>
      <c r="F1374" s="67" t="s">
        <v>732</v>
      </c>
      <c r="G1374" s="90" t="s">
        <v>757</v>
      </c>
      <c r="H1374" s="91" t="s">
        <v>1970</v>
      </c>
      <c r="I1374" s="90" t="s">
        <v>740</v>
      </c>
      <c r="J1374" s="92" t="s">
        <v>727</v>
      </c>
      <c r="K1374" s="243" t="s">
        <v>902</v>
      </c>
      <c r="L1374" s="244">
        <v>42429</v>
      </c>
      <c r="M1374" s="73" t="s">
        <v>729</v>
      </c>
      <c r="N1374" s="74">
        <v>42433</v>
      </c>
      <c r="O1374" s="75">
        <f t="shared" si="382"/>
        <v>42433</v>
      </c>
      <c r="P1374" s="2765"/>
      <c r="Q1374" s="2954"/>
      <c r="R1374" s="76">
        <v>0</v>
      </c>
      <c r="S1374" s="1945" t="s">
        <v>731</v>
      </c>
      <c r="T1374" s="1875" t="s">
        <v>817</v>
      </c>
      <c r="U1374" s="1893" t="s">
        <v>693</v>
      </c>
      <c r="V1374" s="2079">
        <f t="shared" si="376"/>
        <v>0</v>
      </c>
      <c r="W1374" s="78">
        <f t="shared" si="377"/>
        <v>0</v>
      </c>
      <c r="X1374" s="1878" t="str">
        <f t="shared" si="375"/>
        <v>3.- C Goodyear 1641004-OT_002149  Transpl Banda  Rechazada, Falla en Carcasa, No se Facturo</v>
      </c>
      <c r="Z1374" s="19" t="str">
        <f t="shared" si="381"/>
        <v>ReencaucheReencauchadora RENOVA</v>
      </c>
    </row>
    <row r="1375" spans="2:26" ht="15.2" customHeight="1">
      <c r="B1375" s="37"/>
      <c r="E1375" s="79">
        <v>4</v>
      </c>
      <c r="F1375" s="80" t="s">
        <v>732</v>
      </c>
      <c r="G1375" s="114" t="s">
        <v>733</v>
      </c>
      <c r="H1375" s="115" t="s">
        <v>1359</v>
      </c>
      <c r="I1375" s="114" t="s">
        <v>744</v>
      </c>
      <c r="J1375" s="93" t="s">
        <v>727</v>
      </c>
      <c r="K1375" s="350" t="s">
        <v>902</v>
      </c>
      <c r="L1375" s="351">
        <v>42429</v>
      </c>
      <c r="M1375" s="86" t="s">
        <v>729</v>
      </c>
      <c r="N1375" s="87">
        <v>42483</v>
      </c>
      <c r="O1375" s="88">
        <f t="shared" si="382"/>
        <v>42483</v>
      </c>
      <c r="P1375" s="2766"/>
      <c r="Q1375" s="2955"/>
      <c r="R1375" s="89"/>
      <c r="S1375" s="1946" t="s">
        <v>731</v>
      </c>
      <c r="T1375" s="77"/>
      <c r="U1375" s="1893" t="s">
        <v>693</v>
      </c>
      <c r="V1375" s="2079">
        <f t="shared" si="376"/>
        <v>0</v>
      </c>
      <c r="W1375" s="78">
        <f t="shared" si="377"/>
        <v>0</v>
      </c>
      <c r="X1375" s="1878" t="str">
        <f t="shared" si="375"/>
        <v xml:space="preserve">4.- C Lima Caucho 0350507-OT_002149  Sacar_Banda  </v>
      </c>
      <c r="Z1375" s="19" t="str">
        <f t="shared" si="381"/>
        <v>ReencaucheReencauchadora RENOVA</v>
      </c>
    </row>
    <row r="1376" spans="2:26" ht="15.2" customHeight="1">
      <c r="B1376" s="37"/>
      <c r="E1376" s="66">
        <v>1</v>
      </c>
      <c r="F1376" s="67" t="s">
        <v>732</v>
      </c>
      <c r="G1376" s="68" t="s">
        <v>733</v>
      </c>
      <c r="H1376" s="69" t="s">
        <v>1630</v>
      </c>
      <c r="I1376" s="68" t="s">
        <v>726</v>
      </c>
      <c r="J1376" s="70" t="s">
        <v>760</v>
      </c>
      <c r="K1376" s="71" t="s">
        <v>899</v>
      </c>
      <c r="L1376" s="72">
        <v>42429</v>
      </c>
      <c r="M1376" s="73" t="s">
        <v>729</v>
      </c>
      <c r="N1376" s="74">
        <v>42433</v>
      </c>
      <c r="O1376" s="75">
        <v>42433</v>
      </c>
      <c r="P1376" s="2765" t="s">
        <v>735</v>
      </c>
      <c r="Q1376" s="2954">
        <v>89.31</v>
      </c>
      <c r="R1376" s="76"/>
      <c r="S1376" s="1945" t="s">
        <v>731</v>
      </c>
      <c r="T1376" s="77"/>
      <c r="U1376" s="1893" t="s">
        <v>693</v>
      </c>
      <c r="V1376" s="2079">
        <f t="shared" si="376"/>
        <v>105.3858</v>
      </c>
      <c r="W1376" s="78">
        <f t="shared" si="377"/>
        <v>0</v>
      </c>
      <c r="X1376" s="1878" t="str">
        <f t="shared" si="375"/>
        <v xml:space="preserve">1.- C Lima Caucho 0961010-OT_220488  Reencauche F101-00001249 </v>
      </c>
      <c r="Z1376" s="19" t="str">
        <f t="shared" si="381"/>
        <v>ReencaucheReencauchadora RENOVA</v>
      </c>
    </row>
    <row r="1377" spans="2:26" ht="15.2" customHeight="1">
      <c r="B1377" s="37"/>
      <c r="E1377" s="66">
        <v>2</v>
      </c>
      <c r="F1377" s="67" t="s">
        <v>732</v>
      </c>
      <c r="G1377" s="68" t="s">
        <v>733</v>
      </c>
      <c r="H1377" s="69" t="s">
        <v>1519</v>
      </c>
      <c r="I1377" s="68" t="s">
        <v>726</v>
      </c>
      <c r="J1377" s="70" t="s">
        <v>760</v>
      </c>
      <c r="K1377" s="71" t="s">
        <v>899</v>
      </c>
      <c r="L1377" s="72">
        <v>42429</v>
      </c>
      <c r="M1377" s="73" t="s">
        <v>729</v>
      </c>
      <c r="N1377" s="74">
        <v>42433</v>
      </c>
      <c r="O1377" s="75">
        <v>42433</v>
      </c>
      <c r="P1377" s="2765" t="s">
        <v>735</v>
      </c>
      <c r="Q1377" s="2954">
        <v>89.31</v>
      </c>
      <c r="R1377" s="76">
        <f>+Q1377*3.29</f>
        <v>293.82990000000001</v>
      </c>
      <c r="S1377" s="1945" t="s">
        <v>731</v>
      </c>
      <c r="T1377" s="77"/>
      <c r="U1377" s="1893" t="s">
        <v>693</v>
      </c>
      <c r="V1377" s="2079">
        <f t="shared" si="376"/>
        <v>105.3858</v>
      </c>
      <c r="W1377" s="78">
        <f t="shared" si="377"/>
        <v>346.71928199999996</v>
      </c>
      <c r="X1377" s="1878" t="str">
        <f t="shared" si="375"/>
        <v xml:space="preserve">2.- C Lima Caucho 0630907-OT_220488  Reencauche F101-00001249 </v>
      </c>
      <c r="Z1377" s="19" t="str">
        <f t="shared" si="381"/>
        <v>ReencaucheReencauchadora RENOVA</v>
      </c>
    </row>
    <row r="1378" spans="2:26" ht="15.2" customHeight="1">
      <c r="B1378" s="37"/>
      <c r="E1378" s="66">
        <v>3</v>
      </c>
      <c r="F1378" s="67" t="s">
        <v>732</v>
      </c>
      <c r="G1378" s="68" t="s">
        <v>733</v>
      </c>
      <c r="H1378" s="69" t="s">
        <v>896</v>
      </c>
      <c r="I1378" s="68" t="s">
        <v>726</v>
      </c>
      <c r="J1378" s="70" t="s">
        <v>760</v>
      </c>
      <c r="K1378" s="71" t="s">
        <v>899</v>
      </c>
      <c r="L1378" s="72">
        <v>42429</v>
      </c>
      <c r="M1378" s="73" t="s">
        <v>729</v>
      </c>
      <c r="N1378" s="74">
        <v>42433</v>
      </c>
      <c r="O1378" s="75">
        <v>42433</v>
      </c>
      <c r="P1378" s="2765" t="s">
        <v>735</v>
      </c>
      <c r="Q1378" s="2954">
        <v>89.31</v>
      </c>
      <c r="R1378" s="76">
        <f>+R1377*1.18</f>
        <v>346.71928199999996</v>
      </c>
      <c r="S1378" s="1945" t="s">
        <v>731</v>
      </c>
      <c r="T1378" s="77"/>
      <c r="U1378" s="1893" t="s">
        <v>693</v>
      </c>
      <c r="V1378" s="2079">
        <f t="shared" si="376"/>
        <v>105.3858</v>
      </c>
      <c r="W1378" s="78">
        <f t="shared" si="377"/>
        <v>409.12875275999994</v>
      </c>
      <c r="X1378" s="1878" t="str">
        <f t="shared" ref="X1378:X1441" si="383">CONCATENATE(E1378,".- ",F1378," ",G1378," ",H1378,"-OT_",K1378," "," ",I1378," ",P1378," ",T1378)</f>
        <v xml:space="preserve">3.- C Lima Caucho 040411-OT_220488  Reencauche F101-00001249 </v>
      </c>
      <c r="Z1378" s="19" t="str">
        <f t="shared" si="381"/>
        <v>ReencaucheReencauchadora RENOVA</v>
      </c>
    </row>
    <row r="1379" spans="2:26" ht="15.2" customHeight="1">
      <c r="B1379" s="37"/>
      <c r="E1379" s="66">
        <v>4</v>
      </c>
      <c r="F1379" s="67" t="s">
        <v>732</v>
      </c>
      <c r="G1379" s="68" t="s">
        <v>733</v>
      </c>
      <c r="H1379" s="69" t="s">
        <v>1830</v>
      </c>
      <c r="I1379" s="68" t="s">
        <v>726</v>
      </c>
      <c r="J1379" s="70" t="s">
        <v>760</v>
      </c>
      <c r="K1379" s="71" t="s">
        <v>899</v>
      </c>
      <c r="L1379" s="72">
        <v>42429</v>
      </c>
      <c r="M1379" s="73" t="s">
        <v>729</v>
      </c>
      <c r="N1379" s="74">
        <v>42433</v>
      </c>
      <c r="O1379" s="75">
        <v>42433</v>
      </c>
      <c r="P1379" s="2765" t="s">
        <v>735</v>
      </c>
      <c r="Q1379" s="2954">
        <v>89.31</v>
      </c>
      <c r="R1379" s="76"/>
      <c r="S1379" s="1945" t="s">
        <v>731</v>
      </c>
      <c r="T1379" s="77"/>
      <c r="U1379" s="1893" t="s">
        <v>693</v>
      </c>
      <c r="V1379" s="2079">
        <f t="shared" ref="V1379:V1442" si="384">+Q1379*(1.18)</f>
        <v>105.3858</v>
      </c>
      <c r="W1379" s="78">
        <f t="shared" ref="W1379:W1442" si="385">+R1379*(1.18)</f>
        <v>0</v>
      </c>
      <c r="X1379" s="1878" t="str">
        <f t="shared" si="383"/>
        <v xml:space="preserve">4.- C Lima Caucho 1031210-OT_220488  Reencauche F101-00001249 </v>
      </c>
      <c r="Z1379" s="19" t="str">
        <f t="shared" ref="Z1379:Z1385" si="386">CONCATENATE(I1382,J1382)</f>
        <v>ReencaucheReencauchadora RENOVA</v>
      </c>
    </row>
    <row r="1380" spans="2:26" ht="15.2" customHeight="1">
      <c r="B1380" s="37"/>
      <c r="E1380" s="66">
        <v>5</v>
      </c>
      <c r="F1380" s="67" t="s">
        <v>732</v>
      </c>
      <c r="G1380" s="68" t="s">
        <v>733</v>
      </c>
      <c r="H1380" s="69" t="s">
        <v>1402</v>
      </c>
      <c r="I1380" s="68" t="s">
        <v>726</v>
      </c>
      <c r="J1380" s="70" t="s">
        <v>760</v>
      </c>
      <c r="K1380" s="71" t="s">
        <v>899</v>
      </c>
      <c r="L1380" s="72">
        <v>42429</v>
      </c>
      <c r="M1380" s="73" t="s">
        <v>729</v>
      </c>
      <c r="N1380" s="74">
        <v>42433</v>
      </c>
      <c r="O1380" s="75">
        <v>42433</v>
      </c>
      <c r="P1380" s="2765" t="s">
        <v>735</v>
      </c>
      <c r="Q1380" s="2954">
        <v>89.31</v>
      </c>
      <c r="R1380" s="76"/>
      <c r="S1380" s="1945" t="s">
        <v>731</v>
      </c>
      <c r="T1380" s="77"/>
      <c r="U1380" s="1893" t="s">
        <v>693</v>
      </c>
      <c r="V1380" s="2079">
        <f t="shared" si="384"/>
        <v>105.3858</v>
      </c>
      <c r="W1380" s="78">
        <f t="shared" si="385"/>
        <v>0</v>
      </c>
      <c r="X1380" s="1878" t="str">
        <f t="shared" si="383"/>
        <v xml:space="preserve">5.- C Lima Caucho 0440608-OT_220488  Reencauche F101-00001249 </v>
      </c>
      <c r="Z1380" s="19" t="str">
        <f t="shared" si="386"/>
        <v>ReencaucheReencauchadora RENOVA</v>
      </c>
    </row>
    <row r="1381" spans="2:26" ht="15.2" customHeight="1">
      <c r="B1381" s="37"/>
      <c r="E1381" s="66">
        <v>6</v>
      </c>
      <c r="F1381" s="67" t="s">
        <v>732</v>
      </c>
      <c r="G1381" s="68" t="s">
        <v>733</v>
      </c>
      <c r="H1381" s="69" t="s">
        <v>897</v>
      </c>
      <c r="I1381" s="68" t="s">
        <v>726</v>
      </c>
      <c r="J1381" s="70" t="s">
        <v>760</v>
      </c>
      <c r="K1381" s="71" t="s">
        <v>899</v>
      </c>
      <c r="L1381" s="72">
        <v>42429</v>
      </c>
      <c r="M1381" s="73" t="s">
        <v>729</v>
      </c>
      <c r="N1381" s="74">
        <v>42433</v>
      </c>
      <c r="O1381" s="75">
        <v>42433</v>
      </c>
      <c r="P1381" s="2765" t="s">
        <v>735</v>
      </c>
      <c r="Q1381" s="2954">
        <v>89.31</v>
      </c>
      <c r="R1381" s="76"/>
      <c r="S1381" s="1945" t="s">
        <v>731</v>
      </c>
      <c r="T1381" s="77"/>
      <c r="U1381" s="1893" t="s">
        <v>693</v>
      </c>
      <c r="V1381" s="2079">
        <f t="shared" si="384"/>
        <v>105.3858</v>
      </c>
      <c r="W1381" s="78">
        <f t="shared" si="385"/>
        <v>0</v>
      </c>
      <c r="X1381" s="1878" t="str">
        <f t="shared" si="383"/>
        <v xml:space="preserve">6.- C Lima Caucho 0401112-OT_220488  Reencauche F101-00001249 </v>
      </c>
      <c r="Z1381" s="19" t="str">
        <f t="shared" si="386"/>
        <v>ReencaucheReencauchadora RENOVA</v>
      </c>
    </row>
    <row r="1382" spans="2:26" ht="15.2" customHeight="1">
      <c r="B1382" s="37"/>
      <c r="E1382" s="66">
        <v>7</v>
      </c>
      <c r="F1382" s="67" t="s">
        <v>732</v>
      </c>
      <c r="G1382" s="68" t="s">
        <v>737</v>
      </c>
      <c r="H1382" s="69" t="s">
        <v>1315</v>
      </c>
      <c r="I1382" s="68" t="s">
        <v>726</v>
      </c>
      <c r="J1382" s="70" t="s">
        <v>760</v>
      </c>
      <c r="K1382" s="71" t="s">
        <v>899</v>
      </c>
      <c r="L1382" s="72">
        <v>42429</v>
      </c>
      <c r="M1382" s="73" t="s">
        <v>729</v>
      </c>
      <c r="N1382" s="74">
        <v>42433</v>
      </c>
      <c r="O1382" s="75">
        <v>42433</v>
      </c>
      <c r="P1382" s="2765" t="s">
        <v>735</v>
      </c>
      <c r="Q1382" s="2954">
        <v>89.31</v>
      </c>
      <c r="R1382" s="76"/>
      <c r="S1382" s="1945" t="s">
        <v>731</v>
      </c>
      <c r="T1382" s="77"/>
      <c r="U1382" s="1893" t="s">
        <v>693</v>
      </c>
      <c r="V1382" s="2079">
        <f t="shared" si="384"/>
        <v>105.3858</v>
      </c>
      <c r="W1382" s="78">
        <f t="shared" si="385"/>
        <v>0</v>
      </c>
      <c r="X1382" s="1878" t="str">
        <f t="shared" si="383"/>
        <v xml:space="preserve">7.- C Vikrant 0610709-OT_220488  Reencauche F101-00001249 </v>
      </c>
      <c r="Z1382" s="19" t="str">
        <f t="shared" si="386"/>
        <v>ReencaucheReencauchadora RENOVA</v>
      </c>
    </row>
    <row r="1383" spans="2:26" ht="15.2" customHeight="1">
      <c r="B1383" s="37"/>
      <c r="E1383" s="66">
        <v>8</v>
      </c>
      <c r="F1383" s="67" t="s">
        <v>732</v>
      </c>
      <c r="G1383" s="68" t="s">
        <v>737</v>
      </c>
      <c r="H1383" s="69" t="s">
        <v>1120</v>
      </c>
      <c r="I1383" s="68" t="s">
        <v>726</v>
      </c>
      <c r="J1383" s="70" t="s">
        <v>760</v>
      </c>
      <c r="K1383" s="71" t="s">
        <v>899</v>
      </c>
      <c r="L1383" s="72">
        <v>42429</v>
      </c>
      <c r="M1383" s="73" t="s">
        <v>729</v>
      </c>
      <c r="N1383" s="74">
        <v>42433</v>
      </c>
      <c r="O1383" s="75">
        <v>42433</v>
      </c>
      <c r="P1383" s="2765" t="s">
        <v>735</v>
      </c>
      <c r="Q1383" s="2954">
        <v>89.31</v>
      </c>
      <c r="R1383" s="76"/>
      <c r="S1383" s="1945" t="s">
        <v>731</v>
      </c>
      <c r="T1383" s="77"/>
      <c r="U1383" s="1893" t="s">
        <v>693</v>
      </c>
      <c r="V1383" s="2079">
        <f t="shared" si="384"/>
        <v>105.3858</v>
      </c>
      <c r="W1383" s="78">
        <f t="shared" si="385"/>
        <v>0</v>
      </c>
      <c r="X1383" s="1878" t="str">
        <f t="shared" si="383"/>
        <v xml:space="preserve">8.- C Vikrant 05022010-OT_220488  Reencauche F101-00001249 </v>
      </c>
      <c r="Z1383" s="19" t="str">
        <f t="shared" si="386"/>
        <v>ReencaucheReencauchadora RENOVA</v>
      </c>
    </row>
    <row r="1384" spans="2:26" ht="15.2" customHeight="1">
      <c r="B1384" s="37"/>
      <c r="E1384" s="66">
        <v>9</v>
      </c>
      <c r="F1384" s="67" t="s">
        <v>732</v>
      </c>
      <c r="G1384" s="68" t="s">
        <v>737</v>
      </c>
      <c r="H1384" s="69" t="s">
        <v>1657</v>
      </c>
      <c r="I1384" s="68" t="s">
        <v>726</v>
      </c>
      <c r="J1384" s="70" t="s">
        <v>760</v>
      </c>
      <c r="K1384" s="71" t="s">
        <v>899</v>
      </c>
      <c r="L1384" s="72">
        <v>42429</v>
      </c>
      <c r="M1384" s="73" t="s">
        <v>729</v>
      </c>
      <c r="N1384" s="74">
        <v>42433</v>
      </c>
      <c r="O1384" s="75">
        <v>42433</v>
      </c>
      <c r="P1384" s="2765" t="s">
        <v>735</v>
      </c>
      <c r="Q1384" s="2954">
        <v>89.31</v>
      </c>
      <c r="R1384" s="76"/>
      <c r="S1384" s="1945" t="s">
        <v>731</v>
      </c>
      <c r="T1384" s="77"/>
      <c r="U1384" s="1893" t="s">
        <v>693</v>
      </c>
      <c r="V1384" s="2079">
        <f t="shared" si="384"/>
        <v>105.3858</v>
      </c>
      <c r="W1384" s="78">
        <f t="shared" si="385"/>
        <v>0</v>
      </c>
      <c r="X1384" s="1878" t="str">
        <f t="shared" si="383"/>
        <v xml:space="preserve">9.- C Vikrant 0500709-OT_220488  Reencauche F101-00001249 </v>
      </c>
      <c r="Z1384" s="19" t="str">
        <f t="shared" si="386"/>
        <v>ReencaucheReencauchadora RENOVA</v>
      </c>
    </row>
    <row r="1385" spans="2:26" ht="15.2" customHeight="1">
      <c r="B1385" s="37"/>
      <c r="E1385" s="66">
        <v>10</v>
      </c>
      <c r="F1385" s="67" t="s">
        <v>732</v>
      </c>
      <c r="G1385" s="68" t="s">
        <v>737</v>
      </c>
      <c r="H1385" s="69" t="s">
        <v>898</v>
      </c>
      <c r="I1385" s="68" t="s">
        <v>726</v>
      </c>
      <c r="J1385" s="70" t="s">
        <v>760</v>
      </c>
      <c r="K1385" s="71" t="s">
        <v>900</v>
      </c>
      <c r="L1385" s="72">
        <v>42429</v>
      </c>
      <c r="M1385" s="73" t="s">
        <v>729</v>
      </c>
      <c r="N1385" s="74">
        <v>42433</v>
      </c>
      <c r="O1385" s="75">
        <f>+N1385</f>
        <v>42433</v>
      </c>
      <c r="P1385" s="2765" t="s">
        <v>735</v>
      </c>
      <c r="Q1385" s="2954">
        <f>89.31*1</f>
        <v>89.31</v>
      </c>
      <c r="R1385" s="76"/>
      <c r="S1385" s="1945" t="s">
        <v>731</v>
      </c>
      <c r="T1385" s="77"/>
      <c r="U1385" s="1893" t="s">
        <v>693</v>
      </c>
      <c r="V1385" s="2079">
        <f t="shared" si="384"/>
        <v>105.3858</v>
      </c>
      <c r="W1385" s="78">
        <f t="shared" si="385"/>
        <v>0</v>
      </c>
      <c r="X1385" s="1878" t="str">
        <f t="shared" si="383"/>
        <v xml:space="preserve">10.- C Vikrant 0020209-OT_220489  Reencauche F101-00001249 </v>
      </c>
      <c r="Z1385" s="19" t="str">
        <f t="shared" si="386"/>
        <v>Vulcanizado (curación)Reenc. MASTERCAUCHO</v>
      </c>
    </row>
    <row r="1386" spans="2:26" ht="15.2" customHeight="1">
      <c r="B1386" s="37"/>
      <c r="E1386" s="66">
        <v>11</v>
      </c>
      <c r="F1386" s="67" t="s">
        <v>732</v>
      </c>
      <c r="G1386" s="68" t="s">
        <v>737</v>
      </c>
      <c r="H1386" s="69" t="s">
        <v>1114</v>
      </c>
      <c r="I1386" s="68" t="s">
        <v>726</v>
      </c>
      <c r="J1386" s="70" t="s">
        <v>760</v>
      </c>
      <c r="K1386" s="71" t="s">
        <v>900</v>
      </c>
      <c r="L1386" s="72">
        <v>42429</v>
      </c>
      <c r="M1386" s="73" t="s">
        <v>729</v>
      </c>
      <c r="N1386" s="74">
        <v>42433</v>
      </c>
      <c r="O1386" s="75">
        <v>42433</v>
      </c>
      <c r="P1386" s="2765" t="s">
        <v>735</v>
      </c>
      <c r="Q1386" s="2954">
        <v>89.31</v>
      </c>
      <c r="R1386" s="76"/>
      <c r="S1386" s="1945" t="s">
        <v>731</v>
      </c>
      <c r="T1386" s="77"/>
      <c r="U1386" s="1893" t="s">
        <v>693</v>
      </c>
      <c r="V1386" s="2079">
        <f t="shared" si="384"/>
        <v>105.3858</v>
      </c>
      <c r="W1386" s="78">
        <f t="shared" si="385"/>
        <v>0</v>
      </c>
      <c r="X1386" s="1878" t="str">
        <f t="shared" si="383"/>
        <v xml:space="preserve">11.- C Vikrant 0070109-OT_220489  Reencauche F101-00001249 </v>
      </c>
      <c r="Z1386" s="19" t="str">
        <f t="shared" ref="Z1386:Z1393" si="387">CONCATENATE(I1389,J1389)</f>
        <v>ReencaucheReenc. MASTERCAUCHO</v>
      </c>
    </row>
    <row r="1387" spans="2:26" ht="15.2" customHeight="1">
      <c r="B1387" s="37"/>
      <c r="E1387" s="79">
        <v>12</v>
      </c>
      <c r="F1387" s="80" t="s">
        <v>732</v>
      </c>
      <c r="G1387" s="81" t="s">
        <v>733</v>
      </c>
      <c r="H1387" s="82" t="s">
        <v>895</v>
      </c>
      <c r="I1387" s="81" t="s">
        <v>726</v>
      </c>
      <c r="J1387" s="83" t="s">
        <v>760</v>
      </c>
      <c r="K1387" s="84" t="s">
        <v>899</v>
      </c>
      <c r="L1387" s="85">
        <v>42429</v>
      </c>
      <c r="M1387" s="86"/>
      <c r="N1387" s="87"/>
      <c r="O1387" s="88">
        <f t="shared" ref="O1387:O1414" si="388">+N1387</f>
        <v>0</v>
      </c>
      <c r="P1387" s="2766" t="s">
        <v>736</v>
      </c>
      <c r="Q1387" s="2955"/>
      <c r="R1387" s="89"/>
      <c r="S1387" s="1946" t="s">
        <v>731</v>
      </c>
      <c r="T1387" s="1875" t="s">
        <v>244</v>
      </c>
      <c r="U1387" s="1893" t="s">
        <v>693</v>
      </c>
      <c r="V1387" s="2079">
        <f t="shared" si="384"/>
        <v>0</v>
      </c>
      <c r="W1387" s="78">
        <f t="shared" si="385"/>
        <v>0</v>
      </c>
      <c r="X1387" s="1878" t="str">
        <f t="shared" si="383"/>
        <v>12.- C Lima Caucho 070808-OT_220488  Reencauche G030-0056026 Rechazada, Guia 030-0054796</v>
      </c>
      <c r="Z1387" s="19" t="str">
        <f t="shared" si="387"/>
        <v>ReencaucheReenc. MASTERCAUCHO</v>
      </c>
    </row>
    <row r="1388" spans="2:26" ht="15.2" customHeight="1">
      <c r="B1388" s="37"/>
      <c r="E1388" s="66">
        <v>1</v>
      </c>
      <c r="F1388" s="67" t="s">
        <v>723</v>
      </c>
      <c r="G1388" s="2041" t="s">
        <v>724</v>
      </c>
      <c r="H1388" s="2042" t="s">
        <v>1747</v>
      </c>
      <c r="I1388" s="2041" t="s">
        <v>811</v>
      </c>
      <c r="J1388" s="2043" t="s">
        <v>727</v>
      </c>
      <c r="K1388" s="2044" t="s">
        <v>1749</v>
      </c>
      <c r="L1388" s="2045">
        <v>42418</v>
      </c>
      <c r="M1388" s="73" t="s">
        <v>729</v>
      </c>
      <c r="N1388" s="74">
        <v>42427</v>
      </c>
      <c r="O1388" s="75">
        <f t="shared" si="388"/>
        <v>42427</v>
      </c>
      <c r="P1388" s="2765" t="s">
        <v>1390</v>
      </c>
      <c r="Q1388" s="2954"/>
      <c r="R1388" s="76">
        <v>105.93</v>
      </c>
      <c r="S1388" s="1945" t="s">
        <v>731</v>
      </c>
      <c r="T1388" s="77"/>
      <c r="U1388" s="1893" t="s">
        <v>694</v>
      </c>
      <c r="V1388" s="2079">
        <f t="shared" si="384"/>
        <v>0</v>
      </c>
      <c r="W1388" s="78">
        <f t="shared" si="385"/>
        <v>124.9974</v>
      </c>
      <c r="X1388" s="1878" t="str">
        <f t="shared" si="383"/>
        <v xml:space="preserve">1.- R Aeolus 29912-OT_002152  Vulcanizado (curación) 0001-004973 </v>
      </c>
      <c r="Z1388" s="19" t="str">
        <f t="shared" si="387"/>
        <v>ReencaucheReenc. MASTERCAUCHO</v>
      </c>
    </row>
    <row r="1389" spans="2:26" ht="15.2" customHeight="1">
      <c r="B1389" s="37"/>
      <c r="E1389" s="66">
        <v>2</v>
      </c>
      <c r="F1389" s="67" t="s">
        <v>732</v>
      </c>
      <c r="G1389" s="68" t="s">
        <v>757</v>
      </c>
      <c r="H1389" s="69" t="s">
        <v>1748</v>
      </c>
      <c r="I1389" s="68" t="s">
        <v>726</v>
      </c>
      <c r="J1389" s="70" t="s">
        <v>727</v>
      </c>
      <c r="K1389" s="71" t="s">
        <v>1749</v>
      </c>
      <c r="L1389" s="72">
        <v>42418</v>
      </c>
      <c r="M1389" s="73" t="s">
        <v>729</v>
      </c>
      <c r="N1389" s="74">
        <v>42427</v>
      </c>
      <c r="O1389" s="75">
        <f t="shared" si="388"/>
        <v>42427</v>
      </c>
      <c r="P1389" s="2765" t="s">
        <v>1390</v>
      </c>
      <c r="Q1389" s="2954"/>
      <c r="R1389" s="76">
        <v>254.24</v>
      </c>
      <c r="S1389" s="1945" t="s">
        <v>731</v>
      </c>
      <c r="T1389" s="77"/>
      <c r="U1389" s="1893" t="s">
        <v>693</v>
      </c>
      <c r="V1389" s="2079">
        <f t="shared" si="384"/>
        <v>0</v>
      </c>
      <c r="W1389" s="78">
        <f t="shared" si="385"/>
        <v>300.00319999999999</v>
      </c>
      <c r="X1389" s="1878" t="str">
        <f t="shared" si="383"/>
        <v xml:space="preserve">2.- C Goodyear 1100704-OT_002152  Reencauche 0001-004973 </v>
      </c>
      <c r="Z1389" s="19" t="str">
        <f t="shared" si="387"/>
        <v>Transpl BandaReenc. MASTERCAUCHO</v>
      </c>
    </row>
    <row r="1390" spans="2:26" ht="15.2" customHeight="1">
      <c r="B1390" s="37"/>
      <c r="E1390" s="79">
        <v>3</v>
      </c>
      <c r="F1390" s="80" t="s">
        <v>732</v>
      </c>
      <c r="G1390" s="81" t="s">
        <v>757</v>
      </c>
      <c r="H1390" s="82" t="s">
        <v>1162</v>
      </c>
      <c r="I1390" s="81" t="s">
        <v>726</v>
      </c>
      <c r="J1390" s="83" t="s">
        <v>727</v>
      </c>
      <c r="K1390" s="84" t="s">
        <v>1749</v>
      </c>
      <c r="L1390" s="85">
        <v>42418</v>
      </c>
      <c r="M1390" s="86" t="s">
        <v>729</v>
      </c>
      <c r="N1390" s="87">
        <v>42427</v>
      </c>
      <c r="O1390" s="88">
        <f t="shared" si="388"/>
        <v>42427</v>
      </c>
      <c r="P1390" s="2766" t="s">
        <v>1391</v>
      </c>
      <c r="Q1390" s="2955"/>
      <c r="R1390" s="89">
        <v>254.24</v>
      </c>
      <c r="S1390" s="1946" t="s">
        <v>731</v>
      </c>
      <c r="T1390" s="77"/>
      <c r="U1390" s="1893" t="s">
        <v>693</v>
      </c>
      <c r="V1390" s="2079">
        <f t="shared" si="384"/>
        <v>0</v>
      </c>
      <c r="W1390" s="78">
        <f t="shared" si="385"/>
        <v>300.00319999999999</v>
      </c>
      <c r="X1390" s="1878" t="str">
        <f t="shared" si="383"/>
        <v xml:space="preserve">3.- C Goodyear 1090704-OT_002152  Reencauche 001-004973 </v>
      </c>
      <c r="Z1390" s="19" t="str">
        <f t="shared" si="387"/>
        <v>Sacar_BandaReenc. MASTERCAUCHO</v>
      </c>
    </row>
    <row r="1391" spans="2:26" ht="15.2" customHeight="1">
      <c r="B1391" s="37"/>
      <c r="E1391" s="66">
        <v>1</v>
      </c>
      <c r="F1391" s="67" t="s">
        <v>732</v>
      </c>
      <c r="G1391" s="68" t="s">
        <v>737</v>
      </c>
      <c r="H1391" s="69" t="s">
        <v>1447</v>
      </c>
      <c r="I1391" s="68" t="s">
        <v>726</v>
      </c>
      <c r="J1391" s="70" t="s">
        <v>727</v>
      </c>
      <c r="K1391" s="71" t="s">
        <v>2162</v>
      </c>
      <c r="L1391" s="72">
        <v>42410</v>
      </c>
      <c r="M1391" s="73" t="s">
        <v>729</v>
      </c>
      <c r="N1391" s="74">
        <v>42418</v>
      </c>
      <c r="O1391" s="75">
        <f t="shared" si="388"/>
        <v>42418</v>
      </c>
      <c r="P1391" s="2765" t="s">
        <v>1938</v>
      </c>
      <c r="Q1391" s="2954"/>
      <c r="R1391" s="76">
        <v>254.24</v>
      </c>
      <c r="S1391" s="1945" t="s">
        <v>731</v>
      </c>
      <c r="T1391" s="77"/>
      <c r="U1391" s="1893" t="s">
        <v>693</v>
      </c>
      <c r="V1391" s="2079">
        <f t="shared" si="384"/>
        <v>0</v>
      </c>
      <c r="W1391" s="78">
        <f t="shared" si="385"/>
        <v>300.00319999999999</v>
      </c>
      <c r="X1391" s="1878" t="str">
        <f t="shared" si="383"/>
        <v xml:space="preserve">1.- C Vikrant 0240712-OT_002101  Reencauche 0001-004906 </v>
      </c>
      <c r="Z1391" s="19" t="str">
        <f t="shared" si="387"/>
        <v>ReencaucheReenc. MASTERCAUCHO</v>
      </c>
    </row>
    <row r="1392" spans="2:26" ht="15.2" customHeight="1">
      <c r="B1392" s="37"/>
      <c r="E1392" s="66">
        <v>2</v>
      </c>
      <c r="F1392" s="67" t="s">
        <v>732</v>
      </c>
      <c r="G1392" s="90" t="s">
        <v>733</v>
      </c>
      <c r="H1392" s="91" t="s">
        <v>1523</v>
      </c>
      <c r="I1392" s="90" t="s">
        <v>740</v>
      </c>
      <c r="J1392" s="92" t="s">
        <v>727</v>
      </c>
      <c r="K1392" s="71" t="s">
        <v>2162</v>
      </c>
      <c r="L1392" s="72">
        <v>42410</v>
      </c>
      <c r="M1392" s="73" t="s">
        <v>729</v>
      </c>
      <c r="N1392" s="74">
        <v>42418</v>
      </c>
      <c r="O1392" s="75">
        <f t="shared" si="388"/>
        <v>42418</v>
      </c>
      <c r="P1392" s="2765" t="s">
        <v>1938</v>
      </c>
      <c r="Q1392" s="2954"/>
      <c r="R1392" s="76">
        <v>127.12</v>
      </c>
      <c r="S1392" s="1945" t="s">
        <v>731</v>
      </c>
      <c r="T1392" s="77"/>
      <c r="U1392" s="1893" t="s">
        <v>693</v>
      </c>
      <c r="V1392" s="2079">
        <f t="shared" si="384"/>
        <v>0</v>
      </c>
      <c r="W1392" s="78">
        <f t="shared" si="385"/>
        <v>150.0016</v>
      </c>
      <c r="X1392" s="1878" t="str">
        <f t="shared" si="383"/>
        <v xml:space="preserve">2.- C Lima Caucho 0550807-OT_002101  Transpl Banda 0001-004906 </v>
      </c>
      <c r="Z1392" s="19" t="str">
        <f t="shared" si="387"/>
        <v>Sacar_BandaReenc. MASTERCAUCHO</v>
      </c>
    </row>
    <row r="1393" spans="2:26" ht="15.2" customHeight="1">
      <c r="B1393" s="37"/>
      <c r="E1393" s="79">
        <v>3</v>
      </c>
      <c r="F1393" s="80" t="s">
        <v>732</v>
      </c>
      <c r="G1393" s="114" t="s">
        <v>737</v>
      </c>
      <c r="H1393" s="115" t="s">
        <v>893</v>
      </c>
      <c r="I1393" s="114" t="s">
        <v>744</v>
      </c>
      <c r="J1393" s="93" t="s">
        <v>727</v>
      </c>
      <c r="K1393" s="84" t="s">
        <v>2162</v>
      </c>
      <c r="L1393" s="85">
        <v>42410</v>
      </c>
      <c r="M1393" s="86" t="s">
        <v>729</v>
      </c>
      <c r="N1393" s="87">
        <v>42483</v>
      </c>
      <c r="O1393" s="88">
        <f t="shared" si="388"/>
        <v>42483</v>
      </c>
      <c r="P1393" s="2766"/>
      <c r="Q1393" s="2955"/>
      <c r="R1393" s="89"/>
      <c r="S1393" s="1946" t="s">
        <v>731</v>
      </c>
      <c r="T1393" s="77"/>
      <c r="U1393" s="1893" t="s">
        <v>693</v>
      </c>
      <c r="V1393" s="2079">
        <f t="shared" si="384"/>
        <v>0</v>
      </c>
      <c r="W1393" s="78">
        <f t="shared" si="385"/>
        <v>0</v>
      </c>
      <c r="X1393" s="1878" t="str">
        <f t="shared" si="383"/>
        <v xml:space="preserve">3.- C Vikrant 011022010-OT_002101  Sacar_Banda  </v>
      </c>
      <c r="Z1393" s="19" t="str">
        <f t="shared" si="387"/>
        <v>ReencaucheReencauchadora RENOVA</v>
      </c>
    </row>
    <row r="1394" spans="2:26" ht="15.2" customHeight="1">
      <c r="B1394" s="37"/>
      <c r="E1394" s="66">
        <v>1</v>
      </c>
      <c r="F1394" s="67" t="s">
        <v>732</v>
      </c>
      <c r="G1394" s="68" t="s">
        <v>831</v>
      </c>
      <c r="H1394" s="69" t="s">
        <v>127</v>
      </c>
      <c r="I1394" s="68" t="s">
        <v>726</v>
      </c>
      <c r="J1394" s="70" t="s">
        <v>727</v>
      </c>
      <c r="K1394" s="71" t="s">
        <v>128</v>
      </c>
      <c r="L1394" s="72">
        <v>42395</v>
      </c>
      <c r="M1394" s="73" t="s">
        <v>729</v>
      </c>
      <c r="N1394" s="74">
        <v>42406</v>
      </c>
      <c r="O1394" s="75">
        <f t="shared" si="388"/>
        <v>42406</v>
      </c>
      <c r="P1394" s="2765" t="s">
        <v>2283</v>
      </c>
      <c r="Q1394" s="2954"/>
      <c r="R1394" s="76">
        <v>275.42</v>
      </c>
      <c r="S1394" s="1945" t="s">
        <v>731</v>
      </c>
      <c r="T1394" s="77"/>
      <c r="U1394" s="1893" t="s">
        <v>695</v>
      </c>
      <c r="V1394" s="2079">
        <f t="shared" si="384"/>
        <v>0</v>
      </c>
      <c r="W1394" s="78">
        <f t="shared" si="385"/>
        <v>324.99560000000002</v>
      </c>
      <c r="X1394" s="1878" t="str">
        <f t="shared" si="383"/>
        <v xml:space="preserve">1.- C Kumho 1807-OT_002815  Reencauche 00001-004833 </v>
      </c>
      <c r="Z1394" s="19" t="str">
        <f t="shared" ref="Z1394:Z1416" si="389">CONCATENATE(I1397,J1397)</f>
        <v>ReencaucheReencauchadora RENOVA</v>
      </c>
    </row>
    <row r="1395" spans="2:26" ht="15.2" customHeight="1">
      <c r="B1395" s="37"/>
      <c r="E1395" s="79">
        <v>2</v>
      </c>
      <c r="F1395" s="80" t="s">
        <v>732</v>
      </c>
      <c r="G1395" s="114" t="s">
        <v>733</v>
      </c>
      <c r="H1395" s="115" t="s">
        <v>855</v>
      </c>
      <c r="I1395" s="114" t="s">
        <v>744</v>
      </c>
      <c r="J1395" s="93" t="s">
        <v>727</v>
      </c>
      <c r="K1395" s="84" t="s">
        <v>128</v>
      </c>
      <c r="L1395" s="85">
        <v>42395</v>
      </c>
      <c r="M1395" s="86" t="s">
        <v>729</v>
      </c>
      <c r="N1395" s="87">
        <v>42406</v>
      </c>
      <c r="O1395" s="88">
        <f t="shared" si="388"/>
        <v>42406</v>
      </c>
      <c r="P1395" s="2766"/>
      <c r="Q1395" s="2955"/>
      <c r="R1395" s="89"/>
      <c r="S1395" s="1946" t="s">
        <v>731</v>
      </c>
      <c r="T1395" s="77"/>
      <c r="U1395" s="1893" t="s">
        <v>693</v>
      </c>
      <c r="V1395" s="2079">
        <f t="shared" si="384"/>
        <v>0</v>
      </c>
      <c r="W1395" s="78">
        <f t="shared" si="385"/>
        <v>0</v>
      </c>
      <c r="X1395" s="1878" t="str">
        <f t="shared" si="383"/>
        <v xml:space="preserve">2.- C Lima Caucho 0660808-OT_002815  Sacar_Banda  </v>
      </c>
      <c r="Z1395" s="19" t="str">
        <f t="shared" si="389"/>
        <v>ReencaucheReencauchadora RENOVA</v>
      </c>
    </row>
    <row r="1396" spans="2:26" ht="15.2" customHeight="1">
      <c r="B1396" s="37"/>
      <c r="E1396" s="66">
        <v>1</v>
      </c>
      <c r="F1396" s="67" t="s">
        <v>732</v>
      </c>
      <c r="G1396" s="68" t="s">
        <v>733</v>
      </c>
      <c r="H1396" s="69" t="s">
        <v>1284</v>
      </c>
      <c r="I1396" s="68" t="s">
        <v>726</v>
      </c>
      <c r="J1396" s="70" t="s">
        <v>760</v>
      </c>
      <c r="K1396" s="71" t="s">
        <v>239</v>
      </c>
      <c r="L1396" s="72">
        <v>42389</v>
      </c>
      <c r="M1396" s="73" t="s">
        <v>729</v>
      </c>
      <c r="N1396" s="74">
        <v>42397</v>
      </c>
      <c r="O1396" s="75">
        <f t="shared" si="388"/>
        <v>42397</v>
      </c>
      <c r="P1396" s="2765" t="s">
        <v>29</v>
      </c>
      <c r="Q1396" s="2954"/>
      <c r="R1396" s="76">
        <v>281.49</v>
      </c>
      <c r="S1396" s="1945" t="s">
        <v>731</v>
      </c>
      <c r="T1396" s="77"/>
      <c r="U1396" s="1893" t="s">
        <v>693</v>
      </c>
      <c r="V1396" s="2079">
        <f t="shared" si="384"/>
        <v>0</v>
      </c>
      <c r="W1396" s="78">
        <f t="shared" si="385"/>
        <v>332.15819999999997</v>
      </c>
      <c r="X1396" s="1878" t="str">
        <f t="shared" si="383"/>
        <v xml:space="preserve">1.- C Lima Caucho 0560807-OT_219972  Reencauche F101-00000558 </v>
      </c>
      <c r="Z1396" s="19" t="str">
        <f t="shared" si="389"/>
        <v>ReencaucheReencauchadora RENOVA</v>
      </c>
    </row>
    <row r="1397" spans="2:26" ht="15.2" customHeight="1">
      <c r="B1397" s="37"/>
      <c r="E1397" s="66">
        <v>2</v>
      </c>
      <c r="F1397" s="67" t="s">
        <v>732</v>
      </c>
      <c r="G1397" s="68" t="s">
        <v>733</v>
      </c>
      <c r="H1397" s="69" t="s">
        <v>1248</v>
      </c>
      <c r="I1397" s="68" t="s">
        <v>726</v>
      </c>
      <c r="J1397" s="70" t="s">
        <v>760</v>
      </c>
      <c r="K1397" s="71" t="s">
        <v>239</v>
      </c>
      <c r="L1397" s="72">
        <v>42389</v>
      </c>
      <c r="M1397" s="73" t="s">
        <v>729</v>
      </c>
      <c r="N1397" s="74">
        <v>42397</v>
      </c>
      <c r="O1397" s="75">
        <f t="shared" si="388"/>
        <v>42397</v>
      </c>
      <c r="P1397" s="2765" t="s">
        <v>29</v>
      </c>
      <c r="Q1397" s="2954"/>
      <c r="R1397" s="76">
        <v>281.49</v>
      </c>
      <c r="S1397" s="1945" t="s">
        <v>731</v>
      </c>
      <c r="T1397" s="77"/>
      <c r="U1397" s="1893" t="s">
        <v>693</v>
      </c>
      <c r="V1397" s="2079">
        <f t="shared" si="384"/>
        <v>0</v>
      </c>
      <c r="W1397" s="78">
        <f t="shared" si="385"/>
        <v>332.15819999999997</v>
      </c>
      <c r="X1397" s="1878" t="str">
        <f t="shared" si="383"/>
        <v xml:space="preserve">2.- C Lima Caucho 0120107-OT_219972  Reencauche F101-00000558 </v>
      </c>
      <c r="Z1397" s="19" t="str">
        <f t="shared" si="389"/>
        <v>ReencaucheReencauchadora RENOVA</v>
      </c>
    </row>
    <row r="1398" spans="2:26" ht="15.2" customHeight="1">
      <c r="B1398" s="37"/>
      <c r="E1398" s="66">
        <v>3</v>
      </c>
      <c r="F1398" s="67" t="s">
        <v>732</v>
      </c>
      <c r="G1398" s="68" t="s">
        <v>733</v>
      </c>
      <c r="H1398" s="69" t="s">
        <v>1580</v>
      </c>
      <c r="I1398" s="68" t="s">
        <v>726</v>
      </c>
      <c r="J1398" s="70" t="s">
        <v>760</v>
      </c>
      <c r="K1398" s="71" t="s">
        <v>239</v>
      </c>
      <c r="L1398" s="72">
        <v>42389</v>
      </c>
      <c r="M1398" s="73" t="s">
        <v>729</v>
      </c>
      <c r="N1398" s="74">
        <v>42397</v>
      </c>
      <c r="O1398" s="75">
        <f t="shared" si="388"/>
        <v>42397</v>
      </c>
      <c r="P1398" s="2765" t="s">
        <v>29</v>
      </c>
      <c r="Q1398" s="2954"/>
      <c r="R1398" s="76">
        <v>281.49</v>
      </c>
      <c r="S1398" s="1945" t="s">
        <v>731</v>
      </c>
      <c r="T1398" s="77"/>
      <c r="U1398" s="1893" t="s">
        <v>693</v>
      </c>
      <c r="V1398" s="2079">
        <f t="shared" si="384"/>
        <v>0</v>
      </c>
      <c r="W1398" s="78">
        <f t="shared" si="385"/>
        <v>332.15819999999997</v>
      </c>
      <c r="X1398" s="1878" t="str">
        <f t="shared" si="383"/>
        <v xml:space="preserve">3.- C Lima Caucho 0520610-OT_219972  Reencauche F101-00000558 </v>
      </c>
      <c r="Z1398" s="19" t="str">
        <f t="shared" si="389"/>
        <v>ReencaucheReencauchadora RENOVA</v>
      </c>
    </row>
    <row r="1399" spans="2:26" ht="15.2" customHeight="1">
      <c r="B1399" s="37"/>
      <c r="E1399" s="66">
        <v>4</v>
      </c>
      <c r="F1399" s="67" t="s">
        <v>732</v>
      </c>
      <c r="G1399" s="68" t="s">
        <v>737</v>
      </c>
      <c r="H1399" s="69" t="s">
        <v>1340</v>
      </c>
      <c r="I1399" s="68" t="s">
        <v>726</v>
      </c>
      <c r="J1399" s="70" t="s">
        <v>760</v>
      </c>
      <c r="K1399" s="71" t="s">
        <v>240</v>
      </c>
      <c r="L1399" s="72">
        <v>42389</v>
      </c>
      <c r="M1399" s="73" t="s">
        <v>729</v>
      </c>
      <c r="N1399" s="74">
        <v>42397</v>
      </c>
      <c r="O1399" s="75">
        <f t="shared" si="388"/>
        <v>42397</v>
      </c>
      <c r="P1399" s="2765" t="s">
        <v>29</v>
      </c>
      <c r="Q1399" s="2954"/>
      <c r="R1399" s="76">
        <v>281.49</v>
      </c>
      <c r="S1399" s="1945" t="s">
        <v>731</v>
      </c>
      <c r="T1399" s="77"/>
      <c r="U1399" s="1893" t="s">
        <v>693</v>
      </c>
      <c r="V1399" s="2079">
        <f t="shared" si="384"/>
        <v>0</v>
      </c>
      <c r="W1399" s="78">
        <f t="shared" si="385"/>
        <v>332.15819999999997</v>
      </c>
      <c r="X1399" s="1878" t="str">
        <f t="shared" si="383"/>
        <v xml:space="preserve">4.- C Vikrant 0060111-OT_219973  Reencauche F101-00000558 </v>
      </c>
      <c r="Z1399" s="19" t="str">
        <f t="shared" si="389"/>
        <v>ReencaucheReencauchadora RENOVA</v>
      </c>
    </row>
    <row r="1400" spans="2:26" ht="15.2" customHeight="1">
      <c r="B1400" s="37"/>
      <c r="E1400" s="66">
        <v>5</v>
      </c>
      <c r="F1400" s="67" t="s">
        <v>732</v>
      </c>
      <c r="G1400" s="68" t="s">
        <v>737</v>
      </c>
      <c r="H1400" s="69" t="s">
        <v>1554</v>
      </c>
      <c r="I1400" s="68" t="s">
        <v>726</v>
      </c>
      <c r="J1400" s="70" t="s">
        <v>760</v>
      </c>
      <c r="K1400" s="71" t="s">
        <v>240</v>
      </c>
      <c r="L1400" s="72">
        <v>42389</v>
      </c>
      <c r="M1400" s="73" t="s">
        <v>729</v>
      </c>
      <c r="N1400" s="74">
        <v>42397</v>
      </c>
      <c r="O1400" s="75">
        <f t="shared" si="388"/>
        <v>42397</v>
      </c>
      <c r="P1400" s="2765" t="s">
        <v>29</v>
      </c>
      <c r="Q1400" s="2954"/>
      <c r="R1400" s="76">
        <v>281.49</v>
      </c>
      <c r="S1400" s="1945" t="s">
        <v>731</v>
      </c>
      <c r="T1400" s="77"/>
      <c r="U1400" s="1893" t="s">
        <v>693</v>
      </c>
      <c r="V1400" s="2079">
        <f t="shared" si="384"/>
        <v>0</v>
      </c>
      <c r="W1400" s="78">
        <f t="shared" si="385"/>
        <v>332.15819999999997</v>
      </c>
      <c r="X1400" s="1878" t="str">
        <f t="shared" si="383"/>
        <v xml:space="preserve">5.- C Vikrant 0010111-OT_219973  Reencauche F101-00000558 </v>
      </c>
      <c r="Z1400" s="19" t="str">
        <f t="shared" si="389"/>
        <v>ReencaucheReencauchadora RENOVA</v>
      </c>
    </row>
    <row r="1401" spans="2:26" ht="15.2" customHeight="1">
      <c r="B1401" s="37"/>
      <c r="E1401" s="66">
        <v>6</v>
      </c>
      <c r="F1401" s="67" t="s">
        <v>732</v>
      </c>
      <c r="G1401" s="68" t="s">
        <v>737</v>
      </c>
      <c r="H1401" s="69" t="s">
        <v>1314</v>
      </c>
      <c r="I1401" s="68" t="s">
        <v>726</v>
      </c>
      <c r="J1401" s="70" t="s">
        <v>760</v>
      </c>
      <c r="K1401" s="71" t="s">
        <v>240</v>
      </c>
      <c r="L1401" s="72">
        <v>42389</v>
      </c>
      <c r="M1401" s="73" t="s">
        <v>729</v>
      </c>
      <c r="N1401" s="74">
        <v>42397</v>
      </c>
      <c r="O1401" s="75">
        <f t="shared" si="388"/>
        <v>42397</v>
      </c>
      <c r="P1401" s="2765" t="s">
        <v>29</v>
      </c>
      <c r="Q1401" s="2954"/>
      <c r="R1401" s="76">
        <v>281.49</v>
      </c>
      <c r="S1401" s="1945" t="s">
        <v>731</v>
      </c>
      <c r="T1401" s="77"/>
      <c r="U1401" s="1893" t="s">
        <v>693</v>
      </c>
      <c r="V1401" s="2079">
        <f t="shared" si="384"/>
        <v>0</v>
      </c>
      <c r="W1401" s="78">
        <f t="shared" si="385"/>
        <v>332.15819999999997</v>
      </c>
      <c r="X1401" s="1878" t="str">
        <f t="shared" si="383"/>
        <v xml:space="preserve">6.- C Vikrant 0400510-OT_219973  Reencauche F101-00000558 </v>
      </c>
      <c r="Z1401" s="19" t="str">
        <f t="shared" si="389"/>
        <v>ReencaucheReencauchadora RENOVA</v>
      </c>
    </row>
    <row r="1402" spans="2:26" ht="15.2" customHeight="1">
      <c r="B1402" s="37"/>
      <c r="E1402" s="66">
        <v>7</v>
      </c>
      <c r="F1402" s="67" t="s">
        <v>732</v>
      </c>
      <c r="G1402" s="68" t="s">
        <v>737</v>
      </c>
      <c r="H1402" s="69" t="s">
        <v>1084</v>
      </c>
      <c r="I1402" s="68" t="s">
        <v>726</v>
      </c>
      <c r="J1402" s="70" t="s">
        <v>760</v>
      </c>
      <c r="K1402" s="71" t="s">
        <v>240</v>
      </c>
      <c r="L1402" s="72">
        <v>42389</v>
      </c>
      <c r="M1402" s="73" t="s">
        <v>729</v>
      </c>
      <c r="N1402" s="74">
        <v>42397</v>
      </c>
      <c r="O1402" s="75">
        <f t="shared" si="388"/>
        <v>42397</v>
      </c>
      <c r="P1402" s="2765" t="s">
        <v>29</v>
      </c>
      <c r="Q1402" s="2954"/>
      <c r="R1402" s="76">
        <v>281.49</v>
      </c>
      <c r="S1402" s="1945" t="s">
        <v>731</v>
      </c>
      <c r="T1402" s="77"/>
      <c r="U1402" s="1893" t="s">
        <v>693</v>
      </c>
      <c r="V1402" s="2079">
        <f t="shared" si="384"/>
        <v>0</v>
      </c>
      <c r="W1402" s="78">
        <f t="shared" si="385"/>
        <v>332.15819999999997</v>
      </c>
      <c r="X1402" s="1878" t="str">
        <f t="shared" si="383"/>
        <v xml:space="preserve">7.- C Vikrant 0480411-OT_219973  Reencauche F101-00000558 </v>
      </c>
      <c r="Z1402" s="19" t="str">
        <f t="shared" si="389"/>
        <v>ReencaucheReencauchadora RENOVA</v>
      </c>
    </row>
    <row r="1403" spans="2:26" ht="15.2" customHeight="1">
      <c r="B1403" s="37"/>
      <c r="E1403" s="66">
        <v>8</v>
      </c>
      <c r="F1403" s="67" t="s">
        <v>732</v>
      </c>
      <c r="G1403" s="68" t="s">
        <v>737</v>
      </c>
      <c r="H1403" s="69" t="s">
        <v>1551</v>
      </c>
      <c r="I1403" s="68" t="s">
        <v>726</v>
      </c>
      <c r="J1403" s="70" t="s">
        <v>760</v>
      </c>
      <c r="K1403" s="71" t="s">
        <v>240</v>
      </c>
      <c r="L1403" s="72">
        <v>42389</v>
      </c>
      <c r="M1403" s="73" t="s">
        <v>729</v>
      </c>
      <c r="N1403" s="74">
        <v>42397</v>
      </c>
      <c r="O1403" s="75">
        <f t="shared" si="388"/>
        <v>42397</v>
      </c>
      <c r="P1403" s="2765" t="s">
        <v>29</v>
      </c>
      <c r="Q1403" s="2954"/>
      <c r="R1403" s="76">
        <v>281.49</v>
      </c>
      <c r="S1403" s="1945" t="s">
        <v>731</v>
      </c>
      <c r="T1403" s="77"/>
      <c r="U1403" s="1893" t="s">
        <v>693</v>
      </c>
      <c r="V1403" s="2079">
        <f t="shared" si="384"/>
        <v>0</v>
      </c>
      <c r="W1403" s="78">
        <f t="shared" si="385"/>
        <v>332.15819999999997</v>
      </c>
      <c r="X1403" s="1878" t="str">
        <f t="shared" si="383"/>
        <v xml:space="preserve">8.- C Vikrant 0590610-OT_219973  Reencauche F101-00000558 </v>
      </c>
      <c r="Z1403" s="19" t="str">
        <f t="shared" si="389"/>
        <v>ReencaucheReencauchadora RENOVA</v>
      </c>
    </row>
    <row r="1404" spans="2:26" ht="15.2" customHeight="1">
      <c r="B1404" s="37"/>
      <c r="E1404" s="66">
        <v>9</v>
      </c>
      <c r="F1404" s="67" t="s">
        <v>732</v>
      </c>
      <c r="G1404" s="68" t="s">
        <v>737</v>
      </c>
      <c r="H1404" s="69" t="s">
        <v>1624</v>
      </c>
      <c r="I1404" s="68" t="s">
        <v>726</v>
      </c>
      <c r="J1404" s="70" t="s">
        <v>760</v>
      </c>
      <c r="K1404" s="71" t="s">
        <v>240</v>
      </c>
      <c r="L1404" s="72">
        <v>42389</v>
      </c>
      <c r="M1404" s="73" t="s">
        <v>729</v>
      </c>
      <c r="N1404" s="74">
        <v>42397</v>
      </c>
      <c r="O1404" s="75">
        <f t="shared" si="388"/>
        <v>42397</v>
      </c>
      <c r="P1404" s="2765" t="s">
        <v>29</v>
      </c>
      <c r="Q1404" s="2954"/>
      <c r="R1404" s="76">
        <v>281.49</v>
      </c>
      <c r="S1404" s="1945" t="s">
        <v>731</v>
      </c>
      <c r="T1404" s="77"/>
      <c r="U1404" s="1893" t="s">
        <v>693</v>
      </c>
      <c r="V1404" s="2079">
        <f t="shared" si="384"/>
        <v>0</v>
      </c>
      <c r="W1404" s="78">
        <f t="shared" si="385"/>
        <v>332.15819999999997</v>
      </c>
      <c r="X1404" s="1878" t="str">
        <f t="shared" si="383"/>
        <v xml:space="preserve">9.- C Vikrant 0200111-OT_219973  Reencauche F101-00000558 </v>
      </c>
      <c r="Z1404" s="19" t="str">
        <f t="shared" si="389"/>
        <v>ReencaucheReencauchadora RENOVA</v>
      </c>
    </row>
    <row r="1405" spans="2:26" ht="15.2" customHeight="1">
      <c r="B1405" s="37"/>
      <c r="E1405" s="66">
        <v>10</v>
      </c>
      <c r="F1405" s="67" t="s">
        <v>732</v>
      </c>
      <c r="G1405" s="68" t="s">
        <v>737</v>
      </c>
      <c r="H1405" s="69" t="s">
        <v>1664</v>
      </c>
      <c r="I1405" s="68" t="s">
        <v>726</v>
      </c>
      <c r="J1405" s="70" t="s">
        <v>760</v>
      </c>
      <c r="K1405" s="71" t="s">
        <v>240</v>
      </c>
      <c r="L1405" s="72">
        <v>42389</v>
      </c>
      <c r="M1405" s="73" t="s">
        <v>729</v>
      </c>
      <c r="N1405" s="74">
        <v>42397</v>
      </c>
      <c r="O1405" s="75">
        <f t="shared" si="388"/>
        <v>42397</v>
      </c>
      <c r="P1405" s="2765" t="s">
        <v>29</v>
      </c>
      <c r="Q1405" s="2954"/>
      <c r="R1405" s="76">
        <v>281.49</v>
      </c>
      <c r="S1405" s="1945" t="s">
        <v>731</v>
      </c>
      <c r="T1405" s="77"/>
      <c r="U1405" s="1893" t="s">
        <v>693</v>
      </c>
      <c r="V1405" s="2079">
        <f t="shared" si="384"/>
        <v>0</v>
      </c>
      <c r="W1405" s="78">
        <f t="shared" si="385"/>
        <v>332.15819999999997</v>
      </c>
      <c r="X1405" s="1878" t="str">
        <f t="shared" si="383"/>
        <v xml:space="preserve">10.- C Vikrant 0130111-OT_219973  Reencauche F101-00000558 </v>
      </c>
      <c r="Z1405" s="19" t="str">
        <f t="shared" si="389"/>
        <v>ReencaucheReencauchadora RENOVA</v>
      </c>
    </row>
    <row r="1406" spans="2:26" ht="15.2" customHeight="1">
      <c r="B1406" s="37"/>
      <c r="E1406" s="66">
        <v>11</v>
      </c>
      <c r="F1406" s="67" t="s">
        <v>732</v>
      </c>
      <c r="G1406" s="68" t="s">
        <v>733</v>
      </c>
      <c r="H1406" s="69" t="s">
        <v>1523</v>
      </c>
      <c r="I1406" s="68" t="s">
        <v>726</v>
      </c>
      <c r="J1406" s="70" t="s">
        <v>760</v>
      </c>
      <c r="K1406" s="71" t="s">
        <v>239</v>
      </c>
      <c r="L1406" s="72">
        <v>42389</v>
      </c>
      <c r="M1406" s="73" t="s">
        <v>729</v>
      </c>
      <c r="N1406" s="74">
        <v>42397</v>
      </c>
      <c r="O1406" s="75">
        <f t="shared" si="388"/>
        <v>42397</v>
      </c>
      <c r="P1406" s="2765"/>
      <c r="Q1406" s="2954"/>
      <c r="R1406" s="76">
        <v>0</v>
      </c>
      <c r="S1406" s="1945" t="s">
        <v>731</v>
      </c>
      <c r="T1406" s="1875" t="s">
        <v>30</v>
      </c>
      <c r="U1406" s="1893" t="s">
        <v>693</v>
      </c>
      <c r="V1406" s="2079">
        <f t="shared" si="384"/>
        <v>0</v>
      </c>
      <c r="W1406" s="78">
        <f t="shared" si="385"/>
        <v>0</v>
      </c>
      <c r="X1406" s="1878" t="str">
        <f t="shared" si="383"/>
        <v>11.- C Lima Caucho 0550807-OT_219972  Reencauche  Rechazada, Guia 030-0055070</v>
      </c>
      <c r="Z1406" s="19" t="str">
        <f t="shared" si="389"/>
        <v>ReencaucheReencauchadora RENOVA</v>
      </c>
    </row>
    <row r="1407" spans="2:26" ht="15.2" customHeight="1">
      <c r="B1407" s="37"/>
      <c r="E1407" s="66">
        <v>12</v>
      </c>
      <c r="F1407" s="67" t="s">
        <v>732</v>
      </c>
      <c r="G1407" s="68" t="s">
        <v>757</v>
      </c>
      <c r="H1407" s="69" t="s">
        <v>238</v>
      </c>
      <c r="I1407" s="68" t="s">
        <v>726</v>
      </c>
      <c r="J1407" s="70" t="s">
        <v>760</v>
      </c>
      <c r="K1407" s="71" t="s">
        <v>239</v>
      </c>
      <c r="L1407" s="72">
        <v>42389</v>
      </c>
      <c r="M1407" s="73" t="s">
        <v>729</v>
      </c>
      <c r="N1407" s="74">
        <v>42397</v>
      </c>
      <c r="O1407" s="75">
        <f t="shared" si="388"/>
        <v>42397</v>
      </c>
      <c r="P1407" s="2765"/>
      <c r="Q1407" s="2954"/>
      <c r="R1407" s="76">
        <v>0</v>
      </c>
      <c r="S1407" s="1945" t="s">
        <v>731</v>
      </c>
      <c r="T1407" s="1875" t="s">
        <v>30</v>
      </c>
      <c r="U1407" s="1893" t="s">
        <v>693</v>
      </c>
      <c r="V1407" s="2079">
        <f t="shared" si="384"/>
        <v>0</v>
      </c>
      <c r="W1407" s="78">
        <f t="shared" si="385"/>
        <v>0</v>
      </c>
      <c r="X1407" s="1878" t="str">
        <f t="shared" si="383"/>
        <v>12.- C Goodyear 0540302-OT_219972  Reencauche  Rechazada, Guia 030-0055070</v>
      </c>
      <c r="Z1407" s="19" t="str">
        <f>CONCATENATE(I1410,J1410)</f>
        <v>Transpl BandaReenc. MASTERCAUCHO</v>
      </c>
    </row>
    <row r="1408" spans="2:26" ht="15.2" customHeight="1">
      <c r="B1408" s="37"/>
      <c r="E1408" s="66">
        <v>13</v>
      </c>
      <c r="F1408" s="67" t="s">
        <v>732</v>
      </c>
      <c r="G1408" s="68" t="s">
        <v>737</v>
      </c>
      <c r="H1408" s="69" t="s">
        <v>1447</v>
      </c>
      <c r="I1408" s="68" t="s">
        <v>726</v>
      </c>
      <c r="J1408" s="70" t="s">
        <v>760</v>
      </c>
      <c r="K1408" s="71" t="s">
        <v>240</v>
      </c>
      <c r="L1408" s="72">
        <v>42389</v>
      </c>
      <c r="M1408" s="73" t="s">
        <v>729</v>
      </c>
      <c r="N1408" s="74">
        <v>42397</v>
      </c>
      <c r="O1408" s="75">
        <f t="shared" si="388"/>
        <v>42397</v>
      </c>
      <c r="P1408" s="2765"/>
      <c r="Q1408" s="2954"/>
      <c r="R1408" s="76">
        <v>0</v>
      </c>
      <c r="S1408" s="1945" t="s">
        <v>731</v>
      </c>
      <c r="T1408" s="1875" t="s">
        <v>30</v>
      </c>
      <c r="U1408" s="1893" t="s">
        <v>693</v>
      </c>
      <c r="V1408" s="2079">
        <f t="shared" si="384"/>
        <v>0</v>
      </c>
      <c r="W1408" s="78">
        <f t="shared" si="385"/>
        <v>0</v>
      </c>
      <c r="X1408" s="1878" t="str">
        <f t="shared" si="383"/>
        <v>13.- C Vikrant 0240712-OT_219973  Reencauche  Rechazada, Guia 030-0055070</v>
      </c>
      <c r="Z1408" s="19" t="str">
        <f>CONCATENATE(I1411,J1411)</f>
        <v>Vulcanizado (curación)Reenc. MASTERCAUCHO</v>
      </c>
    </row>
    <row r="1409" spans="2:26" ht="15.2" customHeight="1">
      <c r="B1409" s="37"/>
      <c r="E1409" s="79">
        <v>14</v>
      </c>
      <c r="F1409" s="80" t="s">
        <v>732</v>
      </c>
      <c r="G1409" s="81" t="s">
        <v>737</v>
      </c>
      <c r="H1409" s="82" t="s">
        <v>1583</v>
      </c>
      <c r="I1409" s="81" t="s">
        <v>726</v>
      </c>
      <c r="J1409" s="83" t="s">
        <v>760</v>
      </c>
      <c r="K1409" s="84" t="s">
        <v>240</v>
      </c>
      <c r="L1409" s="85">
        <v>42389</v>
      </c>
      <c r="M1409" s="86" t="s">
        <v>729</v>
      </c>
      <c r="N1409" s="87">
        <v>42397</v>
      </c>
      <c r="O1409" s="88">
        <f t="shared" si="388"/>
        <v>42397</v>
      </c>
      <c r="P1409" s="2766"/>
      <c r="Q1409" s="2955"/>
      <c r="R1409" s="89">
        <v>0</v>
      </c>
      <c r="S1409" s="1946" t="s">
        <v>731</v>
      </c>
      <c r="T1409" s="1875" t="s">
        <v>30</v>
      </c>
      <c r="U1409" s="1893" t="s">
        <v>693</v>
      </c>
      <c r="V1409" s="2079">
        <f t="shared" si="384"/>
        <v>0</v>
      </c>
      <c r="W1409" s="78">
        <f t="shared" si="385"/>
        <v>0</v>
      </c>
      <c r="X1409" s="1878" t="str">
        <f t="shared" si="383"/>
        <v>14.- C Vikrant 0260410-OT_219973  Reencauche  Rechazada, Guia 030-0055070</v>
      </c>
      <c r="Z1409" s="19" t="str">
        <f>CONCATENATE(I1412,J1412)</f>
        <v>Banda de 2ª usadaReenc. MASTERCAUCHO</v>
      </c>
    </row>
    <row r="1410" spans="2:26" ht="15.2" customHeight="1">
      <c r="B1410" s="37"/>
      <c r="E1410" s="66">
        <v>1</v>
      </c>
      <c r="F1410" s="67" t="s">
        <v>732</v>
      </c>
      <c r="G1410" s="90" t="s">
        <v>737</v>
      </c>
      <c r="H1410" s="91" t="s">
        <v>1827</v>
      </c>
      <c r="I1410" s="90" t="s">
        <v>740</v>
      </c>
      <c r="J1410" s="92" t="s">
        <v>727</v>
      </c>
      <c r="K1410" s="71" t="s">
        <v>241</v>
      </c>
      <c r="L1410" s="72">
        <v>42382</v>
      </c>
      <c r="M1410" s="73" t="s">
        <v>729</v>
      </c>
      <c r="N1410" s="74">
        <v>42395</v>
      </c>
      <c r="O1410" s="75">
        <f t="shared" si="388"/>
        <v>42395</v>
      </c>
      <c r="P1410" s="2765" t="s">
        <v>125</v>
      </c>
      <c r="Q1410" s="2954"/>
      <c r="R1410" s="76">
        <v>127.12</v>
      </c>
      <c r="S1410" s="1945" t="s">
        <v>731</v>
      </c>
      <c r="T1410" s="77"/>
      <c r="U1410" s="1893" t="s">
        <v>693</v>
      </c>
      <c r="V1410" s="2079">
        <f t="shared" si="384"/>
        <v>0</v>
      </c>
      <c r="W1410" s="78">
        <f t="shared" si="385"/>
        <v>150.0016</v>
      </c>
      <c r="X1410" s="1878" t="str">
        <f t="shared" si="383"/>
        <v xml:space="preserve">1.- C Vikrant 170310-OT_002648  Transpl Banda 0001-004759 </v>
      </c>
      <c r="Z1410" s="19" t="str">
        <f>CONCATENATE(I1413,J1413)</f>
        <v>Transpl BandaReenc. MASTERCAUCHO</v>
      </c>
    </row>
    <row r="1411" spans="2:26" ht="15.2" customHeight="1">
      <c r="B1411" s="37"/>
      <c r="E1411" s="66">
        <v>2</v>
      </c>
      <c r="F1411" s="67" t="s">
        <v>732</v>
      </c>
      <c r="G1411" s="2041" t="s">
        <v>733</v>
      </c>
      <c r="H1411" s="2042" t="s">
        <v>960</v>
      </c>
      <c r="I1411" s="2046" t="s">
        <v>811</v>
      </c>
      <c r="J1411" s="2047" t="s">
        <v>727</v>
      </c>
      <c r="K1411" s="2044" t="s">
        <v>241</v>
      </c>
      <c r="L1411" s="2045">
        <v>42382</v>
      </c>
      <c r="M1411" s="73" t="s">
        <v>729</v>
      </c>
      <c r="N1411" s="74">
        <v>42395</v>
      </c>
      <c r="O1411" s="75">
        <f t="shared" si="388"/>
        <v>42395</v>
      </c>
      <c r="P1411" s="2765" t="s">
        <v>125</v>
      </c>
      <c r="Q1411" s="2954"/>
      <c r="R1411" s="76">
        <v>105.93</v>
      </c>
      <c r="S1411" s="1945" t="s">
        <v>731</v>
      </c>
      <c r="T1411" s="77"/>
      <c r="U1411" s="1893" t="s">
        <v>693</v>
      </c>
      <c r="V1411" s="2079">
        <f t="shared" si="384"/>
        <v>0</v>
      </c>
      <c r="W1411" s="78">
        <f t="shared" si="385"/>
        <v>124.9974</v>
      </c>
      <c r="X1411" s="1878" t="str">
        <f t="shared" si="383"/>
        <v xml:space="preserve">2.- C Lima Caucho 0800505-OT_002648  Vulcanizado (curación) 0001-004759 </v>
      </c>
      <c r="Z1411" s="19" t="str">
        <f>CONCATENATE(I1414,J1414)</f>
        <v>Transpl BandaReenc. MASTERCAUCHO</v>
      </c>
    </row>
    <row r="1412" spans="2:26" ht="15.2" customHeight="1">
      <c r="B1412" s="37"/>
      <c r="E1412" s="66">
        <v>3</v>
      </c>
      <c r="F1412" s="67" t="s">
        <v>723</v>
      </c>
      <c r="G1412" s="68" t="s">
        <v>825</v>
      </c>
      <c r="H1412" s="69" t="s">
        <v>124</v>
      </c>
      <c r="I1412" s="68" t="s">
        <v>742</v>
      </c>
      <c r="J1412" s="70" t="s">
        <v>727</v>
      </c>
      <c r="K1412" s="71" t="s">
        <v>857</v>
      </c>
      <c r="L1412" s="72"/>
      <c r="M1412" s="73" t="s">
        <v>729</v>
      </c>
      <c r="N1412" s="74">
        <v>42380</v>
      </c>
      <c r="O1412" s="75">
        <f t="shared" si="388"/>
        <v>42380</v>
      </c>
      <c r="P1412" s="2765" t="s">
        <v>125</v>
      </c>
      <c r="Q1412" s="2954"/>
      <c r="R1412" s="76">
        <v>322.02999999999997</v>
      </c>
      <c r="S1412" s="1945" t="s">
        <v>731</v>
      </c>
      <c r="T1412" s="77"/>
      <c r="U1412" s="1893" t="s">
        <v>694</v>
      </c>
      <c r="V1412" s="2079">
        <f t="shared" si="384"/>
        <v>0</v>
      </c>
      <c r="W1412" s="78">
        <f t="shared" si="385"/>
        <v>379.99539999999996</v>
      </c>
      <c r="X1412" s="1878" t="str">
        <f t="shared" si="383"/>
        <v xml:space="preserve">3.- R Falken S/N-OT_S/D  Banda de 2ª usada 0001-004759 </v>
      </c>
      <c r="Z1412" s="19" t="str">
        <f t="shared" si="389"/>
        <v>ReencaucheReencauchadora RENOVA</v>
      </c>
    </row>
    <row r="1413" spans="2:26" ht="15.2" customHeight="1">
      <c r="B1413" s="37"/>
      <c r="E1413" s="66">
        <v>4</v>
      </c>
      <c r="F1413" s="67" t="s">
        <v>732</v>
      </c>
      <c r="G1413" s="90" t="s">
        <v>737</v>
      </c>
      <c r="H1413" s="91" t="s">
        <v>126</v>
      </c>
      <c r="I1413" s="90" t="s">
        <v>740</v>
      </c>
      <c r="J1413" s="92" t="s">
        <v>727</v>
      </c>
      <c r="K1413" s="71" t="s">
        <v>241</v>
      </c>
      <c r="L1413" s="72">
        <v>42382</v>
      </c>
      <c r="M1413" s="73" t="s">
        <v>729</v>
      </c>
      <c r="N1413" s="2035">
        <v>42395</v>
      </c>
      <c r="O1413" s="2036">
        <f t="shared" si="388"/>
        <v>42395</v>
      </c>
      <c r="P1413" s="2765"/>
      <c r="Q1413" s="2954"/>
      <c r="R1413" s="76">
        <v>0</v>
      </c>
      <c r="S1413" s="1945" t="s">
        <v>731</v>
      </c>
      <c r="T1413" s="77"/>
      <c r="U1413" s="1893" t="s">
        <v>693</v>
      </c>
      <c r="V1413" s="2079">
        <f t="shared" si="384"/>
        <v>0</v>
      </c>
      <c r="W1413" s="78">
        <f t="shared" si="385"/>
        <v>0</v>
      </c>
      <c r="X1413" s="1878" t="str">
        <f t="shared" si="383"/>
        <v xml:space="preserve">4.- C Vikrant 0800508-OT_002648  Transpl Banda  </v>
      </c>
      <c r="Z1413" s="19" t="str">
        <f t="shared" si="389"/>
        <v>ReencaucheReencauchadora RENOVA</v>
      </c>
    </row>
    <row r="1414" spans="2:26" ht="15.2" customHeight="1">
      <c r="B1414" s="37"/>
      <c r="E1414" s="79">
        <v>5</v>
      </c>
      <c r="F1414" s="80" t="s">
        <v>732</v>
      </c>
      <c r="G1414" s="3151" t="s">
        <v>733</v>
      </c>
      <c r="H1414" s="3152" t="s">
        <v>1651</v>
      </c>
      <c r="I1414" s="3151" t="s">
        <v>740</v>
      </c>
      <c r="J1414" s="3153" t="s">
        <v>727</v>
      </c>
      <c r="K1414" s="2579" t="s">
        <v>241</v>
      </c>
      <c r="L1414" s="2580">
        <v>42382</v>
      </c>
      <c r="M1414" s="3132" t="s">
        <v>729</v>
      </c>
      <c r="N1414" s="3138">
        <v>42406</v>
      </c>
      <c r="O1414" s="3145">
        <f t="shared" si="388"/>
        <v>42406</v>
      </c>
      <c r="P1414" s="2941" t="s">
        <v>2282</v>
      </c>
      <c r="Q1414" s="2957"/>
      <c r="R1414" s="2584">
        <v>127.12</v>
      </c>
      <c r="S1414" s="2585" t="s">
        <v>731</v>
      </c>
      <c r="T1414" s="77"/>
      <c r="U1414" s="1893" t="s">
        <v>693</v>
      </c>
      <c r="V1414" s="2079">
        <f t="shared" si="384"/>
        <v>0</v>
      </c>
      <c r="W1414" s="78">
        <f t="shared" si="385"/>
        <v>150.0016</v>
      </c>
      <c r="X1414" s="1878" t="str">
        <f t="shared" si="383"/>
        <v xml:space="preserve">5.- C Lima Caucho 1461207-OT_002648  Transpl Banda 0001-004833 </v>
      </c>
      <c r="Z1414" s="19" t="str">
        <f t="shared" si="389"/>
        <v>ReencaucheReencauchadora RENOVA</v>
      </c>
    </row>
    <row r="1415" spans="2:26" ht="15.2" customHeight="1">
      <c r="B1415" s="37"/>
      <c r="E1415" s="66">
        <v>1</v>
      </c>
      <c r="F1415" s="67" t="s">
        <v>732</v>
      </c>
      <c r="G1415" s="68" t="s">
        <v>757</v>
      </c>
      <c r="H1415" s="2014" t="s">
        <v>549</v>
      </c>
      <c r="I1415" s="68" t="s">
        <v>726</v>
      </c>
      <c r="J1415" s="70" t="s">
        <v>760</v>
      </c>
      <c r="K1415" s="71" t="s">
        <v>561</v>
      </c>
      <c r="L1415" s="72">
        <v>42381</v>
      </c>
      <c r="M1415" s="73" t="s">
        <v>729</v>
      </c>
      <c r="N1415" s="74">
        <v>42389</v>
      </c>
      <c r="O1415" s="75">
        <v>42389</v>
      </c>
      <c r="P1415" s="2765" t="s">
        <v>242</v>
      </c>
      <c r="Q1415" s="2954"/>
      <c r="R1415" s="76">
        <v>329.32</v>
      </c>
      <c r="S1415" s="1945" t="s">
        <v>731</v>
      </c>
      <c r="T1415" s="77"/>
      <c r="U1415" s="1893" t="s">
        <v>695</v>
      </c>
      <c r="V1415" s="2079">
        <f t="shared" si="384"/>
        <v>0</v>
      </c>
      <c r="W1415" s="78">
        <f t="shared" si="385"/>
        <v>388.59759999999994</v>
      </c>
      <c r="X1415" s="1878" t="str">
        <f t="shared" si="383"/>
        <v xml:space="preserve">1.- C Goodyear 1900103100Y-OT_219954  Reencauche F101-00000313 </v>
      </c>
      <c r="Z1415" s="19" t="str">
        <f t="shared" si="389"/>
        <v>ReencaucheReencauchadora RENOVA</v>
      </c>
    </row>
    <row r="1416" spans="2:26" ht="15.2" customHeight="1">
      <c r="B1416" s="37"/>
      <c r="E1416" s="66">
        <v>2</v>
      </c>
      <c r="F1416" s="67" t="s">
        <v>732</v>
      </c>
      <c r="G1416" s="68" t="s">
        <v>757</v>
      </c>
      <c r="H1416" s="2014" t="s">
        <v>550</v>
      </c>
      <c r="I1416" s="68" t="s">
        <v>726</v>
      </c>
      <c r="J1416" s="70" t="s">
        <v>760</v>
      </c>
      <c r="K1416" s="71" t="s">
        <v>561</v>
      </c>
      <c r="L1416" s="72">
        <v>42381</v>
      </c>
      <c r="M1416" s="73" t="s">
        <v>729</v>
      </c>
      <c r="N1416" s="74">
        <v>42389</v>
      </c>
      <c r="O1416" s="75">
        <v>42389</v>
      </c>
      <c r="P1416" s="2765" t="s">
        <v>242</v>
      </c>
      <c r="Q1416" s="2954"/>
      <c r="R1416" s="76">
        <v>329.32</v>
      </c>
      <c r="S1416" s="1945" t="s">
        <v>731</v>
      </c>
      <c r="T1416" s="77"/>
      <c r="U1416" s="1893" t="s">
        <v>695</v>
      </c>
      <c r="V1416" s="2079">
        <f t="shared" si="384"/>
        <v>0</v>
      </c>
      <c r="W1416" s="78">
        <f t="shared" si="385"/>
        <v>388.59759999999994</v>
      </c>
      <c r="X1416" s="1878" t="str">
        <f t="shared" si="383"/>
        <v xml:space="preserve">2.- C Goodyear 19010121003-OT_219954  Reencauche F101-00000313 </v>
      </c>
      <c r="Z1416" s="19" t="str">
        <f t="shared" si="389"/>
        <v>ReencaucheReencauchadora RENOVA</v>
      </c>
    </row>
    <row r="1417" spans="2:26" ht="15.2" customHeight="1">
      <c r="B1417" s="37"/>
      <c r="E1417" s="66">
        <v>3</v>
      </c>
      <c r="F1417" s="67" t="s">
        <v>732</v>
      </c>
      <c r="G1417" s="68" t="s">
        <v>551</v>
      </c>
      <c r="H1417" s="2014" t="s">
        <v>552</v>
      </c>
      <c r="I1417" s="68" t="s">
        <v>726</v>
      </c>
      <c r="J1417" s="70" t="s">
        <v>760</v>
      </c>
      <c r="K1417" s="71" t="s">
        <v>561</v>
      </c>
      <c r="L1417" s="72">
        <v>42381</v>
      </c>
      <c r="M1417" s="73" t="s">
        <v>729</v>
      </c>
      <c r="N1417" s="74">
        <v>42389</v>
      </c>
      <c r="O1417" s="75">
        <v>42389</v>
      </c>
      <c r="P1417" s="2765" t="s">
        <v>242</v>
      </c>
      <c r="Q1417" s="2954"/>
      <c r="R1417" s="76">
        <v>329.32</v>
      </c>
      <c r="S1417" s="1945" t="s">
        <v>731</v>
      </c>
      <c r="T1417" s="77"/>
      <c r="U1417" s="1893" t="s">
        <v>695</v>
      </c>
      <c r="V1417" s="2079">
        <f t="shared" si="384"/>
        <v>0</v>
      </c>
      <c r="W1417" s="78">
        <f t="shared" si="385"/>
        <v>388.59759999999994</v>
      </c>
      <c r="X1417" s="1878" t="str">
        <f t="shared" si="383"/>
        <v xml:space="preserve">3.- C MRF 16171010-OT_219954  Reencauche F101-00000313 </v>
      </c>
      <c r="Z1417" s="19" t="str">
        <f t="shared" ref="Z1417:Z1448" si="390">CONCATENATE(I1420,J1420)</f>
        <v>ReencaucheReencauchadora RENOVA</v>
      </c>
    </row>
    <row r="1418" spans="2:26" ht="15.2" customHeight="1">
      <c r="B1418" s="37"/>
      <c r="E1418" s="66">
        <v>4</v>
      </c>
      <c r="F1418" s="67" t="s">
        <v>732</v>
      </c>
      <c r="G1418" s="68" t="s">
        <v>737</v>
      </c>
      <c r="H1418" s="2014" t="s">
        <v>553</v>
      </c>
      <c r="I1418" s="68" t="s">
        <v>726</v>
      </c>
      <c r="J1418" s="70" t="s">
        <v>760</v>
      </c>
      <c r="K1418" s="71" t="s">
        <v>561</v>
      </c>
      <c r="L1418" s="72">
        <v>42381</v>
      </c>
      <c r="M1418" s="73" t="s">
        <v>729</v>
      </c>
      <c r="N1418" s="74">
        <v>42389</v>
      </c>
      <c r="O1418" s="75">
        <v>42389</v>
      </c>
      <c r="P1418" s="2765" t="s">
        <v>242</v>
      </c>
      <c r="Q1418" s="2954"/>
      <c r="R1418" s="76">
        <v>329.32</v>
      </c>
      <c r="S1418" s="1945" t="s">
        <v>731</v>
      </c>
      <c r="T1418" s="77"/>
      <c r="U1418" s="1893" t="s">
        <v>695</v>
      </c>
      <c r="V1418" s="2079">
        <f t="shared" si="384"/>
        <v>0</v>
      </c>
      <c r="W1418" s="78">
        <f t="shared" si="385"/>
        <v>388.59759999999994</v>
      </c>
      <c r="X1418" s="1878" t="str">
        <f t="shared" si="383"/>
        <v xml:space="preserve">4.- C Vikrant 77330721102-OT_219954  Reencauche F101-00000313 </v>
      </c>
      <c r="Z1418" s="19" t="str">
        <f t="shared" si="390"/>
        <v>ReencaucheReencauchadora RENOVA</v>
      </c>
    </row>
    <row r="1419" spans="2:26" ht="15.2" customHeight="1">
      <c r="B1419" s="37"/>
      <c r="E1419" s="66">
        <v>5</v>
      </c>
      <c r="F1419" s="67" t="s">
        <v>732</v>
      </c>
      <c r="G1419" s="68" t="s">
        <v>757</v>
      </c>
      <c r="H1419" s="2014" t="s">
        <v>554</v>
      </c>
      <c r="I1419" s="68" t="s">
        <v>726</v>
      </c>
      <c r="J1419" s="70" t="s">
        <v>760</v>
      </c>
      <c r="K1419" s="71" t="s">
        <v>561</v>
      </c>
      <c r="L1419" s="72">
        <v>42381</v>
      </c>
      <c r="M1419" s="73" t="s">
        <v>729</v>
      </c>
      <c r="N1419" s="74">
        <v>42389</v>
      </c>
      <c r="O1419" s="75">
        <v>42389</v>
      </c>
      <c r="P1419" s="2765" t="s">
        <v>242</v>
      </c>
      <c r="Q1419" s="2954"/>
      <c r="R1419" s="76">
        <v>329.32</v>
      </c>
      <c r="S1419" s="1945" t="s">
        <v>731</v>
      </c>
      <c r="T1419" s="77"/>
      <c r="U1419" s="1893" t="s">
        <v>695</v>
      </c>
      <c r="V1419" s="2079">
        <f t="shared" si="384"/>
        <v>0</v>
      </c>
      <c r="W1419" s="78">
        <f t="shared" si="385"/>
        <v>388.59759999999994</v>
      </c>
      <c r="X1419" s="1878" t="str">
        <f t="shared" si="383"/>
        <v xml:space="preserve">5.- C Goodyear DOT3906-OT_219954  Reencauche F101-00000313 </v>
      </c>
      <c r="Z1419" s="19" t="str">
        <f t="shared" si="390"/>
        <v>ReencaucheReencauchadora RENOVA</v>
      </c>
    </row>
    <row r="1420" spans="2:26" ht="15.2" customHeight="1">
      <c r="B1420" s="37"/>
      <c r="E1420" s="66">
        <v>6</v>
      </c>
      <c r="F1420" s="67" t="s">
        <v>732</v>
      </c>
      <c r="G1420" s="68" t="s">
        <v>551</v>
      </c>
      <c r="H1420" s="2014" t="s">
        <v>555</v>
      </c>
      <c r="I1420" s="68" t="s">
        <v>726</v>
      </c>
      <c r="J1420" s="70" t="s">
        <v>760</v>
      </c>
      <c r="K1420" s="71" t="s">
        <v>561</v>
      </c>
      <c r="L1420" s="72">
        <v>42381</v>
      </c>
      <c r="M1420" s="73" t="s">
        <v>729</v>
      </c>
      <c r="N1420" s="74">
        <v>42389</v>
      </c>
      <c r="O1420" s="75">
        <v>42389</v>
      </c>
      <c r="P1420" s="2765" t="s">
        <v>242</v>
      </c>
      <c r="Q1420" s="2954"/>
      <c r="R1420" s="76">
        <v>329.32</v>
      </c>
      <c r="S1420" s="1945" t="s">
        <v>731</v>
      </c>
      <c r="T1420" s="77"/>
      <c r="U1420" s="1893" t="s">
        <v>695</v>
      </c>
      <c r="V1420" s="2079">
        <f t="shared" si="384"/>
        <v>0</v>
      </c>
      <c r="W1420" s="78">
        <f t="shared" si="385"/>
        <v>388.59759999999994</v>
      </c>
      <c r="X1420" s="1878" t="str">
        <f t="shared" si="383"/>
        <v xml:space="preserve">6.- C MRF 10210903709-OT_219954  Reencauche F101-00000313 </v>
      </c>
      <c r="Z1420" s="19" t="str">
        <f t="shared" si="390"/>
        <v>ReencaucheReencauchadora RENOVA</v>
      </c>
    </row>
    <row r="1421" spans="2:26" ht="15.2" customHeight="1">
      <c r="B1421" s="37"/>
      <c r="E1421" s="66">
        <v>7</v>
      </c>
      <c r="F1421" s="67" t="s">
        <v>732</v>
      </c>
      <c r="G1421" s="68" t="s">
        <v>551</v>
      </c>
      <c r="H1421" s="2014" t="s">
        <v>557</v>
      </c>
      <c r="I1421" s="68" t="s">
        <v>726</v>
      </c>
      <c r="J1421" s="70" t="s">
        <v>760</v>
      </c>
      <c r="K1421" s="71" t="s">
        <v>561</v>
      </c>
      <c r="L1421" s="72">
        <v>42381</v>
      </c>
      <c r="M1421" s="73" t="s">
        <v>729</v>
      </c>
      <c r="N1421" s="74">
        <v>42389</v>
      </c>
      <c r="O1421" s="75">
        <v>42389</v>
      </c>
      <c r="P1421" s="2765" t="s">
        <v>242</v>
      </c>
      <c r="Q1421" s="2954"/>
      <c r="R1421" s="76">
        <v>329.32</v>
      </c>
      <c r="S1421" s="1945" t="s">
        <v>731</v>
      </c>
      <c r="T1421" s="77"/>
      <c r="U1421" s="1893" t="s">
        <v>695</v>
      </c>
      <c r="V1421" s="2079">
        <f t="shared" si="384"/>
        <v>0</v>
      </c>
      <c r="W1421" s="78">
        <f t="shared" si="385"/>
        <v>388.59759999999994</v>
      </c>
      <c r="X1421" s="1878" t="str">
        <f t="shared" si="383"/>
        <v xml:space="preserve">7.- C MRF 10256573709-OT_219954  Reencauche F101-00000313 </v>
      </c>
      <c r="Z1421" s="19" t="str">
        <f t="shared" si="390"/>
        <v>ReencaucheReencauchadora RENOVA</v>
      </c>
    </row>
    <row r="1422" spans="2:26" ht="15.2" customHeight="1">
      <c r="B1422" s="37"/>
      <c r="E1422" s="66">
        <v>8</v>
      </c>
      <c r="F1422" s="67" t="s">
        <v>732</v>
      </c>
      <c r="G1422" s="68" t="s">
        <v>551</v>
      </c>
      <c r="H1422" s="2014" t="s">
        <v>558</v>
      </c>
      <c r="I1422" s="68" t="s">
        <v>726</v>
      </c>
      <c r="J1422" s="70" t="s">
        <v>760</v>
      </c>
      <c r="K1422" s="71" t="s">
        <v>561</v>
      </c>
      <c r="L1422" s="72">
        <v>42381</v>
      </c>
      <c r="M1422" s="73" t="s">
        <v>729</v>
      </c>
      <c r="N1422" s="74">
        <v>42389</v>
      </c>
      <c r="O1422" s="75">
        <v>42389</v>
      </c>
      <c r="P1422" s="2765" t="s">
        <v>242</v>
      </c>
      <c r="Q1422" s="2954"/>
      <c r="R1422" s="76">
        <v>329.32</v>
      </c>
      <c r="S1422" s="1945" t="s">
        <v>731</v>
      </c>
      <c r="T1422" s="77"/>
      <c r="U1422" s="1893" t="s">
        <v>695</v>
      </c>
      <c r="V1422" s="2079">
        <f t="shared" si="384"/>
        <v>0</v>
      </c>
      <c r="W1422" s="78">
        <f t="shared" si="385"/>
        <v>388.59759999999994</v>
      </c>
      <c r="X1422" s="1878" t="str">
        <f t="shared" si="383"/>
        <v xml:space="preserve">8.- C MRF 458710111207-OT_219954  Reencauche F101-00000313 </v>
      </c>
      <c r="Z1422" s="19" t="str">
        <f t="shared" si="390"/>
        <v>ReencaucheReencauchadora RENOVA</v>
      </c>
    </row>
    <row r="1423" spans="2:26" ht="15.2" customHeight="1">
      <c r="B1423" s="37"/>
      <c r="E1423" s="66">
        <v>9</v>
      </c>
      <c r="F1423" s="67" t="s">
        <v>732</v>
      </c>
      <c r="G1423" s="68" t="s">
        <v>551</v>
      </c>
      <c r="H1423" s="2014" t="s">
        <v>559</v>
      </c>
      <c r="I1423" s="68" t="s">
        <v>726</v>
      </c>
      <c r="J1423" s="70" t="s">
        <v>760</v>
      </c>
      <c r="K1423" s="71" t="s">
        <v>560</v>
      </c>
      <c r="L1423" s="72">
        <v>42381</v>
      </c>
      <c r="M1423" s="73" t="s">
        <v>729</v>
      </c>
      <c r="N1423" s="74">
        <v>42389</v>
      </c>
      <c r="O1423" s="75">
        <f>+N1423</f>
        <v>42389</v>
      </c>
      <c r="P1423" s="2765" t="s">
        <v>242</v>
      </c>
      <c r="Q1423" s="2954"/>
      <c r="R1423" s="76">
        <v>329.32</v>
      </c>
      <c r="S1423" s="1945" t="s">
        <v>731</v>
      </c>
      <c r="T1423" s="77"/>
      <c r="U1423" s="1893" t="s">
        <v>695</v>
      </c>
      <c r="V1423" s="2079">
        <f t="shared" si="384"/>
        <v>0</v>
      </c>
      <c r="W1423" s="78">
        <f t="shared" si="385"/>
        <v>388.59759999999994</v>
      </c>
      <c r="X1423" s="1878" t="str">
        <f t="shared" si="383"/>
        <v xml:space="preserve">9.- C MRF 458710111208-OT_219955  Reencauche F101-00000313 </v>
      </c>
      <c r="Z1423" s="19" t="str">
        <f t="shared" si="390"/>
        <v>ReencaucheReenc. MASTERCAUCHO</v>
      </c>
    </row>
    <row r="1424" spans="2:26" ht="15.2" customHeight="1">
      <c r="B1424" s="37"/>
      <c r="E1424" s="66">
        <v>10</v>
      </c>
      <c r="F1424" s="67" t="s">
        <v>732</v>
      </c>
      <c r="G1424" s="68" t="s">
        <v>757</v>
      </c>
      <c r="H1424" s="2014" t="s">
        <v>548</v>
      </c>
      <c r="I1424" s="68" t="s">
        <v>726</v>
      </c>
      <c r="J1424" s="70" t="s">
        <v>760</v>
      </c>
      <c r="K1424" s="71" t="s">
        <v>561</v>
      </c>
      <c r="L1424" s="72">
        <v>42381</v>
      </c>
      <c r="M1424" s="73" t="s">
        <v>729</v>
      </c>
      <c r="N1424" s="74">
        <v>42389</v>
      </c>
      <c r="O1424" s="75">
        <f>+N1424</f>
        <v>42389</v>
      </c>
      <c r="P1424" s="2765" t="s">
        <v>243</v>
      </c>
      <c r="Q1424" s="2954"/>
      <c r="R1424" s="76">
        <v>0</v>
      </c>
      <c r="S1424" s="1945" t="s">
        <v>731</v>
      </c>
      <c r="T1424" s="1875" t="s">
        <v>244</v>
      </c>
      <c r="U1424" s="1893" t="s">
        <v>695</v>
      </c>
      <c r="V1424" s="2079">
        <f t="shared" si="384"/>
        <v>0</v>
      </c>
      <c r="W1424" s="78">
        <f t="shared" si="385"/>
        <v>0</v>
      </c>
      <c r="X1424" s="1878" t="str">
        <f t="shared" si="383"/>
        <v>10.- C Goodyear DOT3110-OT_219954  Reencauche G030-0054796 Rechazada, Guia 030-0054796</v>
      </c>
      <c r="Z1424" s="19" t="str">
        <f t="shared" si="390"/>
        <v>ReencaucheReenc. MASTERCAUCHO</v>
      </c>
    </row>
    <row r="1425" spans="2:26" ht="15.2" customHeight="1">
      <c r="B1425" s="37"/>
      <c r="E1425" s="79">
        <v>11</v>
      </c>
      <c r="F1425" s="80" t="s">
        <v>732</v>
      </c>
      <c r="G1425" s="81" t="s">
        <v>831</v>
      </c>
      <c r="H1425" s="2015" t="s">
        <v>556</v>
      </c>
      <c r="I1425" s="81" t="s">
        <v>726</v>
      </c>
      <c r="J1425" s="83" t="s">
        <v>760</v>
      </c>
      <c r="K1425" s="84" t="s">
        <v>561</v>
      </c>
      <c r="L1425" s="85">
        <v>42381</v>
      </c>
      <c r="M1425" s="86" t="s">
        <v>729</v>
      </c>
      <c r="N1425" s="87">
        <v>42389</v>
      </c>
      <c r="O1425" s="88">
        <f>+N1425</f>
        <v>42389</v>
      </c>
      <c r="P1425" s="2766" t="s">
        <v>243</v>
      </c>
      <c r="Q1425" s="2955"/>
      <c r="R1425" s="89">
        <v>0</v>
      </c>
      <c r="S1425" s="1946" t="s">
        <v>731</v>
      </c>
      <c r="T1425" s="1875" t="s">
        <v>244</v>
      </c>
      <c r="U1425" s="1893" t="s">
        <v>695</v>
      </c>
      <c r="V1425" s="2079">
        <f t="shared" si="384"/>
        <v>0</v>
      </c>
      <c r="W1425" s="78">
        <f t="shared" si="385"/>
        <v>0</v>
      </c>
      <c r="X1425" s="1878" t="str">
        <f t="shared" si="383"/>
        <v>11.- C Kumho HF16HA1807-OT_219954  Reencauche G030-0054796 Rechazada, Guia 030-0054796</v>
      </c>
      <c r="Z1425" s="19" t="str">
        <f t="shared" si="390"/>
        <v>ReencaucheReenc. MASTERCAUCHO</v>
      </c>
    </row>
    <row r="1426" spans="2:26" ht="15.2" customHeight="1">
      <c r="B1426" s="37"/>
      <c r="E1426" s="66">
        <v>1</v>
      </c>
      <c r="F1426" s="67" t="s">
        <v>723</v>
      </c>
      <c r="G1426" s="68" t="s">
        <v>724</v>
      </c>
      <c r="H1426" s="69" t="s">
        <v>725</v>
      </c>
      <c r="I1426" s="68" t="s">
        <v>726</v>
      </c>
      <c r="J1426" s="70" t="s">
        <v>727</v>
      </c>
      <c r="K1426" s="71" t="s">
        <v>728</v>
      </c>
      <c r="L1426" s="72">
        <v>42373</v>
      </c>
      <c r="M1426" s="73" t="s">
        <v>729</v>
      </c>
      <c r="N1426" s="74">
        <v>42380</v>
      </c>
      <c r="O1426" s="75">
        <f>+N1426</f>
        <v>42380</v>
      </c>
      <c r="P1426" s="2765" t="s">
        <v>730</v>
      </c>
      <c r="Q1426" s="2954"/>
      <c r="R1426" s="76">
        <v>262.70999999999998</v>
      </c>
      <c r="S1426" s="1945" t="s">
        <v>731</v>
      </c>
      <c r="T1426" s="77"/>
      <c r="U1426" s="1893" t="s">
        <v>694</v>
      </c>
      <c r="V1426" s="2079">
        <f t="shared" si="384"/>
        <v>0</v>
      </c>
      <c r="W1426" s="78">
        <f t="shared" si="385"/>
        <v>309.99779999999998</v>
      </c>
      <c r="X1426" s="1878" t="str">
        <f t="shared" si="383"/>
        <v xml:space="preserve">1.- R Aeolus 028912-OT_002636  Reencauche 0001-004666 </v>
      </c>
      <c r="Z1426" s="19" t="str">
        <f t="shared" si="390"/>
        <v>Transpl BandaReenc. MASTERCAUCHO</v>
      </c>
    </row>
    <row r="1427" spans="2:26" ht="15.2" customHeight="1">
      <c r="B1427" s="37"/>
      <c r="E1427" s="66">
        <v>2</v>
      </c>
      <c r="F1427" s="67" t="s">
        <v>732</v>
      </c>
      <c r="G1427" s="68" t="s">
        <v>733</v>
      </c>
      <c r="H1427" s="69" t="s">
        <v>734</v>
      </c>
      <c r="I1427" s="68" t="s">
        <v>726</v>
      </c>
      <c r="J1427" s="70" t="s">
        <v>727</v>
      </c>
      <c r="K1427" s="71" t="s">
        <v>728</v>
      </c>
      <c r="L1427" s="72">
        <v>42373</v>
      </c>
      <c r="M1427" s="73" t="s">
        <v>729</v>
      </c>
      <c r="N1427" s="74">
        <v>42380</v>
      </c>
      <c r="O1427" s="75">
        <v>42380</v>
      </c>
      <c r="P1427" s="2765" t="s">
        <v>730</v>
      </c>
      <c r="Q1427" s="2954"/>
      <c r="R1427" s="76">
        <v>254.24</v>
      </c>
      <c r="S1427" s="1945" t="s">
        <v>731</v>
      </c>
      <c r="T1427" s="77"/>
      <c r="U1427" s="1893" t="s">
        <v>693</v>
      </c>
      <c r="V1427" s="2079">
        <f t="shared" si="384"/>
        <v>0</v>
      </c>
      <c r="W1427" s="78">
        <f t="shared" si="385"/>
        <v>300.00319999999999</v>
      </c>
      <c r="X1427" s="1878" t="str">
        <f t="shared" si="383"/>
        <v xml:space="preserve">2.- C Lima Caucho 0121210-OT_002636  Reencauche 0001-004666 </v>
      </c>
      <c r="Z1427" s="19" t="str">
        <f t="shared" si="390"/>
        <v>Banda de 2ª usadaReenc. MASTERCAUCHO</v>
      </c>
    </row>
    <row r="1428" spans="2:26" ht="15.2" customHeight="1">
      <c r="B1428" s="37"/>
      <c r="E1428" s="66">
        <v>3</v>
      </c>
      <c r="F1428" s="67" t="s">
        <v>732</v>
      </c>
      <c r="G1428" s="68" t="s">
        <v>737</v>
      </c>
      <c r="H1428" s="69" t="s">
        <v>738</v>
      </c>
      <c r="I1428" s="68" t="s">
        <v>726</v>
      </c>
      <c r="J1428" s="70" t="s">
        <v>727</v>
      </c>
      <c r="K1428" s="71" t="s">
        <v>728</v>
      </c>
      <c r="L1428" s="72">
        <v>42373</v>
      </c>
      <c r="M1428" s="73" t="s">
        <v>729</v>
      </c>
      <c r="N1428" s="74">
        <v>42380</v>
      </c>
      <c r="O1428" s="75">
        <v>42380</v>
      </c>
      <c r="P1428" s="2765" t="s">
        <v>730</v>
      </c>
      <c r="Q1428" s="2954"/>
      <c r="R1428" s="76">
        <v>254.24</v>
      </c>
      <c r="S1428" s="1945" t="s">
        <v>731</v>
      </c>
      <c r="T1428" s="77"/>
      <c r="U1428" s="1893" t="s">
        <v>693</v>
      </c>
      <c r="V1428" s="2079">
        <f t="shared" si="384"/>
        <v>0</v>
      </c>
      <c r="W1428" s="78">
        <f t="shared" si="385"/>
        <v>300.00319999999999</v>
      </c>
      <c r="X1428" s="1878" t="str">
        <f t="shared" si="383"/>
        <v xml:space="preserve">3.- C Vikrant 0200712-OT_002636  Reencauche 0001-004666 </v>
      </c>
      <c r="Z1428" s="19" t="str">
        <f t="shared" si="390"/>
        <v>Sacar_BandaReenc. MASTERCAUCHO</v>
      </c>
    </row>
    <row r="1429" spans="2:26" ht="15.2" customHeight="1">
      <c r="B1429" s="37"/>
      <c r="E1429" s="66">
        <v>4</v>
      </c>
      <c r="F1429" s="67" t="s">
        <v>732</v>
      </c>
      <c r="G1429" s="90" t="s">
        <v>733</v>
      </c>
      <c r="H1429" s="91" t="s">
        <v>739</v>
      </c>
      <c r="I1429" s="90" t="s">
        <v>740</v>
      </c>
      <c r="J1429" s="92" t="s">
        <v>727</v>
      </c>
      <c r="K1429" s="71" t="s">
        <v>728</v>
      </c>
      <c r="L1429" s="72">
        <v>42373</v>
      </c>
      <c r="M1429" s="73" t="s">
        <v>729</v>
      </c>
      <c r="N1429" s="74">
        <v>42380</v>
      </c>
      <c r="O1429" s="75">
        <v>42380</v>
      </c>
      <c r="P1429" s="2765" t="s">
        <v>730</v>
      </c>
      <c r="Q1429" s="2954"/>
      <c r="R1429" s="76">
        <v>127.12</v>
      </c>
      <c r="S1429" s="1945" t="s">
        <v>731</v>
      </c>
      <c r="T1429" s="77"/>
      <c r="U1429" s="1893" t="s">
        <v>693</v>
      </c>
      <c r="V1429" s="2079">
        <f t="shared" si="384"/>
        <v>0</v>
      </c>
      <c r="W1429" s="78">
        <f t="shared" si="385"/>
        <v>150.0016</v>
      </c>
      <c r="X1429" s="1878" t="str">
        <f t="shared" si="383"/>
        <v xml:space="preserve">4.- C Lima Caucho 0610808-OT_002636  Transpl Banda 0001-004666 </v>
      </c>
      <c r="Z1429" s="19" t="str">
        <f t="shared" si="390"/>
        <v>ReencaucheReenc. MASTERCAUCHO</v>
      </c>
    </row>
    <row r="1430" spans="2:26" ht="15.2" customHeight="1">
      <c r="B1430" s="37"/>
      <c r="E1430" s="66">
        <v>5</v>
      </c>
      <c r="F1430" s="67" t="s">
        <v>732</v>
      </c>
      <c r="G1430" s="90" t="s">
        <v>733</v>
      </c>
      <c r="H1430" s="91" t="s">
        <v>741</v>
      </c>
      <c r="I1430" s="90" t="s">
        <v>742</v>
      </c>
      <c r="J1430" s="92" t="s">
        <v>727</v>
      </c>
      <c r="K1430" s="71" t="s">
        <v>728</v>
      </c>
      <c r="L1430" s="72">
        <v>42373</v>
      </c>
      <c r="M1430" s="73" t="s">
        <v>729</v>
      </c>
      <c r="N1430" s="74">
        <v>42380</v>
      </c>
      <c r="O1430" s="75">
        <v>42380</v>
      </c>
      <c r="P1430" s="2765" t="s">
        <v>730</v>
      </c>
      <c r="Q1430" s="2954"/>
      <c r="R1430" s="76">
        <v>211.86</v>
      </c>
      <c r="S1430" s="1945" t="s">
        <v>731</v>
      </c>
      <c r="T1430" s="77"/>
      <c r="U1430" s="1893" t="s">
        <v>693</v>
      </c>
      <c r="V1430" s="2079">
        <f t="shared" si="384"/>
        <v>0</v>
      </c>
      <c r="W1430" s="78">
        <f t="shared" si="385"/>
        <v>249.9948</v>
      </c>
      <c r="X1430" s="1878" t="str">
        <f t="shared" si="383"/>
        <v xml:space="preserve">5.- C Lima Caucho 0560708-OT_002636  Banda de 2ª usada 0001-004666 </v>
      </c>
      <c r="Z1430" s="19" t="str">
        <f t="shared" si="390"/>
        <v>ReencaucheReenc. MASTERCAUCHO</v>
      </c>
    </row>
    <row r="1431" spans="2:26" ht="15.2" customHeight="1">
      <c r="B1431" s="37"/>
      <c r="E1431" s="79">
        <v>6</v>
      </c>
      <c r="F1431" s="80" t="s">
        <v>732</v>
      </c>
      <c r="G1431" s="105" t="s">
        <v>737</v>
      </c>
      <c r="H1431" s="106" t="s">
        <v>743</v>
      </c>
      <c r="I1431" s="105" t="s">
        <v>744</v>
      </c>
      <c r="J1431" s="93" t="s">
        <v>727</v>
      </c>
      <c r="K1431" s="84" t="s">
        <v>728</v>
      </c>
      <c r="L1431" s="85">
        <v>42373</v>
      </c>
      <c r="M1431" s="86" t="s">
        <v>729</v>
      </c>
      <c r="N1431" s="2016">
        <v>42381</v>
      </c>
      <c r="O1431" s="2017">
        <f>+N1431</f>
        <v>42381</v>
      </c>
      <c r="P1431" s="2766"/>
      <c r="Q1431" s="2955"/>
      <c r="R1431" s="89"/>
      <c r="S1431" s="1946" t="s">
        <v>731</v>
      </c>
      <c r="T1431" s="77"/>
      <c r="U1431" s="1893" t="s">
        <v>693</v>
      </c>
      <c r="V1431" s="2079">
        <f t="shared" si="384"/>
        <v>0</v>
      </c>
      <c r="W1431" s="78">
        <f t="shared" si="385"/>
        <v>0</v>
      </c>
      <c r="X1431" s="1878" t="str">
        <f t="shared" si="383"/>
        <v xml:space="preserve">6.- C Vikrant 0811007-OT_002636  Sacar_Banda  </v>
      </c>
      <c r="Z1431" s="19" t="str">
        <f t="shared" si="390"/>
        <v>ReencaucheReenc. MASTERCAUCHO</v>
      </c>
    </row>
    <row r="1432" spans="2:26" ht="15.2" customHeight="1">
      <c r="B1432" s="37"/>
      <c r="E1432" s="66">
        <v>1</v>
      </c>
      <c r="F1432" s="67" t="s">
        <v>723</v>
      </c>
      <c r="G1432" s="68" t="s">
        <v>724</v>
      </c>
      <c r="H1432" s="69" t="s">
        <v>745</v>
      </c>
      <c r="I1432" s="68" t="s">
        <v>726</v>
      </c>
      <c r="J1432" s="70" t="s">
        <v>727</v>
      </c>
      <c r="K1432" s="71" t="s">
        <v>746</v>
      </c>
      <c r="L1432" s="72">
        <v>42359</v>
      </c>
      <c r="M1432" s="73" t="s">
        <v>729</v>
      </c>
      <c r="N1432" s="74">
        <v>42367</v>
      </c>
      <c r="O1432" s="75">
        <f>+N1432</f>
        <v>42367</v>
      </c>
      <c r="P1432" s="2765" t="s">
        <v>747</v>
      </c>
      <c r="Q1432" s="2954"/>
      <c r="R1432" s="76">
        <v>262.70999999999998</v>
      </c>
      <c r="S1432" s="1945" t="s">
        <v>731</v>
      </c>
      <c r="T1432" s="77"/>
      <c r="U1432" s="1893" t="s">
        <v>694</v>
      </c>
      <c r="V1432" s="2079">
        <f t="shared" si="384"/>
        <v>0</v>
      </c>
      <c r="W1432" s="78">
        <f t="shared" si="385"/>
        <v>309.99779999999998</v>
      </c>
      <c r="X1432" s="1878" t="str">
        <f t="shared" si="383"/>
        <v xml:space="preserve">1.- R Aeolus 0290413-OT_002536  Reencauche 0001-004593 </v>
      </c>
      <c r="Z1432" s="19" t="str">
        <f t="shared" si="390"/>
        <v>ReencaucheReenc. MASTERCAUCHO</v>
      </c>
    </row>
    <row r="1433" spans="2:26" ht="15.2" customHeight="1">
      <c r="B1433" s="37"/>
      <c r="E1433" s="66">
        <v>2</v>
      </c>
      <c r="F1433" s="67" t="s">
        <v>723</v>
      </c>
      <c r="G1433" s="68" t="s">
        <v>724</v>
      </c>
      <c r="H1433" s="69" t="s">
        <v>748</v>
      </c>
      <c r="I1433" s="68" t="s">
        <v>726</v>
      </c>
      <c r="J1433" s="70" t="s">
        <v>727</v>
      </c>
      <c r="K1433" s="71" t="s">
        <v>746</v>
      </c>
      <c r="L1433" s="72">
        <v>42359</v>
      </c>
      <c r="M1433" s="73" t="s">
        <v>729</v>
      </c>
      <c r="N1433" s="74">
        <v>42367</v>
      </c>
      <c r="O1433" s="75">
        <v>42367</v>
      </c>
      <c r="P1433" s="2765" t="s">
        <v>747</v>
      </c>
      <c r="Q1433" s="2954"/>
      <c r="R1433" s="76">
        <v>262.70999999999998</v>
      </c>
      <c r="S1433" s="1945" t="s">
        <v>731</v>
      </c>
      <c r="T1433" s="77"/>
      <c r="U1433" s="1893" t="s">
        <v>694</v>
      </c>
      <c r="V1433" s="2079">
        <f t="shared" si="384"/>
        <v>0</v>
      </c>
      <c r="W1433" s="78">
        <f t="shared" si="385"/>
        <v>309.99779999999998</v>
      </c>
      <c r="X1433" s="1878" t="str">
        <f t="shared" si="383"/>
        <v xml:space="preserve">2.- R Aeolus 00010115-OT_002536  Reencauche 0001-004593 </v>
      </c>
      <c r="Z1433" s="19" t="str">
        <f t="shared" si="390"/>
        <v>Transpl BandaReenc. MASTERCAUCHO</v>
      </c>
    </row>
    <row r="1434" spans="2:26" ht="15.2" customHeight="1">
      <c r="B1434" s="37"/>
      <c r="E1434" s="66">
        <v>3</v>
      </c>
      <c r="F1434" s="67" t="s">
        <v>723</v>
      </c>
      <c r="G1434" s="68" t="s">
        <v>724</v>
      </c>
      <c r="H1434" s="69" t="s">
        <v>749</v>
      </c>
      <c r="I1434" s="68" t="s">
        <v>726</v>
      </c>
      <c r="J1434" s="70" t="s">
        <v>727</v>
      </c>
      <c r="K1434" s="71" t="s">
        <v>746</v>
      </c>
      <c r="L1434" s="72">
        <v>42359</v>
      </c>
      <c r="M1434" s="73" t="s">
        <v>729</v>
      </c>
      <c r="N1434" s="74">
        <v>42367</v>
      </c>
      <c r="O1434" s="75">
        <v>42367</v>
      </c>
      <c r="P1434" s="2765" t="s">
        <v>747</v>
      </c>
      <c r="Q1434" s="2954"/>
      <c r="R1434" s="76">
        <v>262.70999999999998</v>
      </c>
      <c r="S1434" s="1945" t="s">
        <v>731</v>
      </c>
      <c r="T1434" s="77"/>
      <c r="U1434" s="1893" t="s">
        <v>694</v>
      </c>
      <c r="V1434" s="2079">
        <f t="shared" si="384"/>
        <v>0</v>
      </c>
      <c r="W1434" s="78">
        <f t="shared" si="385"/>
        <v>309.99779999999998</v>
      </c>
      <c r="X1434" s="1878" t="str">
        <f t="shared" si="383"/>
        <v xml:space="preserve">3.- R Aeolus 0200413-OT_002536  Reencauche 0001-004593 </v>
      </c>
      <c r="Z1434" s="19" t="str">
        <f t="shared" si="390"/>
        <v>Transpl BandaReenc. MASTERCAUCHO</v>
      </c>
    </row>
    <row r="1435" spans="2:26" ht="15.2" customHeight="1">
      <c r="B1435" s="37"/>
      <c r="E1435" s="66">
        <v>4</v>
      </c>
      <c r="F1435" s="67" t="s">
        <v>723</v>
      </c>
      <c r="G1435" s="68" t="s">
        <v>724</v>
      </c>
      <c r="H1435" s="69" t="s">
        <v>750</v>
      </c>
      <c r="I1435" s="68" t="s">
        <v>726</v>
      </c>
      <c r="J1435" s="70" t="s">
        <v>727</v>
      </c>
      <c r="K1435" s="71" t="s">
        <v>746</v>
      </c>
      <c r="L1435" s="72">
        <v>42359</v>
      </c>
      <c r="M1435" s="73" t="s">
        <v>729</v>
      </c>
      <c r="N1435" s="74">
        <v>42367</v>
      </c>
      <c r="O1435" s="75">
        <v>42367</v>
      </c>
      <c r="P1435" s="2765" t="s">
        <v>747</v>
      </c>
      <c r="Q1435" s="2954"/>
      <c r="R1435" s="76">
        <v>262.70999999999998</v>
      </c>
      <c r="S1435" s="1945" t="s">
        <v>731</v>
      </c>
      <c r="T1435" s="77"/>
      <c r="U1435" s="1893" t="s">
        <v>694</v>
      </c>
      <c r="V1435" s="2079">
        <f t="shared" si="384"/>
        <v>0</v>
      </c>
      <c r="W1435" s="78">
        <f t="shared" si="385"/>
        <v>309.99779999999998</v>
      </c>
      <c r="X1435" s="1878" t="str">
        <f t="shared" si="383"/>
        <v xml:space="preserve">4.- R Aeolus 0270912-OT_002536  Reencauche 0001-004593 </v>
      </c>
      <c r="Z1435" s="19" t="str">
        <f t="shared" si="390"/>
        <v>Transpl BandaReenc. MASTERCAUCHO</v>
      </c>
    </row>
    <row r="1436" spans="2:26" ht="15.2" customHeight="1">
      <c r="B1436" s="37"/>
      <c r="E1436" s="66">
        <v>5</v>
      </c>
      <c r="F1436" s="67" t="s">
        <v>732</v>
      </c>
      <c r="G1436" s="90" t="s">
        <v>733</v>
      </c>
      <c r="H1436" s="91" t="s">
        <v>751</v>
      </c>
      <c r="I1436" s="90" t="s">
        <v>740</v>
      </c>
      <c r="J1436" s="92" t="s">
        <v>727</v>
      </c>
      <c r="K1436" s="71" t="s">
        <v>752</v>
      </c>
      <c r="L1436" s="72">
        <v>42359</v>
      </c>
      <c r="M1436" s="73" t="s">
        <v>729</v>
      </c>
      <c r="N1436" s="74">
        <v>42367</v>
      </c>
      <c r="O1436" s="75">
        <v>42367</v>
      </c>
      <c r="P1436" s="2765" t="s">
        <v>747</v>
      </c>
      <c r="Q1436" s="2954"/>
      <c r="R1436" s="76">
        <v>127.12</v>
      </c>
      <c r="S1436" s="1945" t="s">
        <v>731</v>
      </c>
      <c r="T1436" s="77"/>
      <c r="U1436" s="1893" t="s">
        <v>693</v>
      </c>
      <c r="V1436" s="2079">
        <f t="shared" si="384"/>
        <v>0</v>
      </c>
      <c r="W1436" s="78">
        <f t="shared" si="385"/>
        <v>150.0016</v>
      </c>
      <c r="X1436" s="1878" t="str">
        <f t="shared" si="383"/>
        <v xml:space="preserve">5.- C Lima Caucho 0870908-OT_002535  Transpl Banda 0001-004593 </v>
      </c>
      <c r="Z1436" s="19" t="str">
        <f t="shared" si="390"/>
        <v>Sacar_BandaReenc. MASTERCAUCHO</v>
      </c>
    </row>
    <row r="1437" spans="2:26" ht="15.2" customHeight="1">
      <c r="B1437" s="37"/>
      <c r="E1437" s="66">
        <v>6</v>
      </c>
      <c r="F1437" s="67" t="s">
        <v>732</v>
      </c>
      <c r="G1437" s="90" t="s">
        <v>733</v>
      </c>
      <c r="H1437" s="91" t="s">
        <v>753</v>
      </c>
      <c r="I1437" s="90" t="s">
        <v>740</v>
      </c>
      <c r="J1437" s="92" t="s">
        <v>727</v>
      </c>
      <c r="K1437" s="71" t="s">
        <v>752</v>
      </c>
      <c r="L1437" s="72">
        <v>42359</v>
      </c>
      <c r="M1437" s="73" t="s">
        <v>729</v>
      </c>
      <c r="N1437" s="74">
        <v>42367</v>
      </c>
      <c r="O1437" s="75">
        <v>42367</v>
      </c>
      <c r="P1437" s="2765" t="s">
        <v>747</v>
      </c>
      <c r="Q1437" s="2954"/>
      <c r="R1437" s="76">
        <v>127.12</v>
      </c>
      <c r="S1437" s="1945" t="s">
        <v>731</v>
      </c>
      <c r="T1437" s="77"/>
      <c r="U1437" s="1893" t="s">
        <v>693</v>
      </c>
      <c r="V1437" s="2079">
        <f t="shared" si="384"/>
        <v>0</v>
      </c>
      <c r="W1437" s="78">
        <f t="shared" si="385"/>
        <v>150.0016</v>
      </c>
      <c r="X1437" s="1878" t="str">
        <f t="shared" si="383"/>
        <v xml:space="preserve">6.- C Lima Caucho 0950908-OT_002535  Transpl Banda 0001-004593 </v>
      </c>
      <c r="Z1437" s="19" t="str">
        <f t="shared" si="390"/>
        <v>Sacar_BandaReenc. MASTERCAUCHO</v>
      </c>
    </row>
    <row r="1438" spans="2:26" ht="15.2" customHeight="1">
      <c r="B1438" s="37"/>
      <c r="E1438" s="66">
        <v>7</v>
      </c>
      <c r="F1438" s="67" t="s">
        <v>732</v>
      </c>
      <c r="G1438" s="90" t="s">
        <v>737</v>
      </c>
      <c r="H1438" s="91" t="s">
        <v>754</v>
      </c>
      <c r="I1438" s="90" t="s">
        <v>740</v>
      </c>
      <c r="J1438" s="92" t="s">
        <v>727</v>
      </c>
      <c r="K1438" s="71" t="s">
        <v>752</v>
      </c>
      <c r="L1438" s="72">
        <v>42359</v>
      </c>
      <c r="M1438" s="73" t="s">
        <v>729</v>
      </c>
      <c r="N1438" s="74">
        <v>42367</v>
      </c>
      <c r="O1438" s="75">
        <v>42367</v>
      </c>
      <c r="P1438" s="2765" t="s">
        <v>747</v>
      </c>
      <c r="Q1438" s="2954"/>
      <c r="R1438" s="76">
        <v>127.12</v>
      </c>
      <c r="S1438" s="1945" t="s">
        <v>731</v>
      </c>
      <c r="T1438" s="77"/>
      <c r="U1438" s="1893" t="s">
        <v>693</v>
      </c>
      <c r="V1438" s="2079">
        <f t="shared" si="384"/>
        <v>0</v>
      </c>
      <c r="W1438" s="78">
        <f t="shared" si="385"/>
        <v>150.0016</v>
      </c>
      <c r="X1438" s="1878" t="str">
        <f t="shared" si="383"/>
        <v xml:space="preserve">7.- C Vikrant 0390510-OT_002535  Transpl Banda 0001-004593 </v>
      </c>
      <c r="Z1438" s="19" t="str">
        <f t="shared" si="390"/>
        <v>Sacar_BandaReenc. MASTERCAUCHO</v>
      </c>
    </row>
    <row r="1439" spans="2:26" ht="15.2" customHeight="1">
      <c r="B1439" s="37"/>
      <c r="E1439" s="66">
        <v>8</v>
      </c>
      <c r="F1439" s="94" t="s">
        <v>732</v>
      </c>
      <c r="G1439" s="95" t="s">
        <v>737</v>
      </c>
      <c r="H1439" s="96" t="s">
        <v>755</v>
      </c>
      <c r="I1439" s="95" t="s">
        <v>744</v>
      </c>
      <c r="J1439" s="97" t="s">
        <v>727</v>
      </c>
      <c r="K1439" s="98" t="s">
        <v>752</v>
      </c>
      <c r="L1439" s="99">
        <v>42359</v>
      </c>
      <c r="M1439" s="100" t="s">
        <v>729</v>
      </c>
      <c r="N1439" s="101">
        <v>42373</v>
      </c>
      <c r="O1439" s="102">
        <f>+N1439</f>
        <v>42373</v>
      </c>
      <c r="P1439" s="344"/>
      <c r="Q1439" s="2959"/>
      <c r="R1439" s="103">
        <v>0</v>
      </c>
      <c r="S1439" s="1945" t="s">
        <v>731</v>
      </c>
      <c r="T1439" s="77"/>
      <c r="U1439" s="1893" t="s">
        <v>693</v>
      </c>
      <c r="V1439" s="2079">
        <f t="shared" si="384"/>
        <v>0</v>
      </c>
      <c r="W1439" s="78">
        <f t="shared" si="385"/>
        <v>0</v>
      </c>
      <c r="X1439" s="1878" t="str">
        <f t="shared" si="383"/>
        <v xml:space="preserve">8.- C Vikrant 0771007-OT_002535  Sacar_Banda  </v>
      </c>
      <c r="Z1439" s="19" t="str">
        <f t="shared" si="390"/>
        <v>ReencaucheReencauchadora RENOVA</v>
      </c>
    </row>
    <row r="1440" spans="2:26" ht="15.2" customHeight="1">
      <c r="B1440" s="37"/>
      <c r="E1440" s="66">
        <v>9</v>
      </c>
      <c r="F1440" s="94" t="s">
        <v>732</v>
      </c>
      <c r="G1440" s="95" t="s">
        <v>733</v>
      </c>
      <c r="H1440" s="96" t="s">
        <v>756</v>
      </c>
      <c r="I1440" s="95" t="s">
        <v>744</v>
      </c>
      <c r="J1440" s="97" t="s">
        <v>727</v>
      </c>
      <c r="K1440" s="98" t="s">
        <v>752</v>
      </c>
      <c r="L1440" s="99">
        <v>42359</v>
      </c>
      <c r="M1440" s="100" t="s">
        <v>729</v>
      </c>
      <c r="N1440" s="101">
        <v>42373</v>
      </c>
      <c r="O1440" s="102">
        <f>+N1440</f>
        <v>42373</v>
      </c>
      <c r="P1440" s="344"/>
      <c r="Q1440" s="2959"/>
      <c r="R1440" s="103">
        <v>0</v>
      </c>
      <c r="S1440" s="1945" t="s">
        <v>731</v>
      </c>
      <c r="T1440" s="77"/>
      <c r="U1440" s="1893" t="s">
        <v>693</v>
      </c>
      <c r="V1440" s="2079">
        <f t="shared" si="384"/>
        <v>0</v>
      </c>
      <c r="W1440" s="78">
        <f t="shared" si="385"/>
        <v>0</v>
      </c>
      <c r="X1440" s="1878" t="str">
        <f t="shared" si="383"/>
        <v xml:space="preserve">9.- C Lima Caucho 1191210-OT_002535  Sacar_Banda  </v>
      </c>
      <c r="Z1440" s="19" t="str">
        <f t="shared" si="390"/>
        <v>ReencaucheReencauchadora RENOVA</v>
      </c>
    </row>
    <row r="1441" spans="2:26" ht="15.2" customHeight="1">
      <c r="B1441" s="37"/>
      <c r="E1441" s="79">
        <v>10</v>
      </c>
      <c r="F1441" s="104" t="s">
        <v>732</v>
      </c>
      <c r="G1441" s="105" t="s">
        <v>757</v>
      </c>
      <c r="H1441" s="106" t="s">
        <v>758</v>
      </c>
      <c r="I1441" s="105" t="s">
        <v>744</v>
      </c>
      <c r="J1441" s="107" t="s">
        <v>727</v>
      </c>
      <c r="K1441" s="108" t="s">
        <v>752</v>
      </c>
      <c r="L1441" s="109">
        <v>42359</v>
      </c>
      <c r="M1441" s="110" t="s">
        <v>729</v>
      </c>
      <c r="N1441" s="111">
        <v>42373</v>
      </c>
      <c r="O1441" s="112">
        <f>+N1441</f>
        <v>42373</v>
      </c>
      <c r="P1441" s="2774"/>
      <c r="Q1441" s="2965"/>
      <c r="R1441" s="113">
        <v>0</v>
      </c>
      <c r="S1441" s="1946" t="s">
        <v>731</v>
      </c>
      <c r="T1441" s="77"/>
      <c r="U1441" s="1893" t="s">
        <v>693</v>
      </c>
      <c r="V1441" s="2079">
        <f t="shared" si="384"/>
        <v>0</v>
      </c>
      <c r="W1441" s="78">
        <f t="shared" si="385"/>
        <v>0</v>
      </c>
      <c r="X1441" s="1878" t="str">
        <f t="shared" si="383"/>
        <v xml:space="preserve">10.- C Goodyear 0650404-OT_002535  Sacar_Banda  </v>
      </c>
      <c r="Z1441" s="19" t="str">
        <f t="shared" si="390"/>
        <v>ReencaucheReencauchadora RENOVA</v>
      </c>
    </row>
    <row r="1442" spans="2:26" ht="15.2" customHeight="1">
      <c r="B1442" s="37"/>
      <c r="E1442" s="66">
        <v>1</v>
      </c>
      <c r="F1442" s="67" t="s">
        <v>732</v>
      </c>
      <c r="G1442" s="68" t="s">
        <v>733</v>
      </c>
      <c r="H1442" s="69" t="s">
        <v>759</v>
      </c>
      <c r="I1442" s="68" t="s">
        <v>726</v>
      </c>
      <c r="J1442" s="70" t="s">
        <v>760</v>
      </c>
      <c r="K1442" s="71" t="s">
        <v>761</v>
      </c>
      <c r="L1442" s="72">
        <v>42357</v>
      </c>
      <c r="M1442" s="73" t="s">
        <v>729</v>
      </c>
      <c r="N1442" s="74">
        <v>42381</v>
      </c>
      <c r="O1442" s="75">
        <f>+N1442</f>
        <v>42381</v>
      </c>
      <c r="P1442" s="2765" t="s">
        <v>768</v>
      </c>
      <c r="Q1442" s="2954"/>
      <c r="R1442" s="76">
        <v>281.49</v>
      </c>
      <c r="S1442" s="1945" t="s">
        <v>731</v>
      </c>
      <c r="T1442" s="77"/>
      <c r="U1442" s="1893" t="s">
        <v>693</v>
      </c>
      <c r="V1442" s="2079">
        <f t="shared" si="384"/>
        <v>0</v>
      </c>
      <c r="W1442" s="78">
        <f t="shared" si="385"/>
        <v>332.15819999999997</v>
      </c>
      <c r="X1442" s="1878" t="str">
        <f t="shared" ref="X1442:X1505" si="391">CONCATENATE(E1442,".- ",F1442," ",G1442," ",H1442,"-OT_",K1442," "," ",I1442," ",P1442," ",T1442)</f>
        <v xml:space="preserve">1.- C Lima Caucho 0460707-OT_219314  Reencauche F101-00000135 </v>
      </c>
      <c r="Z1442" s="19" t="str">
        <f t="shared" si="390"/>
        <v>ReencaucheReencauchadora RENOVA</v>
      </c>
    </row>
    <row r="1443" spans="2:26" ht="15.2" customHeight="1">
      <c r="B1443" s="37"/>
      <c r="E1443" s="66">
        <v>2</v>
      </c>
      <c r="F1443" s="67" t="s">
        <v>732</v>
      </c>
      <c r="G1443" s="68" t="s">
        <v>769</v>
      </c>
      <c r="H1443" s="69" t="s">
        <v>770</v>
      </c>
      <c r="I1443" s="68" t="s">
        <v>726</v>
      </c>
      <c r="J1443" s="70" t="s">
        <v>760</v>
      </c>
      <c r="K1443" s="71" t="s">
        <v>761</v>
      </c>
      <c r="L1443" s="72">
        <v>42357</v>
      </c>
      <c r="M1443" s="73" t="s">
        <v>729</v>
      </c>
      <c r="N1443" s="74">
        <v>42381</v>
      </c>
      <c r="O1443" s="75">
        <v>42381</v>
      </c>
      <c r="P1443" s="2765" t="s">
        <v>768</v>
      </c>
      <c r="Q1443" s="2954"/>
      <c r="R1443" s="76">
        <v>281.49</v>
      </c>
      <c r="S1443" s="1945" t="s">
        <v>731</v>
      </c>
      <c r="T1443" s="77"/>
      <c r="U1443" s="1893" t="s">
        <v>693</v>
      </c>
      <c r="V1443" s="2079">
        <f t="shared" ref="V1443:V1506" si="392">+Q1443*(1.18)</f>
        <v>0</v>
      </c>
      <c r="W1443" s="78">
        <f t="shared" ref="W1443:W1506" si="393">+R1443*(1.18)</f>
        <v>332.15819999999997</v>
      </c>
      <c r="X1443" s="1878" t="str">
        <f t="shared" si="391"/>
        <v xml:space="preserve">2.- C Lu He 031029-OT_219314  Reencauche F101-00000135 </v>
      </c>
      <c r="Z1443" s="19" t="str">
        <f t="shared" si="390"/>
        <v>ReencaucheReencauchadora RENOVA</v>
      </c>
    </row>
    <row r="1444" spans="2:26" ht="15.2" customHeight="1">
      <c r="B1444" s="37"/>
      <c r="E1444" s="66">
        <v>3</v>
      </c>
      <c r="F1444" s="67" t="s">
        <v>732</v>
      </c>
      <c r="G1444" s="68" t="s">
        <v>733</v>
      </c>
      <c r="H1444" s="69" t="s">
        <v>771</v>
      </c>
      <c r="I1444" s="68" t="s">
        <v>726</v>
      </c>
      <c r="J1444" s="70" t="s">
        <v>760</v>
      </c>
      <c r="K1444" s="71" t="s">
        <v>761</v>
      </c>
      <c r="L1444" s="72">
        <v>42357</v>
      </c>
      <c r="M1444" s="73" t="s">
        <v>729</v>
      </c>
      <c r="N1444" s="74">
        <v>42381</v>
      </c>
      <c r="O1444" s="75">
        <v>42381</v>
      </c>
      <c r="P1444" s="2765" t="s">
        <v>768</v>
      </c>
      <c r="Q1444" s="2954"/>
      <c r="R1444" s="76">
        <v>281.49</v>
      </c>
      <c r="S1444" s="1945" t="s">
        <v>731</v>
      </c>
      <c r="T1444" s="77"/>
      <c r="U1444" s="1893" t="s">
        <v>693</v>
      </c>
      <c r="V1444" s="2079">
        <f t="shared" si="392"/>
        <v>0</v>
      </c>
      <c r="W1444" s="78">
        <f t="shared" si="393"/>
        <v>332.15819999999997</v>
      </c>
      <c r="X1444" s="1878" t="str">
        <f t="shared" si="391"/>
        <v xml:space="preserve">3.- C Lima Caucho 0471112-OT_219314  Reencauche F101-00000135 </v>
      </c>
      <c r="Z1444" s="19" t="str">
        <f t="shared" si="390"/>
        <v>ReencaucheReencauchadora RENOVA</v>
      </c>
    </row>
    <row r="1445" spans="2:26" ht="15.2" customHeight="1">
      <c r="B1445" s="37"/>
      <c r="E1445" s="66">
        <v>4</v>
      </c>
      <c r="F1445" s="67" t="s">
        <v>732</v>
      </c>
      <c r="G1445" s="68" t="s">
        <v>733</v>
      </c>
      <c r="H1445" s="69" t="s">
        <v>772</v>
      </c>
      <c r="I1445" s="68" t="s">
        <v>726</v>
      </c>
      <c r="J1445" s="70" t="s">
        <v>760</v>
      </c>
      <c r="K1445" s="71" t="s">
        <v>761</v>
      </c>
      <c r="L1445" s="72">
        <v>42357</v>
      </c>
      <c r="M1445" s="73" t="s">
        <v>729</v>
      </c>
      <c r="N1445" s="74">
        <v>42381</v>
      </c>
      <c r="O1445" s="75">
        <v>42381</v>
      </c>
      <c r="P1445" s="2765" t="s">
        <v>768</v>
      </c>
      <c r="Q1445" s="2954"/>
      <c r="R1445" s="76">
        <v>281.49</v>
      </c>
      <c r="S1445" s="1945" t="s">
        <v>731</v>
      </c>
      <c r="T1445" s="77"/>
      <c r="U1445" s="1893" t="s">
        <v>693</v>
      </c>
      <c r="V1445" s="2079">
        <f t="shared" si="392"/>
        <v>0</v>
      </c>
      <c r="W1445" s="78">
        <f t="shared" si="393"/>
        <v>332.15819999999997</v>
      </c>
      <c r="X1445" s="1878" t="str">
        <f t="shared" si="391"/>
        <v xml:space="preserve">4.- C Lima Caucho 1181210-OT_219314  Reencauche F101-00000135 </v>
      </c>
      <c r="Z1445" s="19" t="str">
        <f t="shared" si="390"/>
        <v>ReencaucheReencauchadora RENOVA</v>
      </c>
    </row>
    <row r="1446" spans="2:26" ht="15.2" customHeight="1">
      <c r="B1446" s="37"/>
      <c r="E1446" s="66">
        <v>5</v>
      </c>
      <c r="F1446" s="67" t="s">
        <v>732</v>
      </c>
      <c r="G1446" s="68" t="s">
        <v>733</v>
      </c>
      <c r="H1446" s="69" t="s">
        <v>773</v>
      </c>
      <c r="I1446" s="68" t="s">
        <v>726</v>
      </c>
      <c r="J1446" s="70" t="s">
        <v>760</v>
      </c>
      <c r="K1446" s="71" t="s">
        <v>761</v>
      </c>
      <c r="L1446" s="72">
        <v>42357</v>
      </c>
      <c r="M1446" s="73" t="s">
        <v>729</v>
      </c>
      <c r="N1446" s="74">
        <v>42381</v>
      </c>
      <c r="O1446" s="75">
        <v>42381</v>
      </c>
      <c r="P1446" s="2765" t="s">
        <v>768</v>
      </c>
      <c r="Q1446" s="2954"/>
      <c r="R1446" s="76">
        <v>281.49</v>
      </c>
      <c r="S1446" s="1945" t="s">
        <v>731</v>
      </c>
      <c r="T1446" s="77"/>
      <c r="U1446" s="1893" t="s">
        <v>693</v>
      </c>
      <c r="V1446" s="2079">
        <f t="shared" si="392"/>
        <v>0</v>
      </c>
      <c r="W1446" s="78">
        <f t="shared" si="393"/>
        <v>332.15819999999997</v>
      </c>
      <c r="X1446" s="1878" t="str">
        <f t="shared" si="391"/>
        <v xml:space="preserve">5.- C Lima Caucho 0440707-OT_219314  Reencauche F101-00000135 </v>
      </c>
      <c r="Z1446" s="19" t="str">
        <f t="shared" si="390"/>
        <v>ReencaucheReencauchadora RENOVA</v>
      </c>
    </row>
    <row r="1447" spans="2:26" ht="15.2" customHeight="1">
      <c r="B1447" s="37"/>
      <c r="E1447" s="66">
        <v>6</v>
      </c>
      <c r="F1447" s="67" t="s">
        <v>732</v>
      </c>
      <c r="G1447" s="68" t="s">
        <v>733</v>
      </c>
      <c r="H1447" s="69" t="s">
        <v>774</v>
      </c>
      <c r="I1447" s="68" t="s">
        <v>726</v>
      </c>
      <c r="J1447" s="70" t="s">
        <v>760</v>
      </c>
      <c r="K1447" s="71" t="s">
        <v>761</v>
      </c>
      <c r="L1447" s="72">
        <v>42357</v>
      </c>
      <c r="M1447" s="73" t="s">
        <v>729</v>
      </c>
      <c r="N1447" s="74">
        <v>42381</v>
      </c>
      <c r="O1447" s="75">
        <v>42381</v>
      </c>
      <c r="P1447" s="2765" t="s">
        <v>768</v>
      </c>
      <c r="Q1447" s="2954"/>
      <c r="R1447" s="76">
        <v>281.49</v>
      </c>
      <c r="S1447" s="1945" t="s">
        <v>731</v>
      </c>
      <c r="T1447" s="77"/>
      <c r="U1447" s="1893" t="s">
        <v>693</v>
      </c>
      <c r="V1447" s="2079">
        <f t="shared" si="392"/>
        <v>0</v>
      </c>
      <c r="W1447" s="78">
        <f t="shared" si="393"/>
        <v>332.15819999999997</v>
      </c>
      <c r="X1447" s="1878" t="str">
        <f t="shared" si="391"/>
        <v xml:space="preserve">6.- C Lima Caucho 0050113-OT_219314  Reencauche F101-00000135 </v>
      </c>
      <c r="Z1447" s="19" t="str">
        <f t="shared" si="390"/>
        <v>ReencaucheReencauchadora RENOVA</v>
      </c>
    </row>
    <row r="1448" spans="2:26" ht="15.2" customHeight="1">
      <c r="B1448" s="37"/>
      <c r="E1448" s="66">
        <v>7</v>
      </c>
      <c r="F1448" s="67" t="s">
        <v>732</v>
      </c>
      <c r="G1448" s="68" t="s">
        <v>737</v>
      </c>
      <c r="H1448" s="69" t="s">
        <v>775</v>
      </c>
      <c r="I1448" s="68" t="s">
        <v>726</v>
      </c>
      <c r="J1448" s="70" t="s">
        <v>760</v>
      </c>
      <c r="K1448" s="71" t="s">
        <v>761</v>
      </c>
      <c r="L1448" s="72">
        <v>42357</v>
      </c>
      <c r="M1448" s="73" t="s">
        <v>729</v>
      </c>
      <c r="N1448" s="74">
        <v>42381</v>
      </c>
      <c r="O1448" s="75">
        <v>42381</v>
      </c>
      <c r="P1448" s="2765" t="s">
        <v>768</v>
      </c>
      <c r="Q1448" s="2954"/>
      <c r="R1448" s="76">
        <v>281.49</v>
      </c>
      <c r="S1448" s="1945" t="s">
        <v>731</v>
      </c>
      <c r="T1448" s="77"/>
      <c r="U1448" s="1893" t="s">
        <v>693</v>
      </c>
      <c r="V1448" s="2079">
        <f t="shared" si="392"/>
        <v>0</v>
      </c>
      <c r="W1448" s="78">
        <f t="shared" si="393"/>
        <v>332.15819999999997</v>
      </c>
      <c r="X1448" s="1878" t="str">
        <f t="shared" si="391"/>
        <v xml:space="preserve">7.- C Vikrant 0110109-OT_219314  Reencauche F101-00000135 </v>
      </c>
      <c r="Z1448" s="19" t="str">
        <f t="shared" si="390"/>
        <v>ReencaucheReencauchadora RENOVA</v>
      </c>
    </row>
    <row r="1449" spans="2:26" ht="15.2" customHeight="1">
      <c r="B1449" s="37"/>
      <c r="E1449" s="66">
        <v>8</v>
      </c>
      <c r="F1449" s="67" t="s">
        <v>732</v>
      </c>
      <c r="G1449" s="68" t="s">
        <v>776</v>
      </c>
      <c r="H1449" s="69" t="s">
        <v>777</v>
      </c>
      <c r="I1449" s="68" t="s">
        <v>726</v>
      </c>
      <c r="J1449" s="70" t="s">
        <v>760</v>
      </c>
      <c r="K1449" s="71" t="s">
        <v>761</v>
      </c>
      <c r="L1449" s="72">
        <v>42357</v>
      </c>
      <c r="M1449" s="73" t="s">
        <v>729</v>
      </c>
      <c r="N1449" s="74">
        <v>42381</v>
      </c>
      <c r="O1449" s="75">
        <v>42381</v>
      </c>
      <c r="P1449" s="2765" t="s">
        <v>768</v>
      </c>
      <c r="Q1449" s="2954"/>
      <c r="R1449" s="76">
        <v>281.49</v>
      </c>
      <c r="S1449" s="1945" t="s">
        <v>731</v>
      </c>
      <c r="T1449" s="77"/>
      <c r="U1449" s="1893" t="s">
        <v>693</v>
      </c>
      <c r="V1449" s="2079">
        <f t="shared" si="392"/>
        <v>0</v>
      </c>
      <c r="W1449" s="78">
        <f t="shared" si="393"/>
        <v>332.15819999999997</v>
      </c>
      <c r="X1449" s="1878" t="str">
        <f t="shared" si="391"/>
        <v xml:space="preserve">8.- C Altura 0670911-OT_219314  Reencauche F101-00000135 </v>
      </c>
      <c r="Z1449" s="19" t="str">
        <f t="shared" ref="Z1449:Z1469" si="394">CONCATENATE(I1452,J1452)</f>
        <v>ReencaucheReenc. MASTERCAUCHO</v>
      </c>
    </row>
    <row r="1450" spans="2:26" ht="15.2" customHeight="1">
      <c r="B1450" s="37"/>
      <c r="E1450" s="66">
        <v>9</v>
      </c>
      <c r="F1450" s="67" t="s">
        <v>732</v>
      </c>
      <c r="G1450" s="68" t="s">
        <v>778</v>
      </c>
      <c r="H1450" s="69" t="s">
        <v>779</v>
      </c>
      <c r="I1450" s="68" t="s">
        <v>726</v>
      </c>
      <c r="J1450" s="70" t="s">
        <v>760</v>
      </c>
      <c r="K1450" s="71" t="s">
        <v>761</v>
      </c>
      <c r="L1450" s="72">
        <v>42357</v>
      </c>
      <c r="M1450" s="73" t="s">
        <v>729</v>
      </c>
      <c r="N1450" s="74">
        <v>42381</v>
      </c>
      <c r="O1450" s="75">
        <f t="shared" ref="O1450:O1463" si="395">+N1450</f>
        <v>42381</v>
      </c>
      <c r="P1450" s="2765" t="s">
        <v>780</v>
      </c>
      <c r="Q1450" s="2954"/>
      <c r="R1450" s="76">
        <v>0</v>
      </c>
      <c r="S1450" s="1945" t="s">
        <v>731</v>
      </c>
      <c r="T1450" s="1875" t="s">
        <v>781</v>
      </c>
      <c r="U1450" s="1920" t="s">
        <v>693</v>
      </c>
      <c r="V1450" s="2079">
        <f t="shared" si="392"/>
        <v>0</v>
      </c>
      <c r="W1450" s="78">
        <f t="shared" si="393"/>
        <v>0</v>
      </c>
      <c r="X1450" s="1878" t="str">
        <f t="shared" si="391"/>
        <v>9.- C Riverstone 1490904-OT_219314  Reencauche G030-0054623 Rechazada, Guia 030-0054623</v>
      </c>
      <c r="Z1450" s="19" t="str">
        <f t="shared" si="394"/>
        <v>ReencaucheReenc. MASTERCAUCHO</v>
      </c>
    </row>
    <row r="1451" spans="2:26" ht="15.2" customHeight="1">
      <c r="B1451" s="37"/>
      <c r="E1451" s="79">
        <v>10</v>
      </c>
      <c r="F1451" s="3150" t="s">
        <v>732</v>
      </c>
      <c r="G1451" s="3142" t="s">
        <v>733</v>
      </c>
      <c r="H1451" s="3136" t="s">
        <v>782</v>
      </c>
      <c r="I1451" s="2576" t="s">
        <v>726</v>
      </c>
      <c r="J1451" s="2578" t="s">
        <v>760</v>
      </c>
      <c r="K1451" s="2579" t="s">
        <v>761</v>
      </c>
      <c r="L1451" s="2580">
        <v>42357</v>
      </c>
      <c r="M1451" s="3132" t="s">
        <v>729</v>
      </c>
      <c r="N1451" s="3138">
        <v>42389</v>
      </c>
      <c r="O1451" s="2583">
        <v>42389</v>
      </c>
      <c r="P1451" s="2941" t="s">
        <v>242</v>
      </c>
      <c r="Q1451" s="2957"/>
      <c r="R1451" s="2584">
        <v>281.49</v>
      </c>
      <c r="S1451" s="3140" t="s">
        <v>731</v>
      </c>
      <c r="T1451" s="77"/>
      <c r="U1451" s="1893" t="s">
        <v>693</v>
      </c>
      <c r="V1451" s="2079">
        <f t="shared" si="392"/>
        <v>0</v>
      </c>
      <c r="W1451" s="78">
        <f t="shared" si="393"/>
        <v>332.15819999999997</v>
      </c>
      <c r="X1451" s="1878" t="str">
        <f t="shared" si="391"/>
        <v xml:space="preserve">10.- C Lima Caucho 1011210-OT_219314  Reencauche F101-00000313 </v>
      </c>
      <c r="Z1451" s="19" t="str">
        <f t="shared" si="394"/>
        <v>Transpl BandaReenc. MASTERCAUCHO</v>
      </c>
    </row>
    <row r="1452" spans="2:26" ht="15.2" customHeight="1">
      <c r="B1452" s="37"/>
      <c r="E1452" s="66">
        <v>1</v>
      </c>
      <c r="F1452" s="67" t="s">
        <v>732</v>
      </c>
      <c r="G1452" s="68" t="s">
        <v>737</v>
      </c>
      <c r="H1452" s="69" t="s">
        <v>783</v>
      </c>
      <c r="I1452" s="68" t="s">
        <v>726</v>
      </c>
      <c r="J1452" s="70" t="s">
        <v>727</v>
      </c>
      <c r="K1452" s="71" t="s">
        <v>784</v>
      </c>
      <c r="L1452" s="72">
        <v>42348</v>
      </c>
      <c r="M1452" s="73" t="s">
        <v>729</v>
      </c>
      <c r="N1452" s="74">
        <v>42359</v>
      </c>
      <c r="O1452" s="75">
        <f t="shared" si="395"/>
        <v>42359</v>
      </c>
      <c r="P1452" s="2765" t="s">
        <v>785</v>
      </c>
      <c r="Q1452" s="2954"/>
      <c r="R1452" s="76">
        <v>254.238</v>
      </c>
      <c r="S1452" s="1945" t="s">
        <v>731</v>
      </c>
      <c r="T1452" s="77"/>
      <c r="U1452" s="1893" t="s">
        <v>693</v>
      </c>
      <c r="V1452" s="2079">
        <f t="shared" si="392"/>
        <v>0</v>
      </c>
      <c r="W1452" s="78">
        <f t="shared" si="393"/>
        <v>300.00083999999998</v>
      </c>
      <c r="X1452" s="1878" t="str">
        <f t="shared" si="391"/>
        <v xml:space="preserve">1.- C Vikrant 0350410-OT_002608  Reencauche 0001-004559 </v>
      </c>
      <c r="Z1452" s="19" t="str">
        <f t="shared" si="394"/>
        <v>Transpl BandaReenc. MASTERCAUCHO</v>
      </c>
    </row>
    <row r="1453" spans="2:26" ht="15.2" customHeight="1">
      <c r="B1453" s="37"/>
      <c r="E1453" s="66">
        <v>2</v>
      </c>
      <c r="F1453" s="67" t="s">
        <v>732</v>
      </c>
      <c r="G1453" s="68" t="s">
        <v>737</v>
      </c>
      <c r="H1453" s="69" t="s">
        <v>786</v>
      </c>
      <c r="I1453" s="68" t="s">
        <v>726</v>
      </c>
      <c r="J1453" s="70" t="s">
        <v>727</v>
      </c>
      <c r="K1453" s="71" t="s">
        <v>784</v>
      </c>
      <c r="L1453" s="72">
        <v>42348</v>
      </c>
      <c r="M1453" s="73" t="s">
        <v>729</v>
      </c>
      <c r="N1453" s="74">
        <v>42359</v>
      </c>
      <c r="O1453" s="75">
        <f t="shared" si="395"/>
        <v>42359</v>
      </c>
      <c r="P1453" s="2765" t="s">
        <v>785</v>
      </c>
      <c r="Q1453" s="2954"/>
      <c r="R1453" s="76">
        <v>254.238</v>
      </c>
      <c r="S1453" s="1945" t="s">
        <v>731</v>
      </c>
      <c r="T1453" s="77"/>
      <c r="U1453" s="1893" t="s">
        <v>693</v>
      </c>
      <c r="V1453" s="2079">
        <f t="shared" si="392"/>
        <v>0</v>
      </c>
      <c r="W1453" s="78">
        <f t="shared" si="393"/>
        <v>300.00083999999998</v>
      </c>
      <c r="X1453" s="1878" t="str">
        <f t="shared" si="391"/>
        <v xml:space="preserve">2.- C Vikrant 0210310-OT_002608  Reencauche 0001-004559 </v>
      </c>
      <c r="Z1453" s="19" t="str">
        <f t="shared" si="394"/>
        <v>Sacar_BandaReenc. MASTERCAUCHO</v>
      </c>
    </row>
    <row r="1454" spans="2:26" ht="15.2" customHeight="1">
      <c r="B1454" s="37"/>
      <c r="E1454" s="66">
        <v>3</v>
      </c>
      <c r="F1454" s="67" t="s">
        <v>732</v>
      </c>
      <c r="G1454" s="90" t="s">
        <v>737</v>
      </c>
      <c r="H1454" s="91" t="s">
        <v>787</v>
      </c>
      <c r="I1454" s="90" t="s">
        <v>740</v>
      </c>
      <c r="J1454" s="92" t="s">
        <v>727</v>
      </c>
      <c r="K1454" s="71" t="s">
        <v>784</v>
      </c>
      <c r="L1454" s="72">
        <v>42348</v>
      </c>
      <c r="M1454" s="73" t="s">
        <v>729</v>
      </c>
      <c r="N1454" s="74">
        <v>42359</v>
      </c>
      <c r="O1454" s="75">
        <f t="shared" si="395"/>
        <v>42359</v>
      </c>
      <c r="P1454" s="2765" t="s">
        <v>785</v>
      </c>
      <c r="Q1454" s="2954"/>
      <c r="R1454" s="76">
        <v>127.12</v>
      </c>
      <c r="S1454" s="1945" t="s">
        <v>731</v>
      </c>
      <c r="T1454" s="77"/>
      <c r="U1454" s="1893" t="s">
        <v>693</v>
      </c>
      <c r="V1454" s="2079">
        <f t="shared" si="392"/>
        <v>0</v>
      </c>
      <c r="W1454" s="78">
        <f t="shared" si="393"/>
        <v>150.0016</v>
      </c>
      <c r="X1454" s="1878" t="str">
        <f t="shared" si="391"/>
        <v xml:space="preserve">3.- C Vikrant 0801007-OT_002608  Transpl Banda 0001-004559 </v>
      </c>
      <c r="Z1454" s="19" t="str">
        <f t="shared" si="394"/>
        <v>Sacar_BandaReenc. MASTERCAUCHO</v>
      </c>
    </row>
    <row r="1455" spans="2:26" ht="15.2" customHeight="1">
      <c r="B1455" s="37"/>
      <c r="E1455" s="66">
        <v>4</v>
      </c>
      <c r="F1455" s="67" t="s">
        <v>732</v>
      </c>
      <c r="G1455" s="90" t="s">
        <v>733</v>
      </c>
      <c r="H1455" s="91" t="s">
        <v>788</v>
      </c>
      <c r="I1455" s="90" t="s">
        <v>740</v>
      </c>
      <c r="J1455" s="92" t="s">
        <v>727</v>
      </c>
      <c r="K1455" s="71" t="s">
        <v>784</v>
      </c>
      <c r="L1455" s="72">
        <v>42348</v>
      </c>
      <c r="M1455" s="73" t="s">
        <v>729</v>
      </c>
      <c r="N1455" s="74">
        <v>42359</v>
      </c>
      <c r="O1455" s="75">
        <f t="shared" si="395"/>
        <v>42359</v>
      </c>
      <c r="P1455" s="2765" t="s">
        <v>785</v>
      </c>
      <c r="Q1455" s="2954"/>
      <c r="R1455" s="76">
        <v>127.12</v>
      </c>
      <c r="S1455" s="1945" t="s">
        <v>731</v>
      </c>
      <c r="T1455" s="77"/>
      <c r="U1455" s="1893" t="s">
        <v>693</v>
      </c>
      <c r="V1455" s="2079">
        <f t="shared" si="392"/>
        <v>0</v>
      </c>
      <c r="W1455" s="78">
        <f t="shared" si="393"/>
        <v>150.0016</v>
      </c>
      <c r="X1455" s="1878" t="str">
        <f t="shared" si="391"/>
        <v xml:space="preserve">4.- C Lima Caucho 0370707-OT_002608  Transpl Banda 0001-004559 </v>
      </c>
      <c r="Z1455" s="19" t="str">
        <f t="shared" si="394"/>
        <v>ReencaucheReencauchadora RENOVA</v>
      </c>
    </row>
    <row r="1456" spans="2:26" ht="15.2" customHeight="1">
      <c r="B1456" s="37"/>
      <c r="E1456" s="66">
        <v>5</v>
      </c>
      <c r="F1456" s="67" t="s">
        <v>732</v>
      </c>
      <c r="G1456" s="90" t="s">
        <v>733</v>
      </c>
      <c r="H1456" s="91" t="s">
        <v>789</v>
      </c>
      <c r="I1456" s="90" t="s">
        <v>744</v>
      </c>
      <c r="J1456" s="92" t="s">
        <v>727</v>
      </c>
      <c r="K1456" s="71" t="s">
        <v>784</v>
      </c>
      <c r="L1456" s="72">
        <v>42348</v>
      </c>
      <c r="M1456" s="73" t="s">
        <v>729</v>
      </c>
      <c r="N1456" s="74">
        <v>42359</v>
      </c>
      <c r="O1456" s="75">
        <f t="shared" si="395"/>
        <v>42359</v>
      </c>
      <c r="P1456" s="2765"/>
      <c r="Q1456" s="2954"/>
      <c r="R1456" s="76">
        <v>0</v>
      </c>
      <c r="S1456" s="1945" t="s">
        <v>731</v>
      </c>
      <c r="T1456" s="77"/>
      <c r="U1456" s="1893" t="s">
        <v>693</v>
      </c>
      <c r="V1456" s="2079">
        <f t="shared" si="392"/>
        <v>0</v>
      </c>
      <c r="W1456" s="78">
        <f t="shared" si="393"/>
        <v>0</v>
      </c>
      <c r="X1456" s="1878" t="str">
        <f t="shared" si="391"/>
        <v xml:space="preserve">5.- C Lima Caucho 00120108-OT_002608  Sacar_Banda  </v>
      </c>
      <c r="Z1456" s="19" t="str">
        <f t="shared" si="394"/>
        <v>ReencaucheReencauchadora RENOVA</v>
      </c>
    </row>
    <row r="1457" spans="2:26" ht="15.2" customHeight="1">
      <c r="B1457" s="37"/>
      <c r="E1457" s="79">
        <v>6</v>
      </c>
      <c r="F1457" s="80" t="s">
        <v>732</v>
      </c>
      <c r="G1457" s="114" t="s">
        <v>733</v>
      </c>
      <c r="H1457" s="115" t="s">
        <v>790</v>
      </c>
      <c r="I1457" s="114" t="s">
        <v>744</v>
      </c>
      <c r="J1457" s="93" t="s">
        <v>727</v>
      </c>
      <c r="K1457" s="84" t="s">
        <v>784</v>
      </c>
      <c r="L1457" s="85">
        <v>42348</v>
      </c>
      <c r="M1457" s="86" t="s">
        <v>729</v>
      </c>
      <c r="N1457" s="87">
        <v>42359</v>
      </c>
      <c r="O1457" s="88">
        <f t="shared" si="395"/>
        <v>42359</v>
      </c>
      <c r="P1457" s="2766"/>
      <c r="Q1457" s="2955"/>
      <c r="R1457" s="89">
        <v>0</v>
      </c>
      <c r="S1457" s="1946" t="s">
        <v>731</v>
      </c>
      <c r="T1457" s="77"/>
      <c r="U1457" s="1893" t="s">
        <v>693</v>
      </c>
      <c r="V1457" s="2079">
        <f t="shared" si="392"/>
        <v>0</v>
      </c>
      <c r="W1457" s="78">
        <f t="shared" si="393"/>
        <v>0</v>
      </c>
      <c r="X1457" s="1878" t="str">
        <f t="shared" si="391"/>
        <v xml:space="preserve">6.- C Lima Caucho 1011107-OT_002608  Sacar_Banda  </v>
      </c>
      <c r="Z1457" s="19" t="str">
        <f t="shared" si="394"/>
        <v>ReencaucheReencauchadora RENOVA</v>
      </c>
    </row>
    <row r="1458" spans="2:26" ht="15.2" customHeight="1">
      <c r="B1458" s="37"/>
      <c r="E1458" s="66">
        <v>1</v>
      </c>
      <c r="F1458" s="67" t="s">
        <v>732</v>
      </c>
      <c r="G1458" s="68" t="s">
        <v>737</v>
      </c>
      <c r="H1458" s="69" t="s">
        <v>791</v>
      </c>
      <c r="I1458" s="68" t="s">
        <v>726</v>
      </c>
      <c r="J1458" s="70" t="s">
        <v>760</v>
      </c>
      <c r="K1458" s="71" t="s">
        <v>792</v>
      </c>
      <c r="L1458" s="72">
        <v>42348</v>
      </c>
      <c r="M1458" s="73" t="s">
        <v>729</v>
      </c>
      <c r="N1458" s="74">
        <v>42357</v>
      </c>
      <c r="O1458" s="75">
        <f t="shared" si="395"/>
        <v>42357</v>
      </c>
      <c r="P1458" s="2765" t="s">
        <v>793</v>
      </c>
      <c r="Q1458" s="2954"/>
      <c r="R1458" s="76">
        <v>281.49</v>
      </c>
      <c r="S1458" s="1945" t="s">
        <v>731</v>
      </c>
      <c r="T1458" s="77"/>
      <c r="U1458" s="1893" t="s">
        <v>693</v>
      </c>
      <c r="V1458" s="2079">
        <f t="shared" si="392"/>
        <v>0</v>
      </c>
      <c r="W1458" s="78">
        <f t="shared" si="393"/>
        <v>332.15819999999997</v>
      </c>
      <c r="X1458" s="1878" t="str">
        <f t="shared" si="391"/>
        <v xml:space="preserve">1.- C Vikrant 0580709-OT_218737  Reencauche 0030-0044857 </v>
      </c>
      <c r="Z1458" s="19" t="str">
        <f t="shared" si="394"/>
        <v>ReencaucheReencauchadora RENOVA</v>
      </c>
    </row>
    <row r="1459" spans="2:26" ht="15.2" customHeight="1">
      <c r="B1459" s="37"/>
      <c r="E1459" s="66">
        <v>2</v>
      </c>
      <c r="F1459" s="67" t="s">
        <v>732</v>
      </c>
      <c r="G1459" s="68" t="s">
        <v>737</v>
      </c>
      <c r="H1459" s="69" t="s">
        <v>794</v>
      </c>
      <c r="I1459" s="68" t="s">
        <v>726</v>
      </c>
      <c r="J1459" s="70" t="s">
        <v>760</v>
      </c>
      <c r="K1459" s="71" t="s">
        <v>792</v>
      </c>
      <c r="L1459" s="72">
        <v>42348</v>
      </c>
      <c r="M1459" s="73" t="s">
        <v>729</v>
      </c>
      <c r="N1459" s="74">
        <v>42357</v>
      </c>
      <c r="O1459" s="75">
        <f t="shared" si="395"/>
        <v>42357</v>
      </c>
      <c r="P1459" s="2765" t="s">
        <v>793</v>
      </c>
      <c r="Q1459" s="2954"/>
      <c r="R1459" s="76">
        <v>281.49</v>
      </c>
      <c r="S1459" s="1945" t="s">
        <v>731</v>
      </c>
      <c r="T1459" s="77"/>
      <c r="U1459" s="1893" t="s">
        <v>693</v>
      </c>
      <c r="V1459" s="2079">
        <f t="shared" si="392"/>
        <v>0</v>
      </c>
      <c r="W1459" s="78">
        <f t="shared" si="393"/>
        <v>332.15819999999997</v>
      </c>
      <c r="X1459" s="1878" t="str">
        <f t="shared" si="391"/>
        <v xml:space="preserve">2.- C Vikrant 0570709-OT_218737  Reencauche 0030-0044857 </v>
      </c>
      <c r="Z1459" s="19" t="str">
        <f t="shared" si="394"/>
        <v>ReencaucheReencauchadora RENOVA</v>
      </c>
    </row>
    <row r="1460" spans="2:26" ht="15.2" customHeight="1">
      <c r="B1460" s="37"/>
      <c r="E1460" s="66">
        <v>3</v>
      </c>
      <c r="F1460" s="67" t="s">
        <v>732</v>
      </c>
      <c r="G1460" s="68" t="s">
        <v>733</v>
      </c>
      <c r="H1460" s="69" t="s">
        <v>795</v>
      </c>
      <c r="I1460" s="68" t="s">
        <v>726</v>
      </c>
      <c r="J1460" s="70" t="s">
        <v>760</v>
      </c>
      <c r="K1460" s="71" t="s">
        <v>792</v>
      </c>
      <c r="L1460" s="72">
        <v>42348</v>
      </c>
      <c r="M1460" s="73" t="s">
        <v>729</v>
      </c>
      <c r="N1460" s="74">
        <v>42357</v>
      </c>
      <c r="O1460" s="75">
        <f t="shared" si="395"/>
        <v>42357</v>
      </c>
      <c r="P1460" s="2765" t="s">
        <v>793</v>
      </c>
      <c r="Q1460" s="2954"/>
      <c r="R1460" s="76">
        <v>281.49</v>
      </c>
      <c r="S1460" s="1945" t="s">
        <v>731</v>
      </c>
      <c r="T1460" s="77"/>
      <c r="U1460" s="1893" t="s">
        <v>693</v>
      </c>
      <c r="V1460" s="2079">
        <f t="shared" si="392"/>
        <v>0</v>
      </c>
      <c r="W1460" s="78">
        <f t="shared" si="393"/>
        <v>332.15819999999997</v>
      </c>
      <c r="X1460" s="1878" t="str">
        <f t="shared" si="391"/>
        <v xml:space="preserve">3.- C Lima Caucho 0981210-OT_218737  Reencauche 0030-0044857 </v>
      </c>
      <c r="Z1460" s="19" t="str">
        <f t="shared" si="394"/>
        <v>ReencaucheReencauchadora RENOVA</v>
      </c>
    </row>
    <row r="1461" spans="2:26" ht="15.2" customHeight="1">
      <c r="B1461" s="37"/>
      <c r="E1461" s="66">
        <v>4</v>
      </c>
      <c r="F1461" s="67" t="s">
        <v>732</v>
      </c>
      <c r="G1461" s="68" t="s">
        <v>733</v>
      </c>
      <c r="H1461" s="69" t="s">
        <v>796</v>
      </c>
      <c r="I1461" s="68" t="s">
        <v>726</v>
      </c>
      <c r="J1461" s="70" t="s">
        <v>760</v>
      </c>
      <c r="K1461" s="71" t="s">
        <v>792</v>
      </c>
      <c r="L1461" s="72">
        <v>42348</v>
      </c>
      <c r="M1461" s="73" t="s">
        <v>729</v>
      </c>
      <c r="N1461" s="74">
        <v>42357</v>
      </c>
      <c r="O1461" s="75">
        <f t="shared" si="395"/>
        <v>42357</v>
      </c>
      <c r="P1461" s="2765" t="s">
        <v>793</v>
      </c>
      <c r="Q1461" s="2954"/>
      <c r="R1461" s="76">
        <v>281.49</v>
      </c>
      <c r="S1461" s="1945" t="s">
        <v>731</v>
      </c>
      <c r="T1461" s="77"/>
      <c r="U1461" s="1893" t="s">
        <v>693</v>
      </c>
      <c r="V1461" s="2079">
        <f t="shared" si="392"/>
        <v>0</v>
      </c>
      <c r="W1461" s="78">
        <f t="shared" si="393"/>
        <v>332.15819999999997</v>
      </c>
      <c r="X1461" s="1878" t="str">
        <f t="shared" si="391"/>
        <v xml:space="preserve">4.- C Lima Caucho 0810910-OT_218737  Reencauche 0030-0044857 </v>
      </c>
      <c r="Z1461" s="19" t="str">
        <f t="shared" si="394"/>
        <v>ReencaucheReencauchadora RENOVA</v>
      </c>
    </row>
    <row r="1462" spans="2:26" ht="15.2" customHeight="1">
      <c r="B1462" s="37"/>
      <c r="E1462" s="66">
        <v>5</v>
      </c>
      <c r="F1462" s="67" t="s">
        <v>732</v>
      </c>
      <c r="G1462" s="68" t="s">
        <v>733</v>
      </c>
      <c r="H1462" s="69" t="s">
        <v>797</v>
      </c>
      <c r="I1462" s="68" t="s">
        <v>726</v>
      </c>
      <c r="J1462" s="70" t="s">
        <v>760</v>
      </c>
      <c r="K1462" s="71" t="s">
        <v>798</v>
      </c>
      <c r="L1462" s="72">
        <v>42348</v>
      </c>
      <c r="M1462" s="73" t="s">
        <v>729</v>
      </c>
      <c r="N1462" s="74">
        <v>42357</v>
      </c>
      <c r="O1462" s="75">
        <f t="shared" si="395"/>
        <v>42357</v>
      </c>
      <c r="P1462" s="2765" t="s">
        <v>793</v>
      </c>
      <c r="Q1462" s="2954"/>
      <c r="R1462" s="76">
        <v>281.49</v>
      </c>
      <c r="S1462" s="1945" t="s">
        <v>731</v>
      </c>
      <c r="T1462" s="77"/>
      <c r="U1462" s="1893" t="s">
        <v>693</v>
      </c>
      <c r="V1462" s="2079">
        <f t="shared" si="392"/>
        <v>0</v>
      </c>
      <c r="W1462" s="78">
        <f t="shared" si="393"/>
        <v>332.15819999999997</v>
      </c>
      <c r="X1462" s="1878" t="str">
        <f t="shared" si="391"/>
        <v xml:space="preserve">5.- C Lima Caucho 0840910-OT_218738  Reencauche 0030-0044857 </v>
      </c>
      <c r="Z1462" s="19" t="str">
        <f t="shared" si="394"/>
        <v>ReencaucheReencauchadora RENOVA</v>
      </c>
    </row>
    <row r="1463" spans="2:26" ht="15.2" customHeight="1">
      <c r="B1463" s="37"/>
      <c r="E1463" s="66">
        <v>6</v>
      </c>
      <c r="F1463" s="67" t="s">
        <v>732</v>
      </c>
      <c r="G1463" s="68" t="s">
        <v>733</v>
      </c>
      <c r="H1463" s="69" t="s">
        <v>799</v>
      </c>
      <c r="I1463" s="68" t="s">
        <v>726</v>
      </c>
      <c r="J1463" s="70" t="s">
        <v>760</v>
      </c>
      <c r="K1463" s="71" t="s">
        <v>798</v>
      </c>
      <c r="L1463" s="72">
        <v>42348</v>
      </c>
      <c r="M1463" s="73" t="s">
        <v>729</v>
      </c>
      <c r="N1463" s="74">
        <v>42357</v>
      </c>
      <c r="O1463" s="75">
        <f t="shared" si="395"/>
        <v>42357</v>
      </c>
      <c r="P1463" s="2765" t="s">
        <v>793</v>
      </c>
      <c r="Q1463" s="2954"/>
      <c r="R1463" s="76">
        <v>281.49</v>
      </c>
      <c r="S1463" s="1945" t="s">
        <v>731</v>
      </c>
      <c r="T1463" s="77"/>
      <c r="U1463" s="1893" t="s">
        <v>693</v>
      </c>
      <c r="V1463" s="2079">
        <f t="shared" si="392"/>
        <v>0</v>
      </c>
      <c r="W1463" s="78">
        <f t="shared" si="393"/>
        <v>332.15819999999997</v>
      </c>
      <c r="X1463" s="1878" t="str">
        <f t="shared" si="391"/>
        <v xml:space="preserve">6.- C Lima Caucho 0740908-OT_218738  Reencauche 0030-0044857 </v>
      </c>
      <c r="Z1463" s="19" t="str">
        <f t="shared" si="394"/>
        <v>ReencaucheReencauchadora RENOVA</v>
      </c>
    </row>
    <row r="1464" spans="2:26" ht="15.2" customHeight="1">
      <c r="B1464" s="37"/>
      <c r="E1464" s="66">
        <v>7</v>
      </c>
      <c r="F1464" s="67" t="s">
        <v>732</v>
      </c>
      <c r="G1464" s="68" t="s">
        <v>737</v>
      </c>
      <c r="H1464" s="69" t="s">
        <v>800</v>
      </c>
      <c r="I1464" s="68" t="s">
        <v>726</v>
      </c>
      <c r="J1464" s="70" t="s">
        <v>760</v>
      </c>
      <c r="K1464" s="71" t="s">
        <v>798</v>
      </c>
      <c r="L1464" s="72">
        <v>42348</v>
      </c>
      <c r="M1464" s="73" t="s">
        <v>729</v>
      </c>
      <c r="N1464" s="74">
        <v>42357</v>
      </c>
      <c r="O1464" s="75">
        <v>42357</v>
      </c>
      <c r="P1464" s="2765" t="s">
        <v>793</v>
      </c>
      <c r="Q1464" s="2954"/>
      <c r="R1464" s="76">
        <v>281.49</v>
      </c>
      <c r="S1464" s="1945" t="s">
        <v>731</v>
      </c>
      <c r="T1464" s="77"/>
      <c r="U1464" s="1893" t="s">
        <v>693</v>
      </c>
      <c r="V1464" s="2079">
        <f t="shared" si="392"/>
        <v>0</v>
      </c>
      <c r="W1464" s="78">
        <f t="shared" si="393"/>
        <v>332.15819999999997</v>
      </c>
      <c r="X1464" s="1878" t="str">
        <f t="shared" si="391"/>
        <v xml:space="preserve">7.- C Vikrant 0450411-OT_218738  Reencauche 0030-0044857 </v>
      </c>
      <c r="Z1464" s="19" t="str">
        <f t="shared" si="394"/>
        <v>ReencaucheReencauchadora RENOVA</v>
      </c>
    </row>
    <row r="1465" spans="2:26" ht="15.2" customHeight="1">
      <c r="B1465" s="37"/>
      <c r="E1465" s="66">
        <v>8</v>
      </c>
      <c r="F1465" s="67" t="s">
        <v>732</v>
      </c>
      <c r="G1465" s="68" t="s">
        <v>737</v>
      </c>
      <c r="H1465" s="69" t="s">
        <v>801</v>
      </c>
      <c r="I1465" s="68" t="s">
        <v>726</v>
      </c>
      <c r="J1465" s="70" t="s">
        <v>760</v>
      </c>
      <c r="K1465" s="71" t="s">
        <v>792</v>
      </c>
      <c r="L1465" s="72">
        <v>42348</v>
      </c>
      <c r="M1465" s="73" t="s">
        <v>729</v>
      </c>
      <c r="N1465" s="74">
        <v>42357</v>
      </c>
      <c r="O1465" s="75">
        <f t="shared" ref="O1465:O1474" si="396">+N1465</f>
        <v>42357</v>
      </c>
      <c r="P1465" s="2765"/>
      <c r="Q1465" s="2954"/>
      <c r="R1465" s="76">
        <v>0</v>
      </c>
      <c r="S1465" s="1945" t="s">
        <v>731</v>
      </c>
      <c r="T1465" s="1875" t="s">
        <v>802</v>
      </c>
      <c r="U1465" s="1920" t="s">
        <v>693</v>
      </c>
      <c r="V1465" s="2079">
        <f t="shared" si="392"/>
        <v>0</v>
      </c>
      <c r="W1465" s="78">
        <f t="shared" si="393"/>
        <v>0</v>
      </c>
      <c r="X1465" s="1878" t="str">
        <f t="shared" si="391"/>
        <v>8.- C Vikrant 0260712-OT_218737  Reencauche  Rechazada, Guia 030-00????</v>
      </c>
      <c r="Z1465" s="19" t="str">
        <f t="shared" si="394"/>
        <v>ReencaucheReencauchadora RENOVA</v>
      </c>
    </row>
    <row r="1466" spans="2:26" ht="15.2" customHeight="1">
      <c r="B1466" s="37"/>
      <c r="E1466" s="66">
        <v>9</v>
      </c>
      <c r="F1466" s="67" t="s">
        <v>732</v>
      </c>
      <c r="G1466" s="68" t="s">
        <v>737</v>
      </c>
      <c r="H1466" s="69" t="s">
        <v>754</v>
      </c>
      <c r="I1466" s="68" t="s">
        <v>726</v>
      </c>
      <c r="J1466" s="70" t="s">
        <v>760</v>
      </c>
      <c r="K1466" s="71" t="s">
        <v>792</v>
      </c>
      <c r="L1466" s="72">
        <v>42348</v>
      </c>
      <c r="M1466" s="73" t="s">
        <v>729</v>
      </c>
      <c r="N1466" s="74">
        <v>42357</v>
      </c>
      <c r="O1466" s="75">
        <f t="shared" si="396"/>
        <v>42357</v>
      </c>
      <c r="P1466" s="2765"/>
      <c r="Q1466" s="2954"/>
      <c r="R1466" s="76">
        <v>0</v>
      </c>
      <c r="S1466" s="1945" t="s">
        <v>731</v>
      </c>
      <c r="T1466" s="1875" t="s">
        <v>802</v>
      </c>
      <c r="U1466" s="1920" t="s">
        <v>693</v>
      </c>
      <c r="V1466" s="2079">
        <f t="shared" si="392"/>
        <v>0</v>
      </c>
      <c r="W1466" s="78">
        <f t="shared" si="393"/>
        <v>0</v>
      </c>
      <c r="X1466" s="1878" t="str">
        <f t="shared" si="391"/>
        <v>9.- C Vikrant 0390510-OT_218737  Reencauche  Rechazada, Guia 030-00????</v>
      </c>
      <c r="Z1466" s="19" t="str">
        <f t="shared" si="394"/>
        <v>ReencaucheReencauchadora RENOVA</v>
      </c>
    </row>
    <row r="1467" spans="2:26" ht="15.2" customHeight="1">
      <c r="B1467" s="37"/>
      <c r="E1467" s="66">
        <v>10</v>
      </c>
      <c r="F1467" s="67" t="s">
        <v>732</v>
      </c>
      <c r="G1467" s="68" t="s">
        <v>737</v>
      </c>
      <c r="H1467" s="69" t="s">
        <v>803</v>
      </c>
      <c r="I1467" s="68" t="s">
        <v>726</v>
      </c>
      <c r="J1467" s="70" t="s">
        <v>760</v>
      </c>
      <c r="K1467" s="71" t="s">
        <v>792</v>
      </c>
      <c r="L1467" s="72">
        <v>42348</v>
      </c>
      <c r="M1467" s="73" t="s">
        <v>729</v>
      </c>
      <c r="N1467" s="74">
        <v>42357</v>
      </c>
      <c r="O1467" s="75">
        <f t="shared" si="396"/>
        <v>42357</v>
      </c>
      <c r="P1467" s="2765"/>
      <c r="Q1467" s="2954"/>
      <c r="R1467" s="76">
        <v>0</v>
      </c>
      <c r="S1467" s="1945" t="s">
        <v>731</v>
      </c>
      <c r="T1467" s="1875" t="s">
        <v>802</v>
      </c>
      <c r="U1467" s="1920" t="s">
        <v>693</v>
      </c>
      <c r="V1467" s="2079">
        <f t="shared" si="392"/>
        <v>0</v>
      </c>
      <c r="W1467" s="78">
        <f t="shared" si="393"/>
        <v>0</v>
      </c>
      <c r="X1467" s="1878" t="str">
        <f t="shared" si="391"/>
        <v>10.- C Vikrant 1700310-OT_218737  Reencauche  Rechazada, Guia 030-00????</v>
      </c>
      <c r="Z1467" s="19" t="str">
        <f t="shared" si="394"/>
        <v>ReencaucheReencauchadora RENOVA</v>
      </c>
    </row>
    <row r="1468" spans="2:26" ht="15.2" customHeight="1">
      <c r="B1468" s="37"/>
      <c r="E1468" s="66">
        <v>11</v>
      </c>
      <c r="F1468" s="67" t="s">
        <v>732</v>
      </c>
      <c r="G1468" s="68" t="s">
        <v>733</v>
      </c>
      <c r="H1468" s="69" t="s">
        <v>804</v>
      </c>
      <c r="I1468" s="68" t="s">
        <v>726</v>
      </c>
      <c r="J1468" s="70" t="s">
        <v>760</v>
      </c>
      <c r="K1468" s="71" t="s">
        <v>792</v>
      </c>
      <c r="L1468" s="72">
        <v>42348</v>
      </c>
      <c r="M1468" s="73" t="s">
        <v>729</v>
      </c>
      <c r="N1468" s="74">
        <v>42357</v>
      </c>
      <c r="O1468" s="75">
        <f t="shared" si="396"/>
        <v>42357</v>
      </c>
      <c r="P1468" s="2765"/>
      <c r="Q1468" s="2954"/>
      <c r="R1468" s="76">
        <v>0</v>
      </c>
      <c r="S1468" s="1945" t="s">
        <v>731</v>
      </c>
      <c r="T1468" s="1875" t="s">
        <v>802</v>
      </c>
      <c r="U1468" s="1920" t="s">
        <v>693</v>
      </c>
      <c r="V1468" s="2079">
        <f t="shared" si="392"/>
        <v>0</v>
      </c>
      <c r="W1468" s="78">
        <f t="shared" si="393"/>
        <v>0</v>
      </c>
      <c r="X1468" s="1878" t="str">
        <f t="shared" si="391"/>
        <v>11.- C Lima Caucho 1141107-OT_218737  Reencauche  Rechazada, Guia 030-00????</v>
      </c>
      <c r="Z1468" s="19" t="str">
        <f t="shared" si="394"/>
        <v>ReencaucheReencauchadora RENOVA</v>
      </c>
    </row>
    <row r="1469" spans="2:26" ht="15.2" customHeight="1">
      <c r="B1469" s="37"/>
      <c r="E1469" s="66">
        <v>12</v>
      </c>
      <c r="F1469" s="67" t="s">
        <v>732</v>
      </c>
      <c r="G1469" s="68" t="s">
        <v>733</v>
      </c>
      <c r="H1469" s="69" t="s">
        <v>739</v>
      </c>
      <c r="I1469" s="68" t="s">
        <v>726</v>
      </c>
      <c r="J1469" s="70" t="s">
        <v>760</v>
      </c>
      <c r="K1469" s="71" t="s">
        <v>792</v>
      </c>
      <c r="L1469" s="72">
        <v>42348</v>
      </c>
      <c r="M1469" s="73" t="s">
        <v>729</v>
      </c>
      <c r="N1469" s="74">
        <v>42357</v>
      </c>
      <c r="O1469" s="75">
        <f t="shared" si="396"/>
        <v>42357</v>
      </c>
      <c r="P1469" s="2765"/>
      <c r="Q1469" s="2954"/>
      <c r="R1469" s="76">
        <v>0</v>
      </c>
      <c r="S1469" s="1945" t="s">
        <v>731</v>
      </c>
      <c r="T1469" s="1875" t="s">
        <v>802</v>
      </c>
      <c r="U1469" s="1920" t="s">
        <v>693</v>
      </c>
      <c r="V1469" s="2079">
        <f t="shared" si="392"/>
        <v>0</v>
      </c>
      <c r="W1469" s="78">
        <f t="shared" si="393"/>
        <v>0</v>
      </c>
      <c r="X1469" s="1878" t="str">
        <f t="shared" si="391"/>
        <v>12.- C Lima Caucho 0610808-OT_218737  Reencauche  Rechazada, Guia 030-00????</v>
      </c>
      <c r="Z1469" s="19" t="str">
        <f t="shared" si="394"/>
        <v>ReencaucheReencauchadora RENOVA</v>
      </c>
    </row>
    <row r="1470" spans="2:26" ht="15.2" customHeight="1">
      <c r="B1470" s="37"/>
      <c r="E1470" s="66">
        <v>13</v>
      </c>
      <c r="F1470" s="67" t="s">
        <v>732</v>
      </c>
      <c r="G1470" s="68" t="s">
        <v>733</v>
      </c>
      <c r="H1470" s="69" t="s">
        <v>741</v>
      </c>
      <c r="I1470" s="68" t="s">
        <v>726</v>
      </c>
      <c r="J1470" s="70" t="s">
        <v>760</v>
      </c>
      <c r="K1470" s="71" t="s">
        <v>792</v>
      </c>
      <c r="L1470" s="72">
        <v>42348</v>
      </c>
      <c r="M1470" s="73" t="s">
        <v>729</v>
      </c>
      <c r="N1470" s="74">
        <v>42357</v>
      </c>
      <c r="O1470" s="75">
        <f t="shared" si="396"/>
        <v>42357</v>
      </c>
      <c r="P1470" s="2765"/>
      <c r="Q1470" s="2954"/>
      <c r="R1470" s="76">
        <v>0</v>
      </c>
      <c r="S1470" s="1945" t="s">
        <v>731</v>
      </c>
      <c r="T1470" s="1875" t="s">
        <v>802</v>
      </c>
      <c r="U1470" s="1920" t="s">
        <v>693</v>
      </c>
      <c r="V1470" s="2079">
        <f t="shared" si="392"/>
        <v>0</v>
      </c>
      <c r="W1470" s="78">
        <f t="shared" si="393"/>
        <v>0</v>
      </c>
      <c r="X1470" s="1878" t="str">
        <f t="shared" si="391"/>
        <v>13.- C Lima Caucho 0560708-OT_218737  Reencauche  Rechazada, Guia 030-00????</v>
      </c>
      <c r="Z1470" s="19" t="str">
        <f t="shared" ref="Z1470:Z1533" si="397">CONCATENATE(I1473,J1473)</f>
        <v>ReencaucheReencauchadora RENOVA</v>
      </c>
    </row>
    <row r="1471" spans="2:26" ht="15.2" customHeight="1">
      <c r="B1471" s="37"/>
      <c r="E1471" s="66">
        <v>14</v>
      </c>
      <c r="F1471" s="67" t="s">
        <v>732</v>
      </c>
      <c r="G1471" s="68" t="s">
        <v>733</v>
      </c>
      <c r="H1471" s="69" t="s">
        <v>753</v>
      </c>
      <c r="I1471" s="68" t="s">
        <v>726</v>
      </c>
      <c r="J1471" s="70" t="s">
        <v>760</v>
      </c>
      <c r="K1471" s="71" t="s">
        <v>798</v>
      </c>
      <c r="L1471" s="72">
        <v>42348</v>
      </c>
      <c r="M1471" s="73" t="s">
        <v>729</v>
      </c>
      <c r="N1471" s="74">
        <v>42357</v>
      </c>
      <c r="O1471" s="75">
        <f t="shared" si="396"/>
        <v>42357</v>
      </c>
      <c r="P1471" s="2765"/>
      <c r="Q1471" s="2954"/>
      <c r="R1471" s="76">
        <v>0</v>
      </c>
      <c r="S1471" s="1945" t="s">
        <v>731</v>
      </c>
      <c r="T1471" s="1875" t="s">
        <v>802</v>
      </c>
      <c r="U1471" s="1920" t="s">
        <v>693</v>
      </c>
      <c r="V1471" s="2079">
        <f t="shared" si="392"/>
        <v>0</v>
      </c>
      <c r="W1471" s="78">
        <f t="shared" si="393"/>
        <v>0</v>
      </c>
      <c r="X1471" s="1878" t="str">
        <f t="shared" si="391"/>
        <v>14.- C Lima Caucho 0950908-OT_218738  Reencauche  Rechazada, Guia 030-00????</v>
      </c>
      <c r="Z1471" s="19" t="str">
        <f t="shared" si="397"/>
        <v>Banda de 2ª usadaReenc. MASTERCAUCHO</v>
      </c>
    </row>
    <row r="1472" spans="2:26" ht="15.2" customHeight="1">
      <c r="B1472" s="37"/>
      <c r="E1472" s="66">
        <v>15</v>
      </c>
      <c r="F1472" s="67" t="s">
        <v>732</v>
      </c>
      <c r="G1472" s="68" t="s">
        <v>733</v>
      </c>
      <c r="H1472" s="69" t="s">
        <v>805</v>
      </c>
      <c r="I1472" s="68" t="s">
        <v>726</v>
      </c>
      <c r="J1472" s="70" t="s">
        <v>760</v>
      </c>
      <c r="K1472" s="71" t="s">
        <v>798</v>
      </c>
      <c r="L1472" s="72">
        <v>42348</v>
      </c>
      <c r="M1472" s="73" t="s">
        <v>729</v>
      </c>
      <c r="N1472" s="74">
        <v>42357</v>
      </c>
      <c r="O1472" s="75">
        <f t="shared" si="396"/>
        <v>42357</v>
      </c>
      <c r="P1472" s="2765"/>
      <c r="Q1472" s="2954"/>
      <c r="R1472" s="76">
        <v>0</v>
      </c>
      <c r="S1472" s="1945" t="s">
        <v>731</v>
      </c>
      <c r="T1472" s="1875" t="s">
        <v>802</v>
      </c>
      <c r="U1472" s="1920" t="s">
        <v>693</v>
      </c>
      <c r="V1472" s="2079">
        <f t="shared" si="392"/>
        <v>0</v>
      </c>
      <c r="W1472" s="78">
        <f t="shared" si="393"/>
        <v>0</v>
      </c>
      <c r="X1472" s="1878" t="str">
        <f t="shared" si="391"/>
        <v>15.- C Lima Caucho 0330908-OT_218738  Reencauche  Rechazada, Guia 030-00????</v>
      </c>
      <c r="Z1472" s="19" t="str">
        <f t="shared" si="397"/>
        <v>Vulcanizado (curación)Reenc. MASTERCAUCHO</v>
      </c>
    </row>
    <row r="1473" spans="2:26" ht="15.2" customHeight="1">
      <c r="B1473" s="37"/>
      <c r="E1473" s="79">
        <v>16</v>
      </c>
      <c r="F1473" s="80" t="s">
        <v>732</v>
      </c>
      <c r="G1473" s="81" t="s">
        <v>733</v>
      </c>
      <c r="H1473" s="82" t="s">
        <v>806</v>
      </c>
      <c r="I1473" s="81" t="s">
        <v>726</v>
      </c>
      <c r="J1473" s="83" t="s">
        <v>760</v>
      </c>
      <c r="K1473" s="84" t="s">
        <v>798</v>
      </c>
      <c r="L1473" s="85">
        <v>42348</v>
      </c>
      <c r="M1473" s="86" t="s">
        <v>729</v>
      </c>
      <c r="N1473" s="87">
        <v>42357</v>
      </c>
      <c r="O1473" s="88">
        <f t="shared" si="396"/>
        <v>42357</v>
      </c>
      <c r="P1473" s="2766"/>
      <c r="Q1473" s="2955"/>
      <c r="R1473" s="89">
        <v>0</v>
      </c>
      <c r="S1473" s="1946" t="s">
        <v>731</v>
      </c>
      <c r="T1473" s="1875" t="s">
        <v>802</v>
      </c>
      <c r="U1473" s="1920" t="s">
        <v>693</v>
      </c>
      <c r="V1473" s="2079">
        <f t="shared" si="392"/>
        <v>0</v>
      </c>
      <c r="W1473" s="78">
        <f t="shared" si="393"/>
        <v>0</v>
      </c>
      <c r="X1473" s="1878" t="str">
        <f t="shared" si="391"/>
        <v>16.- C Lima Caucho 0840908-OT_218738  Reencauche  Rechazada, Guia 030-00????</v>
      </c>
      <c r="Z1473" s="19" t="str">
        <f t="shared" si="397"/>
        <v>Banda de 2ª usadaReenc. MASTERCAUCHO</v>
      </c>
    </row>
    <row r="1474" spans="2:26" ht="15.2" customHeight="1">
      <c r="B1474" s="37"/>
      <c r="E1474" s="66">
        <v>1</v>
      </c>
      <c r="F1474" s="67" t="s">
        <v>723</v>
      </c>
      <c r="G1474" s="68" t="s">
        <v>724</v>
      </c>
      <c r="H1474" s="91" t="s">
        <v>807</v>
      </c>
      <c r="I1474" s="68" t="s">
        <v>742</v>
      </c>
      <c r="J1474" s="70" t="s">
        <v>727</v>
      </c>
      <c r="K1474" s="71" t="s">
        <v>808</v>
      </c>
      <c r="L1474" s="72">
        <v>42331</v>
      </c>
      <c r="M1474" s="73" t="s">
        <v>729</v>
      </c>
      <c r="N1474" s="74">
        <v>42348</v>
      </c>
      <c r="O1474" s="75">
        <f t="shared" si="396"/>
        <v>42348</v>
      </c>
      <c r="P1474" s="2765" t="s">
        <v>809</v>
      </c>
      <c r="Q1474" s="2954"/>
      <c r="R1474" s="76">
        <v>211.864</v>
      </c>
      <c r="S1474" s="1945" t="s">
        <v>731</v>
      </c>
      <c r="T1474" s="77"/>
      <c r="U1474" s="1893" t="s">
        <v>694</v>
      </c>
      <c r="V1474" s="2079">
        <f t="shared" si="392"/>
        <v>0</v>
      </c>
      <c r="W1474" s="78">
        <f t="shared" si="393"/>
        <v>249.99951999999999</v>
      </c>
      <c r="X1474" s="1878" t="str">
        <f t="shared" si="391"/>
        <v xml:space="preserve">1.- R Aeolus 0160612-OT_002502  Banda de 2ª usada 0001-004475 </v>
      </c>
      <c r="Z1474" s="19" t="str">
        <f t="shared" si="397"/>
        <v>Banda de 2ª usadaReenc. MASTERCAUCHO</v>
      </c>
    </row>
    <row r="1475" spans="2:26" ht="15.2" customHeight="1">
      <c r="B1475" s="37"/>
      <c r="E1475" s="66">
        <v>2</v>
      </c>
      <c r="F1475" s="67" t="s">
        <v>732</v>
      </c>
      <c r="G1475" s="68" t="s">
        <v>733</v>
      </c>
      <c r="H1475" s="69" t="s">
        <v>810</v>
      </c>
      <c r="I1475" s="68" t="s">
        <v>811</v>
      </c>
      <c r="J1475" s="70" t="s">
        <v>727</v>
      </c>
      <c r="K1475" s="71" t="s">
        <v>808</v>
      </c>
      <c r="L1475" s="72">
        <v>42331</v>
      </c>
      <c r="M1475" s="73" t="s">
        <v>729</v>
      </c>
      <c r="N1475" s="74">
        <v>42348</v>
      </c>
      <c r="O1475" s="75">
        <v>42348</v>
      </c>
      <c r="P1475" s="2765" t="s">
        <v>809</v>
      </c>
      <c r="Q1475" s="2954"/>
      <c r="R1475" s="76">
        <v>105.93</v>
      </c>
      <c r="S1475" s="1945" t="s">
        <v>731</v>
      </c>
      <c r="T1475" s="77"/>
      <c r="U1475" s="1893" t="s">
        <v>693</v>
      </c>
      <c r="V1475" s="2079">
        <f t="shared" si="392"/>
        <v>0</v>
      </c>
      <c r="W1475" s="78">
        <f t="shared" si="393"/>
        <v>124.9974</v>
      </c>
      <c r="X1475" s="1878" t="str">
        <f t="shared" si="391"/>
        <v xml:space="preserve">2.- C Lima Caucho 0260507-OT_002502  Vulcanizado (curación) 0001-004475 </v>
      </c>
      <c r="Z1475" s="19" t="str">
        <f t="shared" si="397"/>
        <v>Banda de 2ª usadaReenc. MASTERCAUCHO</v>
      </c>
    </row>
    <row r="1476" spans="2:26" ht="15.2" customHeight="1">
      <c r="B1476" s="37"/>
      <c r="E1476" s="66">
        <v>3</v>
      </c>
      <c r="F1476" s="67" t="s">
        <v>732</v>
      </c>
      <c r="G1476" s="68" t="s">
        <v>757</v>
      </c>
      <c r="H1476" s="69" t="s">
        <v>758</v>
      </c>
      <c r="I1476" s="68" t="s">
        <v>742</v>
      </c>
      <c r="J1476" s="70" t="s">
        <v>727</v>
      </c>
      <c r="K1476" s="71" t="s">
        <v>808</v>
      </c>
      <c r="L1476" s="72">
        <v>42331</v>
      </c>
      <c r="M1476" s="73" t="s">
        <v>729</v>
      </c>
      <c r="N1476" s="74">
        <v>42348</v>
      </c>
      <c r="O1476" s="75">
        <v>42348</v>
      </c>
      <c r="P1476" s="2765" t="s">
        <v>809</v>
      </c>
      <c r="Q1476" s="2954"/>
      <c r="R1476" s="76">
        <v>211.864</v>
      </c>
      <c r="S1476" s="1945" t="s">
        <v>731</v>
      </c>
      <c r="T1476" s="77"/>
      <c r="U1476" s="1893" t="s">
        <v>693</v>
      </c>
      <c r="V1476" s="2079">
        <f t="shared" si="392"/>
        <v>0</v>
      </c>
      <c r="W1476" s="78">
        <f t="shared" si="393"/>
        <v>249.99951999999999</v>
      </c>
      <c r="X1476" s="1878" t="str">
        <f t="shared" si="391"/>
        <v xml:space="preserve">3.- C Goodyear 0650404-OT_002502  Banda de 2ª usada 0001-004475 </v>
      </c>
      <c r="Z1476" s="19" t="str">
        <f t="shared" si="397"/>
        <v>RECLAMOReenc. MASTERCAUCHO</v>
      </c>
    </row>
    <row r="1477" spans="2:26" ht="15.2" customHeight="1">
      <c r="B1477" s="37"/>
      <c r="E1477" s="66">
        <v>4</v>
      </c>
      <c r="F1477" s="67" t="s">
        <v>732</v>
      </c>
      <c r="G1477" s="68" t="s">
        <v>737</v>
      </c>
      <c r="H1477" s="69" t="s">
        <v>812</v>
      </c>
      <c r="I1477" s="68" t="s">
        <v>742</v>
      </c>
      <c r="J1477" s="70" t="s">
        <v>727</v>
      </c>
      <c r="K1477" s="71" t="s">
        <v>808</v>
      </c>
      <c r="L1477" s="72">
        <v>42331</v>
      </c>
      <c r="M1477" s="73" t="s">
        <v>729</v>
      </c>
      <c r="N1477" s="74">
        <v>42348</v>
      </c>
      <c r="O1477" s="75">
        <v>42348</v>
      </c>
      <c r="P1477" s="2765" t="s">
        <v>809</v>
      </c>
      <c r="Q1477" s="2954"/>
      <c r="R1477" s="76">
        <v>211.864</v>
      </c>
      <c r="S1477" s="1945" t="s">
        <v>731</v>
      </c>
      <c r="T1477" s="77"/>
      <c r="U1477" s="1893" t="s">
        <v>693</v>
      </c>
      <c r="V1477" s="2079">
        <f t="shared" si="392"/>
        <v>0</v>
      </c>
      <c r="W1477" s="78">
        <f t="shared" si="393"/>
        <v>249.99951999999999</v>
      </c>
      <c r="X1477" s="1878" t="str">
        <f t="shared" si="391"/>
        <v xml:space="preserve">4.- C Vikrant 0070111-OT_002502  Banda de 2ª usada 0001-004475 </v>
      </c>
      <c r="Z1477" s="19" t="str">
        <f t="shared" si="397"/>
        <v>Banda de 2ª usadaReenc. MASTERCAUCHO</v>
      </c>
    </row>
    <row r="1478" spans="2:26" ht="15.2" customHeight="1">
      <c r="B1478" s="37"/>
      <c r="E1478" s="66">
        <v>5</v>
      </c>
      <c r="F1478" s="67" t="s">
        <v>732</v>
      </c>
      <c r="G1478" s="68" t="s">
        <v>733</v>
      </c>
      <c r="H1478" s="69" t="s">
        <v>813</v>
      </c>
      <c r="I1478" s="68" t="s">
        <v>742</v>
      </c>
      <c r="J1478" s="70" t="s">
        <v>727</v>
      </c>
      <c r="K1478" s="71" t="s">
        <v>808</v>
      </c>
      <c r="L1478" s="72">
        <v>42331</v>
      </c>
      <c r="M1478" s="73" t="s">
        <v>729</v>
      </c>
      <c r="N1478" s="74">
        <v>42348</v>
      </c>
      <c r="O1478" s="75">
        <v>42348</v>
      </c>
      <c r="P1478" s="2765" t="s">
        <v>809</v>
      </c>
      <c r="Q1478" s="2954"/>
      <c r="R1478" s="76">
        <v>211.864</v>
      </c>
      <c r="S1478" s="1945" t="s">
        <v>731</v>
      </c>
      <c r="T1478" s="77"/>
      <c r="U1478" s="1893" t="s">
        <v>693</v>
      </c>
      <c r="V1478" s="2079">
        <f t="shared" si="392"/>
        <v>0</v>
      </c>
      <c r="W1478" s="78">
        <f t="shared" si="393"/>
        <v>249.99951999999999</v>
      </c>
      <c r="X1478" s="1878" t="str">
        <f t="shared" si="391"/>
        <v xml:space="preserve">5.- C Lima Caucho 0971210-OT_002502  Banda de 2ª usada 0001-004475 </v>
      </c>
      <c r="Z1478" s="19" t="str">
        <f t="shared" si="397"/>
        <v>ReencaucheReenc. MASTERCAUCHO</v>
      </c>
    </row>
    <row r="1479" spans="2:26" ht="15.2" customHeight="1">
      <c r="B1479" s="37"/>
      <c r="E1479" s="66">
        <v>6</v>
      </c>
      <c r="F1479" s="67" t="s">
        <v>732</v>
      </c>
      <c r="G1479" s="68" t="s">
        <v>814</v>
      </c>
      <c r="H1479" s="69" t="s">
        <v>815</v>
      </c>
      <c r="I1479" s="68" t="s">
        <v>816</v>
      </c>
      <c r="J1479" s="70" t="s">
        <v>727</v>
      </c>
      <c r="K1479" s="71" t="s">
        <v>808</v>
      </c>
      <c r="L1479" s="72">
        <v>42331</v>
      </c>
      <c r="M1479" s="73" t="s">
        <v>729</v>
      </c>
      <c r="N1479" s="74">
        <v>42348</v>
      </c>
      <c r="O1479" s="75">
        <v>42348</v>
      </c>
      <c r="P1479" s="2765"/>
      <c r="Q1479" s="2954"/>
      <c r="R1479" s="76"/>
      <c r="S1479" s="1945" t="s">
        <v>731</v>
      </c>
      <c r="T1479" s="1875" t="s">
        <v>817</v>
      </c>
      <c r="U1479" s="1920" t="s">
        <v>693</v>
      </c>
      <c r="V1479" s="2079">
        <f t="shared" si="392"/>
        <v>0</v>
      </c>
      <c r="W1479" s="78">
        <f t="shared" si="393"/>
        <v>0</v>
      </c>
      <c r="X1479" s="1878" t="str">
        <f t="shared" si="391"/>
        <v>6.- C Birla 0570806-OT_002502  RECLAMO  Rechazada, Falla en Carcasa, No se Facturo</v>
      </c>
      <c r="Z1479" s="19" t="str">
        <f t="shared" si="397"/>
        <v>ReencaucheReenc. MASTERCAUCHO</v>
      </c>
    </row>
    <row r="1480" spans="2:26" ht="15.2" customHeight="1">
      <c r="B1480" s="37"/>
      <c r="E1480" s="79">
        <v>7</v>
      </c>
      <c r="F1480" s="80" t="s">
        <v>732</v>
      </c>
      <c r="G1480" s="81" t="s">
        <v>733</v>
      </c>
      <c r="H1480" s="82" t="s">
        <v>818</v>
      </c>
      <c r="I1480" s="81" t="s">
        <v>742</v>
      </c>
      <c r="J1480" s="83" t="s">
        <v>727</v>
      </c>
      <c r="K1480" s="84" t="s">
        <v>808</v>
      </c>
      <c r="L1480" s="85">
        <v>42331</v>
      </c>
      <c r="M1480" s="86" t="s">
        <v>729</v>
      </c>
      <c r="N1480" s="87">
        <v>42348</v>
      </c>
      <c r="O1480" s="88">
        <v>42348</v>
      </c>
      <c r="P1480" s="2766"/>
      <c r="Q1480" s="2955"/>
      <c r="R1480" s="89"/>
      <c r="S1480" s="1946" t="s">
        <v>731</v>
      </c>
      <c r="T1480" s="1875" t="s">
        <v>819</v>
      </c>
      <c r="U1480" s="1920" t="s">
        <v>693</v>
      </c>
      <c r="V1480" s="2079">
        <f t="shared" si="392"/>
        <v>0</v>
      </c>
      <c r="W1480" s="78">
        <f t="shared" si="393"/>
        <v>0</v>
      </c>
      <c r="X1480" s="1878" t="str">
        <f t="shared" si="391"/>
        <v>7.- C Lima Caucho 0590708-OT_002502  Banda de 2ª usada  Reclamo en Carcasa, No se Facturo</v>
      </c>
      <c r="Z1480" s="19" t="str">
        <f t="shared" si="397"/>
        <v>ReencaucheReenc. MASTERCAUCHO</v>
      </c>
    </row>
    <row r="1481" spans="2:26" ht="15.2" customHeight="1">
      <c r="B1481" s="37"/>
      <c r="E1481" s="66">
        <v>1</v>
      </c>
      <c r="F1481" s="67" t="s">
        <v>723</v>
      </c>
      <c r="G1481" s="68" t="s">
        <v>724</v>
      </c>
      <c r="H1481" s="69" t="s">
        <v>820</v>
      </c>
      <c r="I1481" s="68" t="s">
        <v>726</v>
      </c>
      <c r="J1481" s="70" t="s">
        <v>727</v>
      </c>
      <c r="K1481" s="71" t="s">
        <v>821</v>
      </c>
      <c r="L1481" s="72">
        <v>42311</v>
      </c>
      <c r="M1481" s="73" t="s">
        <v>729</v>
      </c>
      <c r="N1481" s="74">
        <v>42319</v>
      </c>
      <c r="O1481" s="75">
        <f t="shared" ref="O1481:O1489" si="398">+N1481</f>
        <v>42319</v>
      </c>
      <c r="P1481" s="2765" t="s">
        <v>822</v>
      </c>
      <c r="Q1481" s="2954"/>
      <c r="R1481" s="76">
        <v>262.70999999999998</v>
      </c>
      <c r="S1481" s="1945" t="s">
        <v>731</v>
      </c>
      <c r="T1481" s="77"/>
      <c r="U1481" s="1893" t="s">
        <v>694</v>
      </c>
      <c r="V1481" s="2079">
        <f t="shared" si="392"/>
        <v>0</v>
      </c>
      <c r="W1481" s="78">
        <f t="shared" si="393"/>
        <v>309.99779999999998</v>
      </c>
      <c r="X1481" s="1878" t="str">
        <f t="shared" si="391"/>
        <v xml:space="preserve">1.- R Aeolus 0140612-OT_001594  Reencauche 0001-004272 </v>
      </c>
      <c r="Z1481" s="19" t="str">
        <f t="shared" si="397"/>
        <v>ReencaucheReenc. MASTERCAUCHO</v>
      </c>
    </row>
    <row r="1482" spans="2:26" ht="15.2" customHeight="1">
      <c r="B1482" s="37"/>
      <c r="E1482" s="66">
        <v>2</v>
      </c>
      <c r="F1482" s="67" t="s">
        <v>723</v>
      </c>
      <c r="G1482" s="68" t="s">
        <v>724</v>
      </c>
      <c r="H1482" s="69" t="s">
        <v>823</v>
      </c>
      <c r="I1482" s="68" t="s">
        <v>726</v>
      </c>
      <c r="J1482" s="70" t="s">
        <v>727</v>
      </c>
      <c r="K1482" s="71" t="s">
        <v>821</v>
      </c>
      <c r="L1482" s="72">
        <v>42311</v>
      </c>
      <c r="M1482" s="73" t="s">
        <v>729</v>
      </c>
      <c r="N1482" s="74">
        <v>42319</v>
      </c>
      <c r="O1482" s="75">
        <f t="shared" si="398"/>
        <v>42319</v>
      </c>
      <c r="P1482" s="2765" t="s">
        <v>822</v>
      </c>
      <c r="Q1482" s="2954"/>
      <c r="R1482" s="76">
        <v>262.70999999999998</v>
      </c>
      <c r="S1482" s="1945" t="s">
        <v>731</v>
      </c>
      <c r="T1482" s="77"/>
      <c r="U1482" s="1893" t="s">
        <v>694</v>
      </c>
      <c r="V1482" s="2079">
        <f t="shared" si="392"/>
        <v>0</v>
      </c>
      <c r="W1482" s="78">
        <f t="shared" si="393"/>
        <v>309.99779999999998</v>
      </c>
      <c r="X1482" s="1878" t="str">
        <f t="shared" si="391"/>
        <v xml:space="preserve">2.- R Aeolus 0180612-OT_001594  Reencauche 0001-004272 </v>
      </c>
      <c r="Z1482" s="19" t="str">
        <f t="shared" si="397"/>
        <v>ReencaucheReenc. MASTERCAUCHO</v>
      </c>
    </row>
    <row r="1483" spans="2:26" ht="15.2" customHeight="1">
      <c r="B1483" s="37"/>
      <c r="E1483" s="66">
        <v>3</v>
      </c>
      <c r="F1483" s="67" t="s">
        <v>723</v>
      </c>
      <c r="G1483" s="68" t="s">
        <v>724</v>
      </c>
      <c r="H1483" s="69" t="s">
        <v>824</v>
      </c>
      <c r="I1483" s="68" t="s">
        <v>726</v>
      </c>
      <c r="J1483" s="70" t="s">
        <v>727</v>
      </c>
      <c r="K1483" s="71" t="s">
        <v>821</v>
      </c>
      <c r="L1483" s="72">
        <v>42311</v>
      </c>
      <c r="M1483" s="73" t="s">
        <v>729</v>
      </c>
      <c r="N1483" s="74">
        <v>42319</v>
      </c>
      <c r="O1483" s="75">
        <f t="shared" si="398"/>
        <v>42319</v>
      </c>
      <c r="P1483" s="2765" t="s">
        <v>822</v>
      </c>
      <c r="Q1483" s="2954"/>
      <c r="R1483" s="76">
        <v>262.70999999999998</v>
      </c>
      <c r="S1483" s="1945" t="s">
        <v>731</v>
      </c>
      <c r="T1483" s="77"/>
      <c r="U1483" s="1893" t="s">
        <v>694</v>
      </c>
      <c r="V1483" s="2079">
        <f t="shared" si="392"/>
        <v>0</v>
      </c>
      <c r="W1483" s="78">
        <f t="shared" si="393"/>
        <v>309.99779999999998</v>
      </c>
      <c r="X1483" s="1878" t="str">
        <f t="shared" si="391"/>
        <v xml:space="preserve">3.- R Aeolus 0170612-OT_001594  Reencauche 0001-004272 </v>
      </c>
      <c r="Z1483" s="19" t="str">
        <f t="shared" si="397"/>
        <v>ReencaucheReenc. MASTERCAUCHO</v>
      </c>
    </row>
    <row r="1484" spans="2:26" ht="15.2" customHeight="1">
      <c r="B1484" s="37"/>
      <c r="E1484" s="66">
        <v>4</v>
      </c>
      <c r="F1484" s="67" t="s">
        <v>723</v>
      </c>
      <c r="G1484" s="68" t="s">
        <v>825</v>
      </c>
      <c r="H1484" s="69" t="s">
        <v>826</v>
      </c>
      <c r="I1484" s="68" t="s">
        <v>726</v>
      </c>
      <c r="J1484" s="70" t="s">
        <v>727</v>
      </c>
      <c r="K1484" s="71" t="s">
        <v>821</v>
      </c>
      <c r="L1484" s="72">
        <v>42311</v>
      </c>
      <c r="M1484" s="73" t="s">
        <v>729</v>
      </c>
      <c r="N1484" s="74">
        <v>42319</v>
      </c>
      <c r="O1484" s="75">
        <f t="shared" si="398"/>
        <v>42319</v>
      </c>
      <c r="P1484" s="2765" t="s">
        <v>822</v>
      </c>
      <c r="Q1484" s="2954"/>
      <c r="R1484" s="76">
        <v>262.70999999999998</v>
      </c>
      <c r="S1484" s="1945" t="s">
        <v>731</v>
      </c>
      <c r="T1484" s="77"/>
      <c r="U1484" s="1893" t="s">
        <v>694</v>
      </c>
      <c r="V1484" s="2079">
        <f t="shared" si="392"/>
        <v>0</v>
      </c>
      <c r="W1484" s="78">
        <f t="shared" si="393"/>
        <v>309.99779999999998</v>
      </c>
      <c r="X1484" s="1878" t="str">
        <f t="shared" si="391"/>
        <v xml:space="preserve">4.- R Falken 0570611-OT_001594  Reencauche 0001-004272 </v>
      </c>
      <c r="Z1484" s="19" t="str">
        <f t="shared" si="397"/>
        <v>ReencaucheReenc. MASTERCAUCHO</v>
      </c>
    </row>
    <row r="1485" spans="2:26" ht="15.2" customHeight="1">
      <c r="B1485" s="37"/>
      <c r="E1485" s="66">
        <v>5</v>
      </c>
      <c r="F1485" s="67" t="s">
        <v>723</v>
      </c>
      <c r="G1485" s="68" t="s">
        <v>724</v>
      </c>
      <c r="H1485" s="69" t="s">
        <v>827</v>
      </c>
      <c r="I1485" s="68" t="s">
        <v>726</v>
      </c>
      <c r="J1485" s="70" t="s">
        <v>727</v>
      </c>
      <c r="K1485" s="71" t="s">
        <v>821</v>
      </c>
      <c r="L1485" s="72">
        <v>42311</v>
      </c>
      <c r="M1485" s="73" t="s">
        <v>729</v>
      </c>
      <c r="N1485" s="74">
        <v>42319</v>
      </c>
      <c r="O1485" s="75">
        <f t="shared" si="398"/>
        <v>42319</v>
      </c>
      <c r="P1485" s="2765" t="s">
        <v>822</v>
      </c>
      <c r="Q1485" s="2954"/>
      <c r="R1485" s="76">
        <v>262.70999999999998</v>
      </c>
      <c r="S1485" s="1945" t="s">
        <v>731</v>
      </c>
      <c r="T1485" s="77"/>
      <c r="U1485" s="1893" t="s">
        <v>694</v>
      </c>
      <c r="V1485" s="2079">
        <f t="shared" si="392"/>
        <v>0</v>
      </c>
      <c r="W1485" s="78">
        <f t="shared" si="393"/>
        <v>309.99779999999998</v>
      </c>
      <c r="X1485" s="1878" t="str">
        <f t="shared" si="391"/>
        <v xml:space="preserve">5.- R Aeolus 170812-OT_001594  Reencauche 0001-004272 </v>
      </c>
      <c r="Z1485" s="19" t="str">
        <f t="shared" si="397"/>
        <v>ReencaucheReenc. MASTERCAUCHO</v>
      </c>
    </row>
    <row r="1486" spans="2:26" ht="15.2" customHeight="1">
      <c r="B1486" s="37"/>
      <c r="E1486" s="66">
        <v>6</v>
      </c>
      <c r="F1486" s="67" t="s">
        <v>723</v>
      </c>
      <c r="G1486" s="68" t="s">
        <v>724</v>
      </c>
      <c r="H1486" s="69" t="s">
        <v>828</v>
      </c>
      <c r="I1486" s="68" t="s">
        <v>726</v>
      </c>
      <c r="J1486" s="70" t="s">
        <v>727</v>
      </c>
      <c r="K1486" s="71" t="s">
        <v>821</v>
      </c>
      <c r="L1486" s="72">
        <v>42311</v>
      </c>
      <c r="M1486" s="73" t="s">
        <v>729</v>
      </c>
      <c r="N1486" s="74">
        <v>42319</v>
      </c>
      <c r="O1486" s="75">
        <f t="shared" si="398"/>
        <v>42319</v>
      </c>
      <c r="P1486" s="2765" t="s">
        <v>822</v>
      </c>
      <c r="Q1486" s="2954"/>
      <c r="R1486" s="76">
        <v>262.70999999999998</v>
      </c>
      <c r="S1486" s="1945" t="s">
        <v>731</v>
      </c>
      <c r="T1486" s="77"/>
      <c r="U1486" s="1893" t="s">
        <v>694</v>
      </c>
      <c r="V1486" s="2079">
        <f t="shared" si="392"/>
        <v>0</v>
      </c>
      <c r="W1486" s="78">
        <f t="shared" si="393"/>
        <v>309.99779999999998</v>
      </c>
      <c r="X1486" s="1878" t="str">
        <f t="shared" si="391"/>
        <v xml:space="preserve">6.- R Aeolus 0150612-OT_001594  Reencauche 0001-004272 </v>
      </c>
      <c r="Z1486" s="19" t="str">
        <f t="shared" si="397"/>
        <v>ReencaucheReencauchadora RENOVA</v>
      </c>
    </row>
    <row r="1487" spans="2:26" ht="15.2" customHeight="1">
      <c r="B1487" s="37"/>
      <c r="E1487" s="66">
        <v>7</v>
      </c>
      <c r="F1487" s="67" t="s">
        <v>723</v>
      </c>
      <c r="G1487" s="68" t="s">
        <v>825</v>
      </c>
      <c r="H1487" s="69" t="s">
        <v>829</v>
      </c>
      <c r="I1487" s="68" t="s">
        <v>726</v>
      </c>
      <c r="J1487" s="70" t="s">
        <v>727</v>
      </c>
      <c r="K1487" s="71" t="s">
        <v>821</v>
      </c>
      <c r="L1487" s="72">
        <v>42311</v>
      </c>
      <c r="M1487" s="73" t="s">
        <v>729</v>
      </c>
      <c r="N1487" s="74">
        <v>42319</v>
      </c>
      <c r="O1487" s="75">
        <f t="shared" si="398"/>
        <v>42319</v>
      </c>
      <c r="P1487" s="2765" t="s">
        <v>822</v>
      </c>
      <c r="Q1487" s="2954"/>
      <c r="R1487" s="76">
        <v>262.70999999999998</v>
      </c>
      <c r="S1487" s="1945" t="s">
        <v>731</v>
      </c>
      <c r="T1487" s="77"/>
      <c r="U1487" s="1893" t="s">
        <v>694</v>
      </c>
      <c r="V1487" s="2079">
        <f t="shared" si="392"/>
        <v>0</v>
      </c>
      <c r="W1487" s="78">
        <f t="shared" si="393"/>
        <v>309.99779999999998</v>
      </c>
      <c r="X1487" s="1878" t="str">
        <f t="shared" si="391"/>
        <v xml:space="preserve">7.- R Falken 0530611-OT_001594  Reencauche 0001-004272 </v>
      </c>
      <c r="Z1487" s="19" t="str">
        <f t="shared" si="397"/>
        <v>ReencaucheReencauchadora RENOVA</v>
      </c>
    </row>
    <row r="1488" spans="2:26" ht="15.2" customHeight="1">
      <c r="B1488" s="37"/>
      <c r="E1488" s="79">
        <v>8</v>
      </c>
      <c r="F1488" s="80" t="s">
        <v>723</v>
      </c>
      <c r="G1488" s="81" t="s">
        <v>724</v>
      </c>
      <c r="H1488" s="115" t="s">
        <v>807</v>
      </c>
      <c r="I1488" s="81" t="s">
        <v>726</v>
      </c>
      <c r="J1488" s="83" t="s">
        <v>727</v>
      </c>
      <c r="K1488" s="84" t="s">
        <v>821</v>
      </c>
      <c r="L1488" s="85">
        <v>42311</v>
      </c>
      <c r="M1488" s="86" t="s">
        <v>729</v>
      </c>
      <c r="N1488" s="87">
        <v>42319</v>
      </c>
      <c r="O1488" s="88">
        <f t="shared" si="398"/>
        <v>42319</v>
      </c>
      <c r="P1488" s="2766" t="s">
        <v>830</v>
      </c>
      <c r="Q1488" s="2955"/>
      <c r="R1488" s="89">
        <v>0</v>
      </c>
      <c r="S1488" s="1946" t="s">
        <v>731</v>
      </c>
      <c r="T1488" s="1875" t="s">
        <v>817</v>
      </c>
      <c r="U1488" s="1893" t="s">
        <v>694</v>
      </c>
      <c r="V1488" s="2079">
        <f t="shared" si="392"/>
        <v>0</v>
      </c>
      <c r="W1488" s="78">
        <f t="shared" si="393"/>
        <v>0</v>
      </c>
      <c r="X1488" s="1878" t="str">
        <f t="shared" si="391"/>
        <v>8.- R Aeolus 0160612-OT_001594  Reencauche G0001-000729 Rechazada, Falla en Carcasa, No se Facturo</v>
      </c>
      <c r="Z1488" s="19" t="str">
        <f t="shared" si="397"/>
        <v>ReencaucheReencauchadora RENOVA</v>
      </c>
    </row>
    <row r="1489" spans="2:26" ht="15.2" customHeight="1">
      <c r="B1489" s="37"/>
      <c r="E1489" s="66">
        <v>1</v>
      </c>
      <c r="F1489" s="67" t="s">
        <v>732</v>
      </c>
      <c r="G1489" s="68" t="s">
        <v>831</v>
      </c>
      <c r="H1489" s="69" t="s">
        <v>832</v>
      </c>
      <c r="I1489" s="68" t="s">
        <v>726</v>
      </c>
      <c r="J1489" s="70" t="s">
        <v>760</v>
      </c>
      <c r="K1489" s="71" t="s">
        <v>837</v>
      </c>
      <c r="L1489" s="72">
        <v>42304</v>
      </c>
      <c r="M1489" s="73" t="s">
        <v>729</v>
      </c>
      <c r="N1489" s="74">
        <v>42311</v>
      </c>
      <c r="O1489" s="75">
        <f t="shared" si="398"/>
        <v>42311</v>
      </c>
      <c r="P1489" s="2765" t="s">
        <v>838</v>
      </c>
      <c r="Q1489" s="2954"/>
      <c r="R1489" s="76">
        <v>281.49</v>
      </c>
      <c r="S1489" s="1945" t="s">
        <v>731</v>
      </c>
      <c r="T1489" s="77"/>
      <c r="U1489" s="1893" t="s">
        <v>693</v>
      </c>
      <c r="V1489" s="2079">
        <f t="shared" si="392"/>
        <v>0</v>
      </c>
      <c r="W1489" s="78">
        <f t="shared" si="393"/>
        <v>332.15819999999997</v>
      </c>
      <c r="X1489" s="1878" t="str">
        <f t="shared" si="391"/>
        <v xml:space="preserve">1.- C Kumho 0230305-OT_217504  Reencauche 030-0053153 </v>
      </c>
      <c r="Z1489" s="19" t="str">
        <f t="shared" si="397"/>
        <v>ReencaucheReencauchadora RENOVA</v>
      </c>
    </row>
    <row r="1490" spans="2:26" ht="15.2" customHeight="1">
      <c r="B1490" s="37"/>
      <c r="E1490" s="66">
        <v>2</v>
      </c>
      <c r="F1490" s="67" t="s">
        <v>732</v>
      </c>
      <c r="G1490" s="68" t="s">
        <v>737</v>
      </c>
      <c r="H1490" s="69" t="s">
        <v>839</v>
      </c>
      <c r="I1490" s="68" t="s">
        <v>726</v>
      </c>
      <c r="J1490" s="70" t="s">
        <v>760</v>
      </c>
      <c r="K1490" s="71" t="s">
        <v>837</v>
      </c>
      <c r="L1490" s="72">
        <v>42304</v>
      </c>
      <c r="M1490" s="73" t="s">
        <v>729</v>
      </c>
      <c r="N1490" s="74">
        <v>42311</v>
      </c>
      <c r="O1490" s="75">
        <v>42311</v>
      </c>
      <c r="P1490" s="2765" t="s">
        <v>838</v>
      </c>
      <c r="Q1490" s="2954"/>
      <c r="R1490" s="76">
        <v>281.49</v>
      </c>
      <c r="S1490" s="1945" t="s">
        <v>731</v>
      </c>
      <c r="T1490" s="77"/>
      <c r="U1490" s="1893" t="s">
        <v>693</v>
      </c>
      <c r="V1490" s="2079">
        <f t="shared" si="392"/>
        <v>0</v>
      </c>
      <c r="W1490" s="78">
        <f t="shared" si="393"/>
        <v>332.15819999999997</v>
      </c>
      <c r="X1490" s="1878" t="str">
        <f t="shared" si="391"/>
        <v xml:space="preserve">2.- C Vikrant 0380510-OT_217504  Reencauche 030-0053153 </v>
      </c>
      <c r="Z1490" s="19" t="str">
        <f t="shared" si="397"/>
        <v>ReencaucheReencauchadora RENOVA</v>
      </c>
    </row>
    <row r="1491" spans="2:26" ht="15.2" customHeight="1">
      <c r="B1491" s="37"/>
      <c r="E1491" s="66">
        <v>3</v>
      </c>
      <c r="F1491" s="67" t="s">
        <v>732</v>
      </c>
      <c r="G1491" s="68" t="s">
        <v>757</v>
      </c>
      <c r="H1491" s="69" t="s">
        <v>840</v>
      </c>
      <c r="I1491" s="68" t="s">
        <v>726</v>
      </c>
      <c r="J1491" s="70" t="s">
        <v>760</v>
      </c>
      <c r="K1491" s="71" t="s">
        <v>837</v>
      </c>
      <c r="L1491" s="72">
        <v>42304</v>
      </c>
      <c r="M1491" s="73" t="s">
        <v>729</v>
      </c>
      <c r="N1491" s="74">
        <v>42311</v>
      </c>
      <c r="O1491" s="75">
        <v>42311</v>
      </c>
      <c r="P1491" s="2765" t="s">
        <v>838</v>
      </c>
      <c r="Q1491" s="2954"/>
      <c r="R1491" s="76">
        <v>281.49</v>
      </c>
      <c r="S1491" s="1945" t="s">
        <v>731</v>
      </c>
      <c r="T1491" s="77"/>
      <c r="U1491" s="1893" t="s">
        <v>693</v>
      </c>
      <c r="V1491" s="2079">
        <f t="shared" si="392"/>
        <v>0</v>
      </c>
      <c r="W1491" s="78">
        <f t="shared" si="393"/>
        <v>332.15819999999997</v>
      </c>
      <c r="X1491" s="1878" t="str">
        <f t="shared" si="391"/>
        <v xml:space="preserve">3.- C Goodyear 1601004-OT_217504  Reencauche 030-0053153 </v>
      </c>
      <c r="Z1491" s="19" t="str">
        <f t="shared" si="397"/>
        <v>ReencaucheReencauchadora RENOVA</v>
      </c>
    </row>
    <row r="1492" spans="2:26" ht="15.2" customHeight="1">
      <c r="B1492" s="37"/>
      <c r="E1492" s="66">
        <v>4</v>
      </c>
      <c r="F1492" s="67" t="s">
        <v>732</v>
      </c>
      <c r="G1492" s="68" t="s">
        <v>778</v>
      </c>
      <c r="H1492" s="69" t="s">
        <v>841</v>
      </c>
      <c r="I1492" s="68" t="s">
        <v>726</v>
      </c>
      <c r="J1492" s="70" t="s">
        <v>760</v>
      </c>
      <c r="K1492" s="71" t="s">
        <v>837</v>
      </c>
      <c r="L1492" s="72">
        <v>42304</v>
      </c>
      <c r="M1492" s="73" t="s">
        <v>729</v>
      </c>
      <c r="N1492" s="74">
        <v>42311</v>
      </c>
      <c r="O1492" s="75">
        <v>42311</v>
      </c>
      <c r="P1492" s="2765" t="s">
        <v>838</v>
      </c>
      <c r="Q1492" s="2954"/>
      <c r="R1492" s="76">
        <v>281.49</v>
      </c>
      <c r="S1492" s="1945" t="s">
        <v>731</v>
      </c>
      <c r="T1492" s="77"/>
      <c r="U1492" s="1893" t="s">
        <v>693</v>
      </c>
      <c r="V1492" s="2079">
        <f t="shared" si="392"/>
        <v>0</v>
      </c>
      <c r="W1492" s="78">
        <f t="shared" si="393"/>
        <v>332.15819999999997</v>
      </c>
      <c r="X1492" s="1878" t="str">
        <f t="shared" si="391"/>
        <v xml:space="preserve">4.- C Riverstone 1410904-OT_217504  Reencauche 030-0053153 </v>
      </c>
      <c r="Z1492" s="19" t="str">
        <f t="shared" si="397"/>
        <v>ReencaucheReencauchadora RENOVA</v>
      </c>
    </row>
    <row r="1493" spans="2:26" ht="15.2" customHeight="1">
      <c r="B1493" s="37"/>
      <c r="E1493" s="66">
        <v>5</v>
      </c>
      <c r="F1493" s="67" t="s">
        <v>732</v>
      </c>
      <c r="G1493" s="68" t="s">
        <v>737</v>
      </c>
      <c r="H1493" s="69" t="s">
        <v>842</v>
      </c>
      <c r="I1493" s="68" t="s">
        <v>726</v>
      </c>
      <c r="J1493" s="70" t="s">
        <v>760</v>
      </c>
      <c r="K1493" s="71" t="s">
        <v>837</v>
      </c>
      <c r="L1493" s="72">
        <v>42304</v>
      </c>
      <c r="M1493" s="73" t="s">
        <v>729</v>
      </c>
      <c r="N1493" s="74">
        <v>42311</v>
      </c>
      <c r="O1493" s="75">
        <v>42311</v>
      </c>
      <c r="P1493" s="2765" t="s">
        <v>838</v>
      </c>
      <c r="Q1493" s="2954"/>
      <c r="R1493" s="76">
        <v>281.49</v>
      </c>
      <c r="S1493" s="1945" t="s">
        <v>731</v>
      </c>
      <c r="T1493" s="77"/>
      <c r="U1493" s="1893" t="s">
        <v>693</v>
      </c>
      <c r="V1493" s="2079">
        <f t="shared" si="392"/>
        <v>0</v>
      </c>
      <c r="W1493" s="78">
        <f t="shared" si="393"/>
        <v>332.15819999999997</v>
      </c>
      <c r="X1493" s="1878" t="str">
        <f t="shared" si="391"/>
        <v xml:space="preserve">5.- C Vikrant 0841007-OT_217504  Reencauche 030-0053153 </v>
      </c>
      <c r="Z1493" s="19" t="str">
        <f t="shared" si="397"/>
        <v>ReencaucheReencauchadora RENOVA</v>
      </c>
    </row>
    <row r="1494" spans="2:26" ht="15.2" customHeight="1">
      <c r="B1494" s="37"/>
      <c r="E1494" s="66">
        <v>6</v>
      </c>
      <c r="F1494" s="67" t="s">
        <v>732</v>
      </c>
      <c r="G1494" s="68" t="s">
        <v>737</v>
      </c>
      <c r="H1494" s="69" t="s">
        <v>843</v>
      </c>
      <c r="I1494" s="68" t="s">
        <v>726</v>
      </c>
      <c r="J1494" s="70" t="s">
        <v>760</v>
      </c>
      <c r="K1494" s="71" t="s">
        <v>844</v>
      </c>
      <c r="L1494" s="72">
        <v>42304</v>
      </c>
      <c r="M1494" s="73" t="s">
        <v>729</v>
      </c>
      <c r="N1494" s="74">
        <v>42311</v>
      </c>
      <c r="O1494" s="75">
        <v>42311</v>
      </c>
      <c r="P1494" s="2765" t="s">
        <v>838</v>
      </c>
      <c r="Q1494" s="2954"/>
      <c r="R1494" s="76">
        <v>281.49</v>
      </c>
      <c r="S1494" s="1945" t="s">
        <v>731</v>
      </c>
      <c r="T1494" s="77"/>
      <c r="U1494" s="1893" t="s">
        <v>693</v>
      </c>
      <c r="V1494" s="2079">
        <f t="shared" si="392"/>
        <v>0</v>
      </c>
      <c r="W1494" s="78">
        <f t="shared" si="393"/>
        <v>332.15819999999997</v>
      </c>
      <c r="X1494" s="1878" t="str">
        <f t="shared" si="391"/>
        <v xml:space="preserve">6.- C Vikrant 0260211-OT_217503  Reencauche 030-0053153 </v>
      </c>
      <c r="Z1494" s="19" t="str">
        <f t="shared" si="397"/>
        <v>ReencaucheReencauchadora RENOVA</v>
      </c>
    </row>
    <row r="1495" spans="2:26" ht="15.2" customHeight="1">
      <c r="B1495" s="37"/>
      <c r="E1495" s="66">
        <v>7</v>
      </c>
      <c r="F1495" s="67" t="s">
        <v>732</v>
      </c>
      <c r="G1495" s="68" t="s">
        <v>737</v>
      </c>
      <c r="H1495" s="69" t="s">
        <v>845</v>
      </c>
      <c r="I1495" s="68" t="s">
        <v>726</v>
      </c>
      <c r="J1495" s="70" t="s">
        <v>760</v>
      </c>
      <c r="K1495" s="71" t="s">
        <v>844</v>
      </c>
      <c r="L1495" s="72">
        <v>42304</v>
      </c>
      <c r="M1495" s="73" t="s">
        <v>729</v>
      </c>
      <c r="N1495" s="74">
        <v>42311</v>
      </c>
      <c r="O1495" s="75">
        <v>42311</v>
      </c>
      <c r="P1495" s="2765" t="s">
        <v>838</v>
      </c>
      <c r="Q1495" s="2954"/>
      <c r="R1495" s="76">
        <v>281.49</v>
      </c>
      <c r="S1495" s="1945" t="s">
        <v>731</v>
      </c>
      <c r="T1495" s="77"/>
      <c r="U1495" s="1893" t="s">
        <v>693</v>
      </c>
      <c r="V1495" s="2079">
        <f t="shared" si="392"/>
        <v>0</v>
      </c>
      <c r="W1495" s="78">
        <f t="shared" si="393"/>
        <v>332.15819999999997</v>
      </c>
      <c r="X1495" s="1878" t="str">
        <f t="shared" si="391"/>
        <v xml:space="preserve">7.- C Vikrant 1010705-OT_217503  Reencauche 030-0053153 </v>
      </c>
      <c r="Z1495" s="19" t="str">
        <f t="shared" si="397"/>
        <v>ReencaucheReencauchadora RENOVA</v>
      </c>
    </row>
    <row r="1496" spans="2:26" ht="15.2" customHeight="1">
      <c r="B1496" s="37"/>
      <c r="E1496" s="66">
        <v>8</v>
      </c>
      <c r="F1496" s="67" t="s">
        <v>732</v>
      </c>
      <c r="G1496" s="68" t="s">
        <v>737</v>
      </c>
      <c r="H1496" s="69" t="s">
        <v>846</v>
      </c>
      <c r="I1496" s="68" t="s">
        <v>726</v>
      </c>
      <c r="J1496" s="70" t="s">
        <v>760</v>
      </c>
      <c r="K1496" s="71" t="s">
        <v>844</v>
      </c>
      <c r="L1496" s="72">
        <v>42304</v>
      </c>
      <c r="M1496" s="73" t="s">
        <v>729</v>
      </c>
      <c r="N1496" s="74">
        <v>42311</v>
      </c>
      <c r="O1496" s="75">
        <v>42311</v>
      </c>
      <c r="P1496" s="2765" t="s">
        <v>838</v>
      </c>
      <c r="Q1496" s="2954"/>
      <c r="R1496" s="76">
        <v>281.49</v>
      </c>
      <c r="S1496" s="1945" t="s">
        <v>731</v>
      </c>
      <c r="T1496" s="77"/>
      <c r="U1496" s="1893" t="s">
        <v>693</v>
      </c>
      <c r="V1496" s="2079">
        <f t="shared" si="392"/>
        <v>0</v>
      </c>
      <c r="W1496" s="78">
        <f t="shared" si="393"/>
        <v>332.15819999999997</v>
      </c>
      <c r="X1496" s="1878" t="str">
        <f t="shared" si="391"/>
        <v xml:space="preserve">8.- C Vikrant 0150111-OT_217503  Reencauche 030-0053153 </v>
      </c>
      <c r="Z1496" s="19" t="str">
        <f t="shared" si="397"/>
        <v>ReencaucheReencauchadora RENOVA</v>
      </c>
    </row>
    <row r="1497" spans="2:26" ht="15.2" customHeight="1">
      <c r="B1497" s="37"/>
      <c r="E1497" s="66">
        <v>9</v>
      </c>
      <c r="F1497" s="67" t="s">
        <v>732</v>
      </c>
      <c r="G1497" s="68" t="s">
        <v>733</v>
      </c>
      <c r="H1497" s="69" t="s">
        <v>847</v>
      </c>
      <c r="I1497" s="68" t="s">
        <v>726</v>
      </c>
      <c r="J1497" s="70" t="s">
        <v>760</v>
      </c>
      <c r="K1497" s="71" t="s">
        <v>844</v>
      </c>
      <c r="L1497" s="72">
        <v>42304</v>
      </c>
      <c r="M1497" s="73" t="s">
        <v>729</v>
      </c>
      <c r="N1497" s="74">
        <v>42311</v>
      </c>
      <c r="O1497" s="75">
        <v>42311</v>
      </c>
      <c r="P1497" s="2765" t="s">
        <v>838</v>
      </c>
      <c r="Q1497" s="2954"/>
      <c r="R1497" s="76">
        <v>281.49</v>
      </c>
      <c r="S1497" s="1945" t="s">
        <v>731</v>
      </c>
      <c r="T1497" s="77"/>
      <c r="U1497" s="1893" t="s">
        <v>693</v>
      </c>
      <c r="V1497" s="2079">
        <f t="shared" si="392"/>
        <v>0</v>
      </c>
      <c r="W1497" s="78">
        <f t="shared" si="393"/>
        <v>332.15819999999997</v>
      </c>
      <c r="X1497" s="1878" t="str">
        <f t="shared" si="391"/>
        <v xml:space="preserve">9.- C Lima Caucho 1061208-OT_217503  Reencauche 030-0053153 </v>
      </c>
      <c r="Z1497" s="19" t="str">
        <f t="shared" si="397"/>
        <v>ReencaucheReencauchadora RENOVA</v>
      </c>
    </row>
    <row r="1498" spans="2:26" ht="15.2" customHeight="1">
      <c r="B1498" s="37"/>
      <c r="E1498" s="66">
        <v>10</v>
      </c>
      <c r="F1498" s="67" t="s">
        <v>732</v>
      </c>
      <c r="G1498" s="68" t="s">
        <v>733</v>
      </c>
      <c r="H1498" s="69" t="s">
        <v>848</v>
      </c>
      <c r="I1498" s="68" t="s">
        <v>726</v>
      </c>
      <c r="J1498" s="70" t="s">
        <v>760</v>
      </c>
      <c r="K1498" s="71" t="s">
        <v>844</v>
      </c>
      <c r="L1498" s="72">
        <v>42304</v>
      </c>
      <c r="M1498" s="73" t="s">
        <v>729</v>
      </c>
      <c r="N1498" s="74">
        <v>42311</v>
      </c>
      <c r="O1498" s="75">
        <v>42311</v>
      </c>
      <c r="P1498" s="2765" t="s">
        <v>838</v>
      </c>
      <c r="Q1498" s="2954"/>
      <c r="R1498" s="76">
        <v>281.49</v>
      </c>
      <c r="S1498" s="1945" t="s">
        <v>731</v>
      </c>
      <c r="T1498" s="77"/>
      <c r="U1498" s="1893" t="s">
        <v>693</v>
      </c>
      <c r="V1498" s="2079">
        <f t="shared" si="392"/>
        <v>0</v>
      </c>
      <c r="W1498" s="78">
        <f t="shared" si="393"/>
        <v>332.15819999999997</v>
      </c>
      <c r="X1498" s="1878" t="str">
        <f t="shared" si="391"/>
        <v xml:space="preserve">10.- C Lima Caucho 0530807-OT_217503  Reencauche 030-0053153 </v>
      </c>
      <c r="Z1498" s="19" t="str">
        <f t="shared" si="397"/>
        <v>ReencaucheReencauchadora RENOVA</v>
      </c>
    </row>
    <row r="1499" spans="2:26" ht="15.2" customHeight="1">
      <c r="B1499" s="37"/>
      <c r="E1499" s="66">
        <v>11</v>
      </c>
      <c r="F1499" s="67" t="s">
        <v>732</v>
      </c>
      <c r="G1499" s="68" t="s">
        <v>733</v>
      </c>
      <c r="H1499" s="69" t="s">
        <v>849</v>
      </c>
      <c r="I1499" s="68" t="s">
        <v>726</v>
      </c>
      <c r="J1499" s="70" t="s">
        <v>760</v>
      </c>
      <c r="K1499" s="71" t="s">
        <v>844</v>
      </c>
      <c r="L1499" s="72">
        <v>42304</v>
      </c>
      <c r="M1499" s="73" t="s">
        <v>729</v>
      </c>
      <c r="N1499" s="74">
        <v>42311</v>
      </c>
      <c r="O1499" s="75">
        <v>42311</v>
      </c>
      <c r="P1499" s="2765" t="s">
        <v>838</v>
      </c>
      <c r="Q1499" s="2954"/>
      <c r="R1499" s="76">
        <v>281.49</v>
      </c>
      <c r="S1499" s="1945" t="s">
        <v>731</v>
      </c>
      <c r="T1499" s="77"/>
      <c r="U1499" s="1893" t="s">
        <v>693</v>
      </c>
      <c r="V1499" s="2079">
        <f t="shared" si="392"/>
        <v>0</v>
      </c>
      <c r="W1499" s="78">
        <f t="shared" si="393"/>
        <v>332.15819999999997</v>
      </c>
      <c r="X1499" s="1878" t="str">
        <f t="shared" si="391"/>
        <v xml:space="preserve">11.- C Lima Caucho 0441112-OT_217503  Reencauche 030-0053153 </v>
      </c>
      <c r="Z1499" s="19" t="str">
        <f t="shared" si="397"/>
        <v>ReencaucheReencauchadora RENOVA</v>
      </c>
    </row>
    <row r="1500" spans="2:26" ht="15.2" customHeight="1">
      <c r="B1500" s="37"/>
      <c r="E1500" s="66">
        <v>12</v>
      </c>
      <c r="F1500" s="67" t="s">
        <v>732</v>
      </c>
      <c r="G1500" s="68" t="s">
        <v>733</v>
      </c>
      <c r="H1500" s="69" t="s">
        <v>850</v>
      </c>
      <c r="I1500" s="68" t="s">
        <v>726</v>
      </c>
      <c r="J1500" s="70" t="s">
        <v>760</v>
      </c>
      <c r="K1500" s="71" t="s">
        <v>844</v>
      </c>
      <c r="L1500" s="72">
        <v>42304</v>
      </c>
      <c r="M1500" s="73" t="s">
        <v>729</v>
      </c>
      <c r="N1500" s="74">
        <v>42311</v>
      </c>
      <c r="O1500" s="75">
        <v>42311</v>
      </c>
      <c r="P1500" s="2765" t="s">
        <v>838</v>
      </c>
      <c r="Q1500" s="2954"/>
      <c r="R1500" s="76">
        <v>281.49</v>
      </c>
      <c r="S1500" s="1945" t="s">
        <v>731</v>
      </c>
      <c r="T1500" s="77"/>
      <c r="U1500" s="1893" t="s">
        <v>693</v>
      </c>
      <c r="V1500" s="2079">
        <f t="shared" si="392"/>
        <v>0</v>
      </c>
      <c r="W1500" s="78">
        <f t="shared" si="393"/>
        <v>332.15819999999997</v>
      </c>
      <c r="X1500" s="1878" t="str">
        <f t="shared" si="391"/>
        <v xml:space="preserve">12.- C Lima Caucho 0710808-OT_217503  Reencauche 030-0053153 </v>
      </c>
      <c r="Z1500" s="19" t="str">
        <f t="shared" si="397"/>
        <v>ReencaucheReencauchadora RENOVA</v>
      </c>
    </row>
    <row r="1501" spans="2:26" ht="15.2" customHeight="1">
      <c r="B1501" s="37"/>
      <c r="E1501" s="66">
        <v>13</v>
      </c>
      <c r="F1501" s="67" t="s">
        <v>732</v>
      </c>
      <c r="G1501" s="68" t="s">
        <v>733</v>
      </c>
      <c r="H1501" s="69" t="s">
        <v>851</v>
      </c>
      <c r="I1501" s="68" t="s">
        <v>726</v>
      </c>
      <c r="J1501" s="70" t="s">
        <v>760</v>
      </c>
      <c r="K1501" s="71" t="s">
        <v>844</v>
      </c>
      <c r="L1501" s="72">
        <v>42304</v>
      </c>
      <c r="M1501" s="73" t="s">
        <v>729</v>
      </c>
      <c r="N1501" s="74">
        <v>42311</v>
      </c>
      <c r="O1501" s="75">
        <v>42311</v>
      </c>
      <c r="P1501" s="2765" t="s">
        <v>838</v>
      </c>
      <c r="Q1501" s="2954"/>
      <c r="R1501" s="76">
        <v>281.49</v>
      </c>
      <c r="S1501" s="1945" t="s">
        <v>731</v>
      </c>
      <c r="T1501" s="77"/>
      <c r="U1501" s="1893" t="s">
        <v>693</v>
      </c>
      <c r="V1501" s="2079">
        <f t="shared" si="392"/>
        <v>0</v>
      </c>
      <c r="W1501" s="78">
        <f t="shared" si="393"/>
        <v>332.15819999999997</v>
      </c>
      <c r="X1501" s="1878" t="str">
        <f t="shared" si="391"/>
        <v xml:space="preserve">13.- C Lima Caucho 1211207-OT_217503  Reencauche 030-0053153 </v>
      </c>
      <c r="Z1501" s="19" t="str">
        <f t="shared" si="397"/>
        <v>ReencaucheReencauchadora RENOVA</v>
      </c>
    </row>
    <row r="1502" spans="2:26" ht="15.2" customHeight="1">
      <c r="B1502" s="37"/>
      <c r="E1502" s="66">
        <v>14</v>
      </c>
      <c r="F1502" s="67" t="s">
        <v>732</v>
      </c>
      <c r="G1502" s="68" t="s">
        <v>757</v>
      </c>
      <c r="H1502" s="69" t="s">
        <v>852</v>
      </c>
      <c r="I1502" s="68" t="s">
        <v>726</v>
      </c>
      <c r="J1502" s="70" t="s">
        <v>760</v>
      </c>
      <c r="K1502" s="71" t="s">
        <v>837</v>
      </c>
      <c r="L1502" s="72">
        <v>42304</v>
      </c>
      <c r="M1502" s="73" t="s">
        <v>729</v>
      </c>
      <c r="N1502" s="74">
        <v>42311</v>
      </c>
      <c r="O1502" s="75">
        <v>42311</v>
      </c>
      <c r="P1502" s="2765"/>
      <c r="Q1502" s="2954"/>
      <c r="R1502" s="76">
        <v>0</v>
      </c>
      <c r="S1502" s="1945" t="s">
        <v>731</v>
      </c>
      <c r="T1502" s="1875" t="s">
        <v>853</v>
      </c>
      <c r="U1502" s="1920" t="s">
        <v>693</v>
      </c>
      <c r="V1502" s="2079">
        <f t="shared" si="392"/>
        <v>0</v>
      </c>
      <c r="W1502" s="78">
        <f t="shared" si="393"/>
        <v>0</v>
      </c>
      <c r="X1502" s="1878" t="str">
        <f t="shared" si="391"/>
        <v>14.- C Goodyear 1890920-OT_217504  Reencauche  Rechazada, Guia 030-0053151</v>
      </c>
      <c r="Z1502" s="19" t="str">
        <f t="shared" si="397"/>
        <v>Vulcanizado (curación)Reenc. MASTERCAUCHO</v>
      </c>
    </row>
    <row r="1503" spans="2:26" ht="15.2" customHeight="1">
      <c r="B1503" s="37"/>
      <c r="E1503" s="66">
        <v>15</v>
      </c>
      <c r="F1503" s="67" t="s">
        <v>732</v>
      </c>
      <c r="G1503" s="68" t="s">
        <v>733</v>
      </c>
      <c r="H1503" s="69" t="s">
        <v>854</v>
      </c>
      <c r="I1503" s="68" t="s">
        <v>726</v>
      </c>
      <c r="J1503" s="70" t="s">
        <v>760</v>
      </c>
      <c r="K1503" s="71" t="s">
        <v>844</v>
      </c>
      <c r="L1503" s="72">
        <v>42304</v>
      </c>
      <c r="M1503" s="73" t="s">
        <v>729</v>
      </c>
      <c r="N1503" s="74">
        <v>42311</v>
      </c>
      <c r="O1503" s="75">
        <v>42311</v>
      </c>
      <c r="P1503" s="2765"/>
      <c r="Q1503" s="2954"/>
      <c r="R1503" s="76">
        <v>0</v>
      </c>
      <c r="S1503" s="1945" t="s">
        <v>731</v>
      </c>
      <c r="T1503" s="1875" t="s">
        <v>853</v>
      </c>
      <c r="U1503" s="1920" t="s">
        <v>693</v>
      </c>
      <c r="V1503" s="2079">
        <f t="shared" si="392"/>
        <v>0</v>
      </c>
      <c r="W1503" s="78">
        <f t="shared" si="393"/>
        <v>0</v>
      </c>
      <c r="X1503" s="1878" t="str">
        <f t="shared" si="391"/>
        <v>15.- C Lima Caucho 0340508-OT_217503  Reencauche  Rechazada, Guia 030-0053151</v>
      </c>
      <c r="Z1503" s="19" t="str">
        <f t="shared" si="397"/>
        <v>ReencaucheReenc. MASTERCAUCHO</v>
      </c>
    </row>
    <row r="1504" spans="2:26" ht="15.2" customHeight="1">
      <c r="B1504" s="37"/>
      <c r="E1504" s="79">
        <v>16</v>
      </c>
      <c r="F1504" s="80" t="s">
        <v>732</v>
      </c>
      <c r="G1504" s="3142" t="s">
        <v>733</v>
      </c>
      <c r="H1504" s="3136" t="s">
        <v>855</v>
      </c>
      <c r="I1504" s="2576" t="s">
        <v>726</v>
      </c>
      <c r="J1504" s="2578" t="s">
        <v>760</v>
      </c>
      <c r="K1504" s="2579" t="s">
        <v>844</v>
      </c>
      <c r="L1504" s="2580">
        <v>42304</v>
      </c>
      <c r="M1504" s="3132" t="s">
        <v>729</v>
      </c>
      <c r="N1504" s="3138">
        <v>42357</v>
      </c>
      <c r="O1504" s="2583">
        <v>42357</v>
      </c>
      <c r="P1504" s="2941" t="s">
        <v>793</v>
      </c>
      <c r="Q1504" s="2957"/>
      <c r="R1504" s="2584">
        <v>281.49</v>
      </c>
      <c r="S1504" s="3140" t="s">
        <v>731</v>
      </c>
      <c r="T1504" s="77"/>
      <c r="U1504" s="1893" t="s">
        <v>693</v>
      </c>
      <c r="V1504" s="2079">
        <f t="shared" si="392"/>
        <v>0</v>
      </c>
      <c r="W1504" s="78">
        <f t="shared" si="393"/>
        <v>332.15819999999997</v>
      </c>
      <c r="X1504" s="1878" t="str">
        <f t="shared" si="391"/>
        <v xml:space="preserve">16.- C Lima Caucho 0660808-OT_217503  Reencauche 0030-0044857 </v>
      </c>
      <c r="Z1504" s="19" t="str">
        <f t="shared" si="397"/>
        <v>ReencaucheReenc. MASTERCAUCHO</v>
      </c>
    </row>
    <row r="1505" spans="2:26" ht="15.2" customHeight="1">
      <c r="B1505" s="37"/>
      <c r="E1505" s="79">
        <v>1</v>
      </c>
      <c r="F1505" s="80" t="s">
        <v>723</v>
      </c>
      <c r="G1505" s="81" t="s">
        <v>724</v>
      </c>
      <c r="H1505" s="82" t="s">
        <v>856</v>
      </c>
      <c r="I1505" s="81" t="s">
        <v>811</v>
      </c>
      <c r="J1505" s="83" t="s">
        <v>727</v>
      </c>
      <c r="K1505" s="84" t="s">
        <v>857</v>
      </c>
      <c r="L1505" s="85">
        <v>42304</v>
      </c>
      <c r="M1505" s="86" t="s">
        <v>729</v>
      </c>
      <c r="N1505" s="87">
        <v>42311</v>
      </c>
      <c r="O1505" s="88">
        <f t="shared" ref="O1505:O1524" si="399">+N1505</f>
        <v>42311</v>
      </c>
      <c r="P1505" s="2766" t="s">
        <v>858</v>
      </c>
      <c r="Q1505" s="2955"/>
      <c r="R1505" s="89">
        <v>105.93</v>
      </c>
      <c r="S1505" s="1946" t="s">
        <v>731</v>
      </c>
      <c r="T1505" s="77"/>
      <c r="U1505" s="1893" t="s">
        <v>694</v>
      </c>
      <c r="V1505" s="2079">
        <f t="shared" si="392"/>
        <v>0</v>
      </c>
      <c r="W1505" s="78">
        <f t="shared" si="393"/>
        <v>124.9974</v>
      </c>
      <c r="X1505" s="1878" t="str">
        <f t="shared" si="391"/>
        <v xml:space="preserve">1.- R Aeolus 0020115-OT_S/D  Vulcanizado (curación) 0001-004225 </v>
      </c>
      <c r="Z1505" s="19" t="str">
        <f t="shared" si="397"/>
        <v>ReencaucheReenc. MASTERCAUCHO</v>
      </c>
    </row>
    <row r="1506" spans="2:26" ht="15.2" customHeight="1">
      <c r="B1506" s="37"/>
      <c r="E1506" s="66">
        <v>1</v>
      </c>
      <c r="F1506" s="67" t="s">
        <v>723</v>
      </c>
      <c r="G1506" s="68" t="s">
        <v>825</v>
      </c>
      <c r="H1506" s="69" t="s">
        <v>859</v>
      </c>
      <c r="I1506" s="68" t="s">
        <v>726</v>
      </c>
      <c r="J1506" s="70" t="s">
        <v>727</v>
      </c>
      <c r="K1506" s="71" t="s">
        <v>860</v>
      </c>
      <c r="L1506" s="72">
        <v>42300</v>
      </c>
      <c r="M1506" s="73" t="s">
        <v>729</v>
      </c>
      <c r="N1506" s="74">
        <v>42311</v>
      </c>
      <c r="O1506" s="75">
        <f t="shared" si="399"/>
        <v>42311</v>
      </c>
      <c r="P1506" s="2765" t="s">
        <v>858</v>
      </c>
      <c r="Q1506" s="2954"/>
      <c r="R1506" s="76">
        <v>262.70999999999998</v>
      </c>
      <c r="S1506" s="1945" t="s">
        <v>731</v>
      </c>
      <c r="T1506" s="77"/>
      <c r="U1506" s="1893" t="s">
        <v>694</v>
      </c>
      <c r="V1506" s="2079">
        <f t="shared" si="392"/>
        <v>0</v>
      </c>
      <c r="W1506" s="78">
        <f t="shared" si="393"/>
        <v>309.99779999999998</v>
      </c>
      <c r="X1506" s="1878" t="str">
        <f t="shared" ref="X1506:X1569" si="400">CONCATENATE(E1506,".- ",F1506," ",G1506," ",H1506,"-OT_",K1506," "," ",I1506," ",P1506," ",T1506)</f>
        <v xml:space="preserve">1.- R Falken 0510611-OT_001584  Reencauche 0001-004225 </v>
      </c>
      <c r="Z1506" s="19" t="str">
        <f t="shared" si="397"/>
        <v>ReencaucheReenc. MASTERCAUCHO</v>
      </c>
    </row>
    <row r="1507" spans="2:26" ht="15.2" customHeight="1">
      <c r="B1507" s="37"/>
      <c r="E1507" s="66">
        <v>2</v>
      </c>
      <c r="F1507" s="67" t="s">
        <v>723</v>
      </c>
      <c r="G1507" s="68" t="s">
        <v>825</v>
      </c>
      <c r="H1507" s="69" t="s">
        <v>861</v>
      </c>
      <c r="I1507" s="68" t="s">
        <v>726</v>
      </c>
      <c r="J1507" s="70" t="s">
        <v>727</v>
      </c>
      <c r="K1507" s="71" t="s">
        <v>860</v>
      </c>
      <c r="L1507" s="72">
        <v>42300</v>
      </c>
      <c r="M1507" s="73" t="s">
        <v>729</v>
      </c>
      <c r="N1507" s="74">
        <v>42311</v>
      </c>
      <c r="O1507" s="75">
        <f t="shared" si="399"/>
        <v>42311</v>
      </c>
      <c r="P1507" s="2765" t="s">
        <v>858</v>
      </c>
      <c r="Q1507" s="2954"/>
      <c r="R1507" s="76">
        <v>262.70999999999998</v>
      </c>
      <c r="S1507" s="1945" t="s">
        <v>731</v>
      </c>
      <c r="T1507" s="77"/>
      <c r="U1507" s="1893" t="s">
        <v>694</v>
      </c>
      <c r="V1507" s="2079">
        <f t="shared" ref="V1507:V1570" si="401">+Q1507*(1.18)</f>
        <v>0</v>
      </c>
      <c r="W1507" s="78">
        <f t="shared" ref="W1507:W1570" si="402">+R1507*(1.18)</f>
        <v>309.99779999999998</v>
      </c>
      <c r="X1507" s="1878" t="str">
        <f t="shared" si="400"/>
        <v xml:space="preserve">2.- R Falken 0560611-OT_001584  Reencauche 0001-004225 </v>
      </c>
      <c r="Z1507" s="19" t="str">
        <f t="shared" si="397"/>
        <v>ReencaucheReenc. MASTERCAUCHO</v>
      </c>
    </row>
    <row r="1508" spans="2:26" ht="15.2" customHeight="1">
      <c r="B1508" s="37"/>
      <c r="E1508" s="66">
        <v>3</v>
      </c>
      <c r="F1508" s="67" t="s">
        <v>723</v>
      </c>
      <c r="G1508" s="68" t="s">
        <v>825</v>
      </c>
      <c r="H1508" s="69" t="s">
        <v>862</v>
      </c>
      <c r="I1508" s="68" t="s">
        <v>726</v>
      </c>
      <c r="J1508" s="70" t="s">
        <v>727</v>
      </c>
      <c r="K1508" s="71" t="s">
        <v>860</v>
      </c>
      <c r="L1508" s="72">
        <v>42300</v>
      </c>
      <c r="M1508" s="73" t="s">
        <v>729</v>
      </c>
      <c r="N1508" s="74">
        <v>42311</v>
      </c>
      <c r="O1508" s="75">
        <f t="shared" si="399"/>
        <v>42311</v>
      </c>
      <c r="P1508" s="2765" t="s">
        <v>858</v>
      </c>
      <c r="Q1508" s="2954"/>
      <c r="R1508" s="76">
        <v>262.70999999999998</v>
      </c>
      <c r="S1508" s="1945" t="s">
        <v>731</v>
      </c>
      <c r="T1508" s="77"/>
      <c r="U1508" s="1893" t="s">
        <v>694</v>
      </c>
      <c r="V1508" s="2079">
        <f t="shared" si="401"/>
        <v>0</v>
      </c>
      <c r="W1508" s="78">
        <f t="shared" si="402"/>
        <v>309.99779999999998</v>
      </c>
      <c r="X1508" s="1878" t="str">
        <f t="shared" si="400"/>
        <v xml:space="preserve">3.- R Falken 0540611-OT_001584  Reencauche 0001-004225 </v>
      </c>
      <c r="Z1508" s="19" t="str">
        <f t="shared" si="397"/>
        <v>ReencaucheReenc. MASTERCAUCHO</v>
      </c>
    </row>
    <row r="1509" spans="2:26" ht="15.2" customHeight="1">
      <c r="B1509" s="37"/>
      <c r="E1509" s="66">
        <v>4</v>
      </c>
      <c r="F1509" s="67" t="s">
        <v>723</v>
      </c>
      <c r="G1509" s="68" t="s">
        <v>825</v>
      </c>
      <c r="H1509" s="69" t="s">
        <v>863</v>
      </c>
      <c r="I1509" s="68" t="s">
        <v>726</v>
      </c>
      <c r="J1509" s="70" t="s">
        <v>727</v>
      </c>
      <c r="K1509" s="71" t="s">
        <v>860</v>
      </c>
      <c r="L1509" s="72">
        <v>42300</v>
      </c>
      <c r="M1509" s="73" t="s">
        <v>729</v>
      </c>
      <c r="N1509" s="74">
        <v>42311</v>
      </c>
      <c r="O1509" s="75">
        <f t="shared" si="399"/>
        <v>42311</v>
      </c>
      <c r="P1509" s="2765" t="s">
        <v>858</v>
      </c>
      <c r="Q1509" s="2954"/>
      <c r="R1509" s="76">
        <v>262.70999999999998</v>
      </c>
      <c r="S1509" s="1945" t="s">
        <v>731</v>
      </c>
      <c r="T1509" s="77"/>
      <c r="U1509" s="1893" t="s">
        <v>694</v>
      </c>
      <c r="V1509" s="2079">
        <f t="shared" si="401"/>
        <v>0</v>
      </c>
      <c r="W1509" s="78">
        <f t="shared" si="402"/>
        <v>309.99779999999998</v>
      </c>
      <c r="X1509" s="1878" t="str">
        <f t="shared" si="400"/>
        <v xml:space="preserve">4.- R Falken 0580611-OT_001584  Reencauche 0001-004225 </v>
      </c>
      <c r="Z1509" s="19" t="str">
        <f t="shared" si="397"/>
        <v>ReencaucheReenc. MASTERCAUCHO</v>
      </c>
    </row>
    <row r="1510" spans="2:26" ht="15.2" customHeight="1">
      <c r="B1510" s="37"/>
      <c r="E1510" s="66">
        <v>5</v>
      </c>
      <c r="F1510" s="67" t="s">
        <v>723</v>
      </c>
      <c r="G1510" s="68" t="s">
        <v>825</v>
      </c>
      <c r="H1510" s="69" t="s">
        <v>864</v>
      </c>
      <c r="I1510" s="68" t="s">
        <v>726</v>
      </c>
      <c r="J1510" s="70" t="s">
        <v>727</v>
      </c>
      <c r="K1510" s="71" t="s">
        <v>860</v>
      </c>
      <c r="L1510" s="72">
        <v>42300</v>
      </c>
      <c r="M1510" s="73" t="s">
        <v>729</v>
      </c>
      <c r="N1510" s="74">
        <v>42311</v>
      </c>
      <c r="O1510" s="75">
        <f t="shared" si="399"/>
        <v>42311</v>
      </c>
      <c r="P1510" s="2765" t="s">
        <v>858</v>
      </c>
      <c r="Q1510" s="2954"/>
      <c r="R1510" s="76">
        <v>262.70999999999998</v>
      </c>
      <c r="S1510" s="1945" t="s">
        <v>731</v>
      </c>
      <c r="T1510" s="77"/>
      <c r="U1510" s="1893" t="s">
        <v>694</v>
      </c>
      <c r="V1510" s="2079">
        <f t="shared" si="401"/>
        <v>0</v>
      </c>
      <c r="W1510" s="78">
        <f t="shared" si="402"/>
        <v>309.99779999999998</v>
      </c>
      <c r="X1510" s="1878" t="str">
        <f t="shared" si="400"/>
        <v xml:space="preserve">5.- R Falken 0600611-OT_001584  Reencauche 0001-004225 </v>
      </c>
      <c r="Z1510" s="19" t="str">
        <f t="shared" si="397"/>
        <v>ReencaucheReenc. MASTERCAUCHO</v>
      </c>
    </row>
    <row r="1511" spans="2:26" ht="15.2" customHeight="1">
      <c r="B1511" s="37"/>
      <c r="E1511" s="66">
        <v>6</v>
      </c>
      <c r="F1511" s="67" t="s">
        <v>723</v>
      </c>
      <c r="G1511" s="68" t="s">
        <v>825</v>
      </c>
      <c r="H1511" s="69" t="s">
        <v>865</v>
      </c>
      <c r="I1511" s="68" t="s">
        <v>726</v>
      </c>
      <c r="J1511" s="70" t="s">
        <v>727</v>
      </c>
      <c r="K1511" s="71" t="s">
        <v>860</v>
      </c>
      <c r="L1511" s="72">
        <v>42300</v>
      </c>
      <c r="M1511" s="73" t="s">
        <v>729</v>
      </c>
      <c r="N1511" s="74">
        <v>42311</v>
      </c>
      <c r="O1511" s="75">
        <f t="shared" si="399"/>
        <v>42311</v>
      </c>
      <c r="P1511" s="2765" t="s">
        <v>858</v>
      </c>
      <c r="Q1511" s="2954"/>
      <c r="R1511" s="76">
        <v>262.70999999999998</v>
      </c>
      <c r="S1511" s="1945" t="s">
        <v>731</v>
      </c>
      <c r="T1511" s="77"/>
      <c r="U1511" s="1893" t="s">
        <v>694</v>
      </c>
      <c r="V1511" s="2079">
        <f t="shared" si="401"/>
        <v>0</v>
      </c>
      <c r="W1511" s="78">
        <f t="shared" si="402"/>
        <v>309.99779999999998</v>
      </c>
      <c r="X1511" s="1878" t="str">
        <f t="shared" si="400"/>
        <v xml:space="preserve">6.- R Falken 0550611-OT_001584  Reencauche 0001-004225 </v>
      </c>
      <c r="Z1511" s="19" t="str">
        <f t="shared" si="397"/>
        <v>ReencaucheReenc. MASTERCAUCHO</v>
      </c>
    </row>
    <row r="1512" spans="2:26" ht="15.2" customHeight="1">
      <c r="B1512" s="37"/>
      <c r="E1512" s="79">
        <v>7</v>
      </c>
      <c r="F1512" s="80" t="s">
        <v>723</v>
      </c>
      <c r="G1512" s="81" t="s">
        <v>724</v>
      </c>
      <c r="H1512" s="82" t="s">
        <v>866</v>
      </c>
      <c r="I1512" s="81" t="s">
        <v>726</v>
      </c>
      <c r="J1512" s="83" t="s">
        <v>727</v>
      </c>
      <c r="K1512" s="84" t="s">
        <v>860</v>
      </c>
      <c r="L1512" s="85">
        <v>42300</v>
      </c>
      <c r="M1512" s="86" t="s">
        <v>729</v>
      </c>
      <c r="N1512" s="87">
        <v>42311</v>
      </c>
      <c r="O1512" s="88">
        <f t="shared" si="399"/>
        <v>42311</v>
      </c>
      <c r="P1512" s="2766" t="s">
        <v>858</v>
      </c>
      <c r="Q1512" s="2955"/>
      <c r="R1512" s="89">
        <v>262.70999999999998</v>
      </c>
      <c r="S1512" s="1946" t="s">
        <v>731</v>
      </c>
      <c r="T1512" s="77"/>
      <c r="U1512" s="1893" t="s">
        <v>694</v>
      </c>
      <c r="V1512" s="2079">
        <f t="shared" si="401"/>
        <v>0</v>
      </c>
      <c r="W1512" s="78">
        <f t="shared" si="402"/>
        <v>309.99779999999998</v>
      </c>
      <c r="X1512" s="1878" t="str">
        <f t="shared" si="400"/>
        <v xml:space="preserve">7.- R Aeolus 0270413-OT_001584  Reencauche 0001-004225 </v>
      </c>
      <c r="Z1512" s="19" t="str">
        <f t="shared" si="397"/>
        <v>ReencaucheReenc. MASTERCAUCHO</v>
      </c>
    </row>
    <row r="1513" spans="2:26" ht="15.2" customHeight="1">
      <c r="B1513" s="37"/>
      <c r="E1513" s="79">
        <v>1</v>
      </c>
      <c r="F1513" s="80" t="s">
        <v>723</v>
      </c>
      <c r="G1513" s="81" t="s">
        <v>724</v>
      </c>
      <c r="H1513" s="82" t="s">
        <v>867</v>
      </c>
      <c r="I1513" s="81" t="s">
        <v>726</v>
      </c>
      <c r="J1513" s="120" t="s">
        <v>727</v>
      </c>
      <c r="K1513" s="84" t="s">
        <v>868</v>
      </c>
      <c r="L1513" s="85">
        <v>42284</v>
      </c>
      <c r="M1513" s="86" t="s">
        <v>729</v>
      </c>
      <c r="N1513" s="87">
        <v>42291</v>
      </c>
      <c r="O1513" s="88">
        <f t="shared" si="399"/>
        <v>42291</v>
      </c>
      <c r="P1513" s="2766" t="s">
        <v>869</v>
      </c>
      <c r="Q1513" s="2955"/>
      <c r="R1513" s="89">
        <v>262.70999999999998</v>
      </c>
      <c r="S1513" s="1946" t="s">
        <v>731</v>
      </c>
      <c r="T1513" s="77"/>
      <c r="U1513" s="1893" t="s">
        <v>694</v>
      </c>
      <c r="V1513" s="2079">
        <f t="shared" si="401"/>
        <v>0</v>
      </c>
      <c r="W1513" s="78">
        <f t="shared" si="402"/>
        <v>309.99779999999998</v>
      </c>
      <c r="X1513" s="1878" t="str">
        <f t="shared" si="400"/>
        <v xml:space="preserve">1.- R Aeolus 0220611-OT_001438  Reencauche 0001-004093 </v>
      </c>
      <c r="Z1513" s="19" t="str">
        <f t="shared" si="397"/>
        <v>ReencaucheReenc. MASTERCAUCHO</v>
      </c>
    </row>
    <row r="1514" spans="2:26" ht="15.2" customHeight="1">
      <c r="B1514" s="37"/>
      <c r="E1514" s="66">
        <v>1</v>
      </c>
      <c r="F1514" s="67" t="s">
        <v>723</v>
      </c>
      <c r="G1514" s="68" t="s">
        <v>724</v>
      </c>
      <c r="H1514" s="69" t="s">
        <v>870</v>
      </c>
      <c r="I1514" s="68" t="s">
        <v>726</v>
      </c>
      <c r="J1514" s="70" t="s">
        <v>727</v>
      </c>
      <c r="K1514" s="71" t="s">
        <v>871</v>
      </c>
      <c r="L1514" s="72">
        <v>42277</v>
      </c>
      <c r="M1514" s="73" t="s">
        <v>729</v>
      </c>
      <c r="N1514" s="74">
        <v>42284</v>
      </c>
      <c r="O1514" s="75">
        <f t="shared" si="399"/>
        <v>42284</v>
      </c>
      <c r="P1514" s="2765" t="s">
        <v>872</v>
      </c>
      <c r="Q1514" s="2954"/>
      <c r="R1514" s="76">
        <v>262.71289999999999</v>
      </c>
      <c r="S1514" s="1945" t="s">
        <v>731</v>
      </c>
      <c r="T1514" s="77"/>
      <c r="U1514" s="1893" t="s">
        <v>694</v>
      </c>
      <c r="V1514" s="2079">
        <f t="shared" si="401"/>
        <v>0</v>
      </c>
      <c r="W1514" s="78">
        <f t="shared" si="402"/>
        <v>310.00122199999998</v>
      </c>
      <c r="X1514" s="1878" t="str">
        <f t="shared" si="400"/>
        <v xml:space="preserve">1.- R Aeolus 0240413-OT_001426  Reencauche 0001-004040 </v>
      </c>
      <c r="Z1514" s="19" t="str">
        <f t="shared" si="397"/>
        <v>ReencaucheReenc. MASTERCAUCHO</v>
      </c>
    </row>
    <row r="1515" spans="2:26" ht="15.2" customHeight="1">
      <c r="B1515" s="37"/>
      <c r="E1515" s="66">
        <v>2</v>
      </c>
      <c r="F1515" s="67" t="s">
        <v>723</v>
      </c>
      <c r="G1515" s="68" t="s">
        <v>724</v>
      </c>
      <c r="H1515" s="69" t="s">
        <v>873</v>
      </c>
      <c r="I1515" s="68" t="s">
        <v>726</v>
      </c>
      <c r="J1515" s="70" t="s">
        <v>727</v>
      </c>
      <c r="K1515" s="71" t="s">
        <v>871</v>
      </c>
      <c r="L1515" s="72">
        <v>42277</v>
      </c>
      <c r="M1515" s="73" t="s">
        <v>729</v>
      </c>
      <c r="N1515" s="121">
        <v>42284</v>
      </c>
      <c r="O1515" s="75">
        <f t="shared" si="399"/>
        <v>42284</v>
      </c>
      <c r="P1515" s="2765" t="s">
        <v>872</v>
      </c>
      <c r="Q1515" s="2954"/>
      <c r="R1515" s="76">
        <v>262.71289999999999</v>
      </c>
      <c r="S1515" s="1945" t="s">
        <v>731</v>
      </c>
      <c r="T1515" s="77"/>
      <c r="U1515" s="1893" t="s">
        <v>694</v>
      </c>
      <c r="V1515" s="2079">
        <f t="shared" si="401"/>
        <v>0</v>
      </c>
      <c r="W1515" s="78">
        <f t="shared" si="402"/>
        <v>310.00122199999998</v>
      </c>
      <c r="X1515" s="1878" t="str">
        <f t="shared" si="400"/>
        <v xml:space="preserve">2.- R Aeolus 0190514-OT_001426  Reencauche 0001-004040 </v>
      </c>
      <c r="Z1515" s="19" t="str">
        <f t="shared" si="397"/>
        <v>ReencaucheReenc. MASTERCAUCHO</v>
      </c>
    </row>
    <row r="1516" spans="2:26" ht="15.2" customHeight="1">
      <c r="B1516" s="37"/>
      <c r="E1516" s="66">
        <v>3</v>
      </c>
      <c r="F1516" s="67" t="s">
        <v>723</v>
      </c>
      <c r="G1516" s="68" t="s">
        <v>724</v>
      </c>
      <c r="H1516" s="69" t="s">
        <v>874</v>
      </c>
      <c r="I1516" s="68" t="s">
        <v>726</v>
      </c>
      <c r="J1516" s="70" t="s">
        <v>727</v>
      </c>
      <c r="K1516" s="71" t="s">
        <v>871</v>
      </c>
      <c r="L1516" s="72">
        <v>42277</v>
      </c>
      <c r="M1516" s="73" t="s">
        <v>729</v>
      </c>
      <c r="N1516" s="121">
        <v>42284</v>
      </c>
      <c r="O1516" s="75">
        <f t="shared" si="399"/>
        <v>42284</v>
      </c>
      <c r="P1516" s="2765" t="s">
        <v>872</v>
      </c>
      <c r="Q1516" s="2954"/>
      <c r="R1516" s="76">
        <v>262.71289999999999</v>
      </c>
      <c r="S1516" s="1945" t="s">
        <v>731</v>
      </c>
      <c r="T1516" s="77"/>
      <c r="U1516" s="1893" t="s">
        <v>694</v>
      </c>
      <c r="V1516" s="2079">
        <f t="shared" si="401"/>
        <v>0</v>
      </c>
      <c r="W1516" s="78">
        <f t="shared" si="402"/>
        <v>310.00122199999998</v>
      </c>
      <c r="X1516" s="1878" t="str">
        <f t="shared" si="400"/>
        <v xml:space="preserve">3.- R Aeolus 0300413-OT_001426  Reencauche 0001-004040 </v>
      </c>
      <c r="Z1516" s="19" t="str">
        <f t="shared" si="397"/>
        <v>ReencaucheReenc. MASTERCAUCHO</v>
      </c>
    </row>
    <row r="1517" spans="2:26" ht="15.2" customHeight="1">
      <c r="B1517" s="37"/>
      <c r="E1517" s="66">
        <v>4</v>
      </c>
      <c r="F1517" s="67" t="s">
        <v>723</v>
      </c>
      <c r="G1517" s="68" t="s">
        <v>724</v>
      </c>
      <c r="H1517" s="69" t="s">
        <v>875</v>
      </c>
      <c r="I1517" s="68" t="s">
        <v>726</v>
      </c>
      <c r="J1517" s="70" t="s">
        <v>727</v>
      </c>
      <c r="K1517" s="71" t="s">
        <v>871</v>
      </c>
      <c r="L1517" s="72">
        <v>42277</v>
      </c>
      <c r="M1517" s="73" t="s">
        <v>729</v>
      </c>
      <c r="N1517" s="121">
        <v>42284</v>
      </c>
      <c r="O1517" s="75">
        <f t="shared" si="399"/>
        <v>42284</v>
      </c>
      <c r="P1517" s="2765" t="s">
        <v>872</v>
      </c>
      <c r="Q1517" s="2954"/>
      <c r="R1517" s="76">
        <v>262.71289999999999</v>
      </c>
      <c r="S1517" s="1945" t="s">
        <v>731</v>
      </c>
      <c r="T1517" s="77"/>
      <c r="U1517" s="1893" t="s">
        <v>694</v>
      </c>
      <c r="V1517" s="2079">
        <f t="shared" si="401"/>
        <v>0</v>
      </c>
      <c r="W1517" s="78">
        <f t="shared" si="402"/>
        <v>310.00122199999998</v>
      </c>
      <c r="X1517" s="1878" t="str">
        <f t="shared" si="400"/>
        <v xml:space="preserve">4.- R Aeolus 0220413-OT_001426  Reencauche 0001-004040 </v>
      </c>
      <c r="Z1517" s="19" t="str">
        <f t="shared" si="397"/>
        <v>ReencaucheReenc. MASTERCAUCHO</v>
      </c>
    </row>
    <row r="1518" spans="2:26" ht="15.2" customHeight="1">
      <c r="B1518" s="37"/>
      <c r="E1518" s="66">
        <v>5</v>
      </c>
      <c r="F1518" s="67" t="s">
        <v>723</v>
      </c>
      <c r="G1518" s="68" t="s">
        <v>724</v>
      </c>
      <c r="H1518" s="69" t="s">
        <v>876</v>
      </c>
      <c r="I1518" s="68" t="s">
        <v>726</v>
      </c>
      <c r="J1518" s="70" t="s">
        <v>727</v>
      </c>
      <c r="K1518" s="71" t="s">
        <v>871</v>
      </c>
      <c r="L1518" s="72">
        <v>42277</v>
      </c>
      <c r="M1518" s="73" t="s">
        <v>729</v>
      </c>
      <c r="N1518" s="121">
        <v>42284</v>
      </c>
      <c r="O1518" s="75">
        <f t="shared" si="399"/>
        <v>42284</v>
      </c>
      <c r="P1518" s="2765" t="s">
        <v>872</v>
      </c>
      <c r="Q1518" s="2954"/>
      <c r="R1518" s="76">
        <v>262.71289999999999</v>
      </c>
      <c r="S1518" s="1945" t="s">
        <v>731</v>
      </c>
      <c r="T1518" s="77"/>
      <c r="U1518" s="1893" t="s">
        <v>694</v>
      </c>
      <c r="V1518" s="2079">
        <f t="shared" si="401"/>
        <v>0</v>
      </c>
      <c r="W1518" s="78">
        <f t="shared" si="402"/>
        <v>310.00122199999998</v>
      </c>
      <c r="X1518" s="1878" t="str">
        <f t="shared" si="400"/>
        <v xml:space="preserve">5.- R Aeolus 0230413-OT_001426  Reencauche 0001-004040 </v>
      </c>
      <c r="Z1518" s="19" t="str">
        <f t="shared" si="397"/>
        <v>ReencaucheReenc. MASTERCAUCHO</v>
      </c>
    </row>
    <row r="1519" spans="2:26" ht="15.2" customHeight="1">
      <c r="B1519" s="37"/>
      <c r="E1519" s="66">
        <v>6</v>
      </c>
      <c r="F1519" s="67" t="s">
        <v>723</v>
      </c>
      <c r="G1519" s="68" t="s">
        <v>724</v>
      </c>
      <c r="H1519" s="69" t="s">
        <v>877</v>
      </c>
      <c r="I1519" s="68" t="s">
        <v>726</v>
      </c>
      <c r="J1519" s="70" t="s">
        <v>727</v>
      </c>
      <c r="K1519" s="71" t="s">
        <v>871</v>
      </c>
      <c r="L1519" s="72">
        <v>42277</v>
      </c>
      <c r="M1519" s="73" t="s">
        <v>729</v>
      </c>
      <c r="N1519" s="121">
        <v>42284</v>
      </c>
      <c r="O1519" s="75">
        <f t="shared" si="399"/>
        <v>42284</v>
      </c>
      <c r="P1519" s="2765" t="s">
        <v>872</v>
      </c>
      <c r="Q1519" s="2954"/>
      <c r="R1519" s="76">
        <v>262.71289999999999</v>
      </c>
      <c r="S1519" s="1945" t="s">
        <v>731</v>
      </c>
      <c r="T1519" s="77"/>
      <c r="U1519" s="1893" t="s">
        <v>694</v>
      </c>
      <c r="V1519" s="2079">
        <f t="shared" si="401"/>
        <v>0</v>
      </c>
      <c r="W1519" s="78">
        <f t="shared" si="402"/>
        <v>310.00122199999998</v>
      </c>
      <c r="X1519" s="1878" t="str">
        <f t="shared" si="400"/>
        <v xml:space="preserve">6.- R Aeolus 0210413-OT_001426  Reencauche 0001-004040 </v>
      </c>
      <c r="Z1519" s="19" t="str">
        <f t="shared" si="397"/>
        <v>ReencaucheReenc. MASTERCAUCHO</v>
      </c>
    </row>
    <row r="1520" spans="2:26" ht="15.2" customHeight="1">
      <c r="B1520" s="37"/>
      <c r="E1520" s="66">
        <v>7</v>
      </c>
      <c r="F1520" s="67" t="s">
        <v>723</v>
      </c>
      <c r="G1520" s="68" t="s">
        <v>724</v>
      </c>
      <c r="H1520" s="69" t="s">
        <v>878</v>
      </c>
      <c r="I1520" s="68" t="s">
        <v>726</v>
      </c>
      <c r="J1520" s="70" t="s">
        <v>727</v>
      </c>
      <c r="K1520" s="71" t="s">
        <v>871</v>
      </c>
      <c r="L1520" s="72">
        <v>42277</v>
      </c>
      <c r="M1520" s="73" t="s">
        <v>729</v>
      </c>
      <c r="N1520" s="121">
        <v>42284</v>
      </c>
      <c r="O1520" s="75">
        <f t="shared" si="399"/>
        <v>42284</v>
      </c>
      <c r="P1520" s="2765" t="s">
        <v>872</v>
      </c>
      <c r="Q1520" s="2954"/>
      <c r="R1520" s="76">
        <v>262.71289999999999</v>
      </c>
      <c r="S1520" s="1945" t="s">
        <v>731</v>
      </c>
      <c r="T1520" s="77"/>
      <c r="U1520" s="1893" t="s">
        <v>694</v>
      </c>
      <c r="V1520" s="2079">
        <f t="shared" si="401"/>
        <v>0</v>
      </c>
      <c r="W1520" s="78">
        <f t="shared" si="402"/>
        <v>310.00122199999998</v>
      </c>
      <c r="X1520" s="1878" t="str">
        <f t="shared" si="400"/>
        <v xml:space="preserve">7.- R Aeolus 0280413-OT_001426  Reencauche 0001-004040 </v>
      </c>
      <c r="Z1520" s="19" t="str">
        <f t="shared" si="397"/>
        <v>ReencaucheReenc. MASTERCAUCHO</v>
      </c>
    </row>
    <row r="1521" spans="2:26" ht="15.2" customHeight="1">
      <c r="B1521" s="37"/>
      <c r="E1521" s="66">
        <v>8</v>
      </c>
      <c r="F1521" s="67" t="s">
        <v>723</v>
      </c>
      <c r="G1521" s="68" t="s">
        <v>825</v>
      </c>
      <c r="H1521" s="69" t="s">
        <v>879</v>
      </c>
      <c r="I1521" s="68" t="s">
        <v>726</v>
      </c>
      <c r="J1521" s="70" t="s">
        <v>727</v>
      </c>
      <c r="K1521" s="71" t="s">
        <v>871</v>
      </c>
      <c r="L1521" s="72">
        <v>42277</v>
      </c>
      <c r="M1521" s="73" t="s">
        <v>729</v>
      </c>
      <c r="N1521" s="121">
        <v>42284</v>
      </c>
      <c r="O1521" s="75">
        <f t="shared" si="399"/>
        <v>42284</v>
      </c>
      <c r="P1521" s="2765" t="s">
        <v>872</v>
      </c>
      <c r="Q1521" s="2954"/>
      <c r="R1521" s="76">
        <v>262.71289999999999</v>
      </c>
      <c r="S1521" s="1945" t="s">
        <v>731</v>
      </c>
      <c r="T1521" s="77"/>
      <c r="U1521" s="1893" t="s">
        <v>694</v>
      </c>
      <c r="V1521" s="2079">
        <f t="shared" si="401"/>
        <v>0</v>
      </c>
      <c r="W1521" s="78">
        <f t="shared" si="402"/>
        <v>310.00122199999998</v>
      </c>
      <c r="X1521" s="1878" t="str">
        <f t="shared" si="400"/>
        <v xml:space="preserve">8.- R Falken 0520611-OT_001426  Reencauche 0001-004040 </v>
      </c>
      <c r="Z1521" s="19" t="str">
        <f t="shared" si="397"/>
        <v>ReencaucheReencauchadora RENOVA</v>
      </c>
    </row>
    <row r="1522" spans="2:26" ht="15.2" customHeight="1">
      <c r="B1522" s="37"/>
      <c r="E1522" s="66">
        <v>9</v>
      </c>
      <c r="F1522" s="67" t="s">
        <v>723</v>
      </c>
      <c r="G1522" s="68" t="s">
        <v>825</v>
      </c>
      <c r="H1522" s="69" t="s">
        <v>880</v>
      </c>
      <c r="I1522" s="68" t="s">
        <v>726</v>
      </c>
      <c r="J1522" s="70" t="s">
        <v>727</v>
      </c>
      <c r="K1522" s="71" t="s">
        <v>871</v>
      </c>
      <c r="L1522" s="72">
        <v>42277</v>
      </c>
      <c r="M1522" s="73" t="s">
        <v>729</v>
      </c>
      <c r="N1522" s="121">
        <v>42284</v>
      </c>
      <c r="O1522" s="75">
        <f t="shared" si="399"/>
        <v>42284</v>
      </c>
      <c r="P1522" s="2765" t="s">
        <v>872</v>
      </c>
      <c r="Q1522" s="2954"/>
      <c r="R1522" s="76">
        <v>262.71289999999999</v>
      </c>
      <c r="S1522" s="1945" t="s">
        <v>731</v>
      </c>
      <c r="T1522" s="77"/>
      <c r="U1522" s="1893" t="s">
        <v>694</v>
      </c>
      <c r="V1522" s="2079">
        <f t="shared" si="401"/>
        <v>0</v>
      </c>
      <c r="W1522" s="78">
        <f t="shared" si="402"/>
        <v>310.00122199999998</v>
      </c>
      <c r="X1522" s="1878" t="str">
        <f t="shared" si="400"/>
        <v xml:space="preserve">9.- R Falken 0590611-OT_001426  Reencauche 0001-004040 </v>
      </c>
      <c r="Z1522" s="19" t="str">
        <f t="shared" si="397"/>
        <v>ReencaucheReencauchadora RENOVA</v>
      </c>
    </row>
    <row r="1523" spans="2:26" ht="15.2" customHeight="1">
      <c r="B1523" s="37"/>
      <c r="E1523" s="79">
        <v>10</v>
      </c>
      <c r="F1523" s="80" t="s">
        <v>723</v>
      </c>
      <c r="G1523" s="81" t="s">
        <v>724</v>
      </c>
      <c r="H1523" s="82" t="s">
        <v>881</v>
      </c>
      <c r="I1523" s="81" t="s">
        <v>726</v>
      </c>
      <c r="J1523" s="83" t="s">
        <v>727</v>
      </c>
      <c r="K1523" s="84" t="s">
        <v>871</v>
      </c>
      <c r="L1523" s="85">
        <v>42277</v>
      </c>
      <c r="M1523" s="86" t="s">
        <v>729</v>
      </c>
      <c r="N1523" s="122">
        <v>42284</v>
      </c>
      <c r="O1523" s="88">
        <f t="shared" si="399"/>
        <v>42284</v>
      </c>
      <c r="P1523" s="2766"/>
      <c r="Q1523" s="2955"/>
      <c r="R1523" s="89">
        <v>0</v>
      </c>
      <c r="S1523" s="1946" t="s">
        <v>731</v>
      </c>
      <c r="T1523" s="1875" t="s">
        <v>882</v>
      </c>
      <c r="U1523" s="1893" t="s">
        <v>694</v>
      </c>
      <c r="V1523" s="2079">
        <f t="shared" si="401"/>
        <v>0</v>
      </c>
      <c r="W1523" s="78">
        <f t="shared" si="402"/>
        <v>0</v>
      </c>
      <c r="X1523" s="1878" t="str">
        <f t="shared" si="400"/>
        <v>10.- R Aeolus 0300912-OT_001426  Reencauche  Rechazada, Falla en Casco perforado Grnd, No se Facturo</v>
      </c>
      <c r="Z1523" s="19" t="str">
        <f t="shared" si="397"/>
        <v>ReencaucheReencauchadora RENOVA</v>
      </c>
    </row>
    <row r="1524" spans="2:26" ht="15.2" customHeight="1">
      <c r="B1524" s="37"/>
      <c r="E1524" s="66">
        <v>1</v>
      </c>
      <c r="F1524" s="67" t="s">
        <v>732</v>
      </c>
      <c r="G1524" s="68" t="s">
        <v>733</v>
      </c>
      <c r="H1524" s="69" t="s">
        <v>883</v>
      </c>
      <c r="I1524" s="68" t="s">
        <v>726</v>
      </c>
      <c r="J1524" s="70" t="s">
        <v>760</v>
      </c>
      <c r="K1524" s="71" t="s">
        <v>884</v>
      </c>
      <c r="L1524" s="72">
        <v>42276</v>
      </c>
      <c r="M1524" s="73" t="s">
        <v>729</v>
      </c>
      <c r="N1524" s="74">
        <v>42284</v>
      </c>
      <c r="O1524" s="75">
        <f t="shared" si="399"/>
        <v>42284</v>
      </c>
      <c r="P1524" s="2765" t="s">
        <v>885</v>
      </c>
      <c r="Q1524" s="2954"/>
      <c r="R1524" s="76">
        <v>281.49</v>
      </c>
      <c r="S1524" s="1945" t="s">
        <v>731</v>
      </c>
      <c r="T1524" s="77"/>
      <c r="U1524" s="1893" t="s">
        <v>693</v>
      </c>
      <c r="V1524" s="2079">
        <f t="shared" si="401"/>
        <v>0</v>
      </c>
      <c r="W1524" s="78">
        <f t="shared" si="402"/>
        <v>332.15819999999997</v>
      </c>
      <c r="X1524" s="1878" t="str">
        <f t="shared" si="400"/>
        <v xml:space="preserve">1.- C Lima Caucho 1091210-OT_216578  Reencauche 030-0043537 </v>
      </c>
      <c r="Z1524" s="19" t="str">
        <f t="shared" si="397"/>
        <v>ReencaucheReencauchadora RENOVA</v>
      </c>
    </row>
    <row r="1525" spans="2:26" ht="15.2" customHeight="1">
      <c r="B1525" s="37"/>
      <c r="E1525" s="66">
        <v>2</v>
      </c>
      <c r="F1525" s="67" t="s">
        <v>732</v>
      </c>
      <c r="G1525" s="68" t="s">
        <v>733</v>
      </c>
      <c r="H1525" s="69" t="s">
        <v>886</v>
      </c>
      <c r="I1525" s="68" t="s">
        <v>726</v>
      </c>
      <c r="J1525" s="70" t="s">
        <v>760</v>
      </c>
      <c r="K1525" s="71" t="s">
        <v>884</v>
      </c>
      <c r="L1525" s="72">
        <v>42276</v>
      </c>
      <c r="M1525" s="73" t="s">
        <v>729</v>
      </c>
      <c r="N1525" s="74">
        <v>42284</v>
      </c>
      <c r="O1525" s="75">
        <v>42284</v>
      </c>
      <c r="P1525" s="2765" t="s">
        <v>885</v>
      </c>
      <c r="Q1525" s="2954"/>
      <c r="R1525" s="76">
        <v>281.49</v>
      </c>
      <c r="S1525" s="1945" t="s">
        <v>731</v>
      </c>
      <c r="T1525" s="77"/>
      <c r="U1525" s="1893" t="s">
        <v>693</v>
      </c>
      <c r="V1525" s="2079">
        <f t="shared" si="401"/>
        <v>0</v>
      </c>
      <c r="W1525" s="78">
        <f t="shared" si="402"/>
        <v>332.15819999999997</v>
      </c>
      <c r="X1525" s="1878" t="str">
        <f t="shared" si="400"/>
        <v xml:space="preserve">2.- C Lima Caucho 0800910-OT_216578  Reencauche 030-0043537 </v>
      </c>
      <c r="Z1525" s="19" t="str">
        <f t="shared" si="397"/>
        <v>ReencaucheReencauchadora RENOVA</v>
      </c>
    </row>
    <row r="1526" spans="2:26" ht="15.2" customHeight="1">
      <c r="B1526" s="37"/>
      <c r="E1526" s="66">
        <v>3</v>
      </c>
      <c r="F1526" s="67" t="s">
        <v>732</v>
      </c>
      <c r="G1526" s="68" t="s">
        <v>733</v>
      </c>
      <c r="H1526" s="69" t="s">
        <v>887</v>
      </c>
      <c r="I1526" s="68" t="s">
        <v>726</v>
      </c>
      <c r="J1526" s="70" t="s">
        <v>760</v>
      </c>
      <c r="K1526" s="71" t="s">
        <v>884</v>
      </c>
      <c r="L1526" s="72">
        <v>42276</v>
      </c>
      <c r="M1526" s="73" t="s">
        <v>729</v>
      </c>
      <c r="N1526" s="74">
        <v>42284</v>
      </c>
      <c r="O1526" s="75">
        <v>42284</v>
      </c>
      <c r="P1526" s="2765" t="s">
        <v>885</v>
      </c>
      <c r="Q1526" s="2954"/>
      <c r="R1526" s="76">
        <v>281.49</v>
      </c>
      <c r="S1526" s="1945" t="s">
        <v>731</v>
      </c>
      <c r="T1526" s="77"/>
      <c r="U1526" s="1893" t="s">
        <v>693</v>
      </c>
      <c r="V1526" s="2079">
        <f t="shared" si="401"/>
        <v>0</v>
      </c>
      <c r="W1526" s="78">
        <f t="shared" si="402"/>
        <v>332.15819999999997</v>
      </c>
      <c r="X1526" s="1878" t="str">
        <f t="shared" si="400"/>
        <v xml:space="preserve">3.- C Lima Caucho 1001210-OT_216578  Reencauche 030-0043537 </v>
      </c>
      <c r="Z1526" s="19" t="str">
        <f t="shared" si="397"/>
        <v>ReencaucheReencauchadora RENOVA</v>
      </c>
    </row>
    <row r="1527" spans="2:26" ht="15.2" customHeight="1">
      <c r="B1527" s="37"/>
      <c r="E1527" s="66">
        <v>4</v>
      </c>
      <c r="F1527" s="67" t="s">
        <v>732</v>
      </c>
      <c r="G1527" s="68" t="s">
        <v>733</v>
      </c>
      <c r="H1527" s="69" t="s">
        <v>888</v>
      </c>
      <c r="I1527" s="68" t="s">
        <v>726</v>
      </c>
      <c r="J1527" s="70" t="s">
        <v>760</v>
      </c>
      <c r="K1527" s="71" t="s">
        <v>884</v>
      </c>
      <c r="L1527" s="72">
        <v>42276</v>
      </c>
      <c r="M1527" s="73" t="s">
        <v>729</v>
      </c>
      <c r="N1527" s="74">
        <v>42284</v>
      </c>
      <c r="O1527" s="75">
        <v>42284</v>
      </c>
      <c r="P1527" s="2765" t="s">
        <v>885</v>
      </c>
      <c r="Q1527" s="2954"/>
      <c r="R1527" s="76">
        <v>281.49</v>
      </c>
      <c r="S1527" s="1945" t="s">
        <v>731</v>
      </c>
      <c r="T1527" s="77"/>
      <c r="U1527" s="1893" t="s">
        <v>693</v>
      </c>
      <c r="V1527" s="2079">
        <f t="shared" si="401"/>
        <v>0</v>
      </c>
      <c r="W1527" s="78">
        <f t="shared" si="402"/>
        <v>332.15819999999997</v>
      </c>
      <c r="X1527" s="1878" t="str">
        <f t="shared" si="400"/>
        <v xml:space="preserve">4.- C Lima Caucho 0780908-OT_216578  Reencauche 030-0043537 </v>
      </c>
      <c r="Z1527" s="19" t="str">
        <f t="shared" si="397"/>
        <v>ReencaucheReencauchadora RENOVA</v>
      </c>
    </row>
    <row r="1528" spans="2:26" ht="15.2" customHeight="1">
      <c r="B1528" s="37"/>
      <c r="E1528" s="66">
        <v>5</v>
      </c>
      <c r="F1528" s="67" t="s">
        <v>732</v>
      </c>
      <c r="G1528" s="68" t="s">
        <v>733</v>
      </c>
      <c r="H1528" s="69" t="s">
        <v>889</v>
      </c>
      <c r="I1528" s="68" t="s">
        <v>726</v>
      </c>
      <c r="J1528" s="70" t="s">
        <v>760</v>
      </c>
      <c r="K1528" s="71" t="s">
        <v>884</v>
      </c>
      <c r="L1528" s="72">
        <v>42276</v>
      </c>
      <c r="M1528" s="73" t="s">
        <v>729</v>
      </c>
      <c r="N1528" s="74">
        <v>42284</v>
      </c>
      <c r="O1528" s="75">
        <v>42284</v>
      </c>
      <c r="P1528" s="2765" t="s">
        <v>885</v>
      </c>
      <c r="Q1528" s="2954"/>
      <c r="R1528" s="76">
        <v>281.49</v>
      </c>
      <c r="S1528" s="1945" t="s">
        <v>731</v>
      </c>
      <c r="T1528" s="77"/>
      <c r="U1528" s="1893" t="s">
        <v>693</v>
      </c>
      <c r="V1528" s="2079">
        <f t="shared" si="401"/>
        <v>0</v>
      </c>
      <c r="W1528" s="78">
        <f t="shared" si="402"/>
        <v>332.15819999999997</v>
      </c>
      <c r="X1528" s="1878" t="str">
        <f t="shared" si="400"/>
        <v xml:space="preserve">5.- C Lima Caucho 0390411-OT_216578  Reencauche 030-0043537 </v>
      </c>
      <c r="Z1528" s="19" t="str">
        <f t="shared" si="397"/>
        <v>ReencaucheReencauchadora RENOVA</v>
      </c>
    </row>
    <row r="1529" spans="2:26" ht="15.2" customHeight="1">
      <c r="B1529" s="37"/>
      <c r="E1529" s="66">
        <v>6</v>
      </c>
      <c r="F1529" s="67" t="s">
        <v>732</v>
      </c>
      <c r="G1529" s="68" t="s">
        <v>733</v>
      </c>
      <c r="H1529" s="69" t="s">
        <v>890</v>
      </c>
      <c r="I1529" s="68" t="s">
        <v>726</v>
      </c>
      <c r="J1529" s="70" t="s">
        <v>760</v>
      </c>
      <c r="K1529" s="71" t="s">
        <v>884</v>
      </c>
      <c r="L1529" s="72">
        <v>42276</v>
      </c>
      <c r="M1529" s="73" t="s">
        <v>729</v>
      </c>
      <c r="N1529" s="74">
        <v>42284</v>
      </c>
      <c r="O1529" s="75">
        <v>42284</v>
      </c>
      <c r="P1529" s="2765" t="s">
        <v>885</v>
      </c>
      <c r="Q1529" s="2954"/>
      <c r="R1529" s="76">
        <v>281.49</v>
      </c>
      <c r="S1529" s="1945" t="s">
        <v>731</v>
      </c>
      <c r="T1529" s="77"/>
      <c r="U1529" s="1893" t="s">
        <v>693</v>
      </c>
      <c r="V1529" s="2079">
        <f t="shared" si="401"/>
        <v>0</v>
      </c>
      <c r="W1529" s="78">
        <f t="shared" si="402"/>
        <v>332.15819999999997</v>
      </c>
      <c r="X1529" s="1878" t="str">
        <f t="shared" si="400"/>
        <v xml:space="preserve">6.- C Lima Caucho 0470707-OT_216578  Reencauche 030-0043537 </v>
      </c>
      <c r="Z1529" s="19" t="str">
        <f t="shared" si="397"/>
        <v>ReencaucheReencauchadora RENOVA</v>
      </c>
    </row>
    <row r="1530" spans="2:26" ht="15.2" customHeight="1">
      <c r="B1530" s="37"/>
      <c r="E1530" s="66">
        <v>7</v>
      </c>
      <c r="F1530" s="67" t="s">
        <v>732</v>
      </c>
      <c r="G1530" s="68" t="s">
        <v>733</v>
      </c>
      <c r="H1530" s="69" t="s">
        <v>891</v>
      </c>
      <c r="I1530" s="68" t="s">
        <v>726</v>
      </c>
      <c r="J1530" s="70" t="s">
        <v>760</v>
      </c>
      <c r="K1530" s="71" t="s">
        <v>884</v>
      </c>
      <c r="L1530" s="72">
        <v>42276</v>
      </c>
      <c r="M1530" s="73" t="s">
        <v>729</v>
      </c>
      <c r="N1530" s="74">
        <v>42284</v>
      </c>
      <c r="O1530" s="75">
        <v>42284</v>
      </c>
      <c r="P1530" s="2765" t="s">
        <v>885</v>
      </c>
      <c r="Q1530" s="2954"/>
      <c r="R1530" s="76">
        <v>281.49</v>
      </c>
      <c r="S1530" s="1945" t="s">
        <v>731</v>
      </c>
      <c r="T1530" s="77"/>
      <c r="U1530" s="1893" t="s">
        <v>693</v>
      </c>
      <c r="V1530" s="2079">
        <f t="shared" si="401"/>
        <v>0</v>
      </c>
      <c r="W1530" s="78">
        <f t="shared" si="402"/>
        <v>332.15819999999997</v>
      </c>
      <c r="X1530" s="1878" t="str">
        <f t="shared" si="400"/>
        <v xml:space="preserve">7.- C Lima Caucho 1171210-OT_216578  Reencauche 030-0043537 </v>
      </c>
      <c r="Z1530" s="19" t="str">
        <f t="shared" si="397"/>
        <v>ReencaucheReencauchadora RENOVA</v>
      </c>
    </row>
    <row r="1531" spans="2:26" ht="15.2" customHeight="1">
      <c r="B1531" s="37"/>
      <c r="E1531" s="66">
        <v>8</v>
      </c>
      <c r="F1531" s="67" t="s">
        <v>732</v>
      </c>
      <c r="G1531" s="68" t="s">
        <v>737</v>
      </c>
      <c r="H1531" s="69" t="s">
        <v>892</v>
      </c>
      <c r="I1531" s="68" t="s">
        <v>726</v>
      </c>
      <c r="J1531" s="70" t="s">
        <v>760</v>
      </c>
      <c r="K1531" s="71" t="s">
        <v>884</v>
      </c>
      <c r="L1531" s="72">
        <v>42276</v>
      </c>
      <c r="M1531" s="73" t="s">
        <v>729</v>
      </c>
      <c r="N1531" s="74">
        <v>42284</v>
      </c>
      <c r="O1531" s="75">
        <v>42284</v>
      </c>
      <c r="P1531" s="2765" t="s">
        <v>885</v>
      </c>
      <c r="Q1531" s="2954"/>
      <c r="R1531" s="76">
        <v>281.49</v>
      </c>
      <c r="S1531" s="1945" t="s">
        <v>731</v>
      </c>
      <c r="T1531" s="77"/>
      <c r="U1531" s="1893" t="s">
        <v>693</v>
      </c>
      <c r="V1531" s="2079">
        <f t="shared" si="401"/>
        <v>0</v>
      </c>
      <c r="W1531" s="78">
        <f t="shared" si="402"/>
        <v>332.15819999999997</v>
      </c>
      <c r="X1531" s="1878" t="str">
        <f t="shared" si="400"/>
        <v xml:space="preserve">8.- C Vikrant 0190310-OT_216578  Reencauche 030-0043537 </v>
      </c>
      <c r="Z1531" s="19" t="str">
        <f t="shared" si="397"/>
        <v>ReencaucheReencauchadora RENOVA</v>
      </c>
    </row>
    <row r="1532" spans="2:26" ht="15.2" customHeight="1">
      <c r="B1532" s="37"/>
      <c r="E1532" s="66">
        <v>9</v>
      </c>
      <c r="F1532" s="67" t="s">
        <v>732</v>
      </c>
      <c r="G1532" s="68" t="s">
        <v>737</v>
      </c>
      <c r="H1532" s="69" t="s">
        <v>893</v>
      </c>
      <c r="I1532" s="68" t="s">
        <v>726</v>
      </c>
      <c r="J1532" s="70" t="s">
        <v>760</v>
      </c>
      <c r="K1532" s="71" t="s">
        <v>884</v>
      </c>
      <c r="L1532" s="72">
        <v>42276</v>
      </c>
      <c r="M1532" s="73" t="s">
        <v>729</v>
      </c>
      <c r="N1532" s="74">
        <v>42284</v>
      </c>
      <c r="O1532" s="75">
        <v>42284</v>
      </c>
      <c r="P1532" s="2765" t="s">
        <v>885</v>
      </c>
      <c r="Q1532" s="2954"/>
      <c r="R1532" s="76">
        <v>281.49</v>
      </c>
      <c r="S1532" s="1945" t="s">
        <v>731</v>
      </c>
      <c r="T1532" s="77"/>
      <c r="U1532" s="1893" t="s">
        <v>693</v>
      </c>
      <c r="V1532" s="2079">
        <f t="shared" si="401"/>
        <v>0</v>
      </c>
      <c r="W1532" s="78">
        <f t="shared" si="402"/>
        <v>332.15819999999997</v>
      </c>
      <c r="X1532" s="1878" t="str">
        <f t="shared" si="400"/>
        <v xml:space="preserve">9.- C Vikrant 011022010-OT_216578  Reencauche 030-0043537 </v>
      </c>
      <c r="Z1532" s="19" t="str">
        <f t="shared" si="397"/>
        <v>ReencaucheReencauchadora RENOVA</v>
      </c>
    </row>
    <row r="1533" spans="2:26" ht="15.2" customHeight="1">
      <c r="B1533" s="37"/>
      <c r="E1533" s="66">
        <v>10</v>
      </c>
      <c r="F1533" s="67" t="s">
        <v>732</v>
      </c>
      <c r="G1533" s="68" t="s">
        <v>737</v>
      </c>
      <c r="H1533" s="69" t="s">
        <v>894</v>
      </c>
      <c r="I1533" s="68" t="s">
        <v>726</v>
      </c>
      <c r="J1533" s="70" t="s">
        <v>760</v>
      </c>
      <c r="K1533" s="71" t="s">
        <v>903</v>
      </c>
      <c r="L1533" s="72">
        <v>42276</v>
      </c>
      <c r="M1533" s="73" t="s">
        <v>729</v>
      </c>
      <c r="N1533" s="74">
        <v>42284</v>
      </c>
      <c r="O1533" s="75">
        <v>42284</v>
      </c>
      <c r="P1533" s="2765" t="s">
        <v>885</v>
      </c>
      <c r="Q1533" s="2954"/>
      <c r="R1533" s="76">
        <v>281.49</v>
      </c>
      <c r="S1533" s="1945" t="s">
        <v>731</v>
      </c>
      <c r="T1533" s="77"/>
      <c r="U1533" s="1893" t="s">
        <v>693</v>
      </c>
      <c r="V1533" s="2079">
        <f t="shared" si="401"/>
        <v>0</v>
      </c>
      <c r="W1533" s="78">
        <f t="shared" si="402"/>
        <v>332.15819999999997</v>
      </c>
      <c r="X1533" s="1878" t="str">
        <f t="shared" si="400"/>
        <v xml:space="preserve">10.- C Vikrant 0470506-OT_216579  Reencauche 030-0043537 </v>
      </c>
      <c r="Z1533" s="19" t="str">
        <f t="shared" si="397"/>
        <v>ReencaucheReencauchadora RENOVA</v>
      </c>
    </row>
    <row r="1534" spans="2:26" ht="15.2" customHeight="1">
      <c r="B1534" s="37"/>
      <c r="E1534" s="66">
        <v>11</v>
      </c>
      <c r="F1534" s="67" t="s">
        <v>732</v>
      </c>
      <c r="G1534" s="68" t="s">
        <v>737</v>
      </c>
      <c r="H1534" s="69" t="s">
        <v>904</v>
      </c>
      <c r="I1534" s="68" t="s">
        <v>726</v>
      </c>
      <c r="J1534" s="70" t="s">
        <v>760</v>
      </c>
      <c r="K1534" s="71" t="s">
        <v>903</v>
      </c>
      <c r="L1534" s="72">
        <v>42276</v>
      </c>
      <c r="M1534" s="73" t="s">
        <v>729</v>
      </c>
      <c r="N1534" s="74">
        <v>42284</v>
      </c>
      <c r="O1534" s="75">
        <v>42284</v>
      </c>
      <c r="P1534" s="2765" t="s">
        <v>885</v>
      </c>
      <c r="Q1534" s="2954"/>
      <c r="R1534" s="76">
        <v>281.49</v>
      </c>
      <c r="S1534" s="1945" t="s">
        <v>731</v>
      </c>
      <c r="T1534" s="77"/>
      <c r="U1534" s="1893" t="s">
        <v>693</v>
      </c>
      <c r="V1534" s="2079">
        <f t="shared" si="401"/>
        <v>0</v>
      </c>
      <c r="W1534" s="78">
        <f t="shared" si="402"/>
        <v>332.15819999999997</v>
      </c>
      <c r="X1534" s="1878" t="str">
        <f t="shared" si="400"/>
        <v xml:space="preserve">11.- C Vikrant 0660809-OT_216579  Reencauche 030-0043537 </v>
      </c>
      <c r="Z1534" s="19" t="str">
        <f t="shared" ref="Z1534:Z1597" si="403">CONCATENATE(I1537,J1537)</f>
        <v>ReencaucheReenc. MASTERCAUCHO</v>
      </c>
    </row>
    <row r="1535" spans="2:26" ht="15.2" customHeight="1">
      <c r="B1535" s="37"/>
      <c r="E1535" s="66">
        <v>12</v>
      </c>
      <c r="F1535" s="123" t="s">
        <v>732</v>
      </c>
      <c r="G1535" s="68" t="s">
        <v>737</v>
      </c>
      <c r="H1535" s="69" t="s">
        <v>905</v>
      </c>
      <c r="I1535" s="68" t="s">
        <v>726</v>
      </c>
      <c r="J1535" s="70" t="s">
        <v>760</v>
      </c>
      <c r="K1535" s="71" t="s">
        <v>903</v>
      </c>
      <c r="L1535" s="72">
        <v>42276</v>
      </c>
      <c r="M1535" s="73" t="s">
        <v>729</v>
      </c>
      <c r="N1535" s="74">
        <v>42284</v>
      </c>
      <c r="O1535" s="75">
        <v>42284</v>
      </c>
      <c r="P1535" s="2765" t="s">
        <v>885</v>
      </c>
      <c r="Q1535" s="2954"/>
      <c r="R1535" s="76">
        <v>281.49</v>
      </c>
      <c r="S1535" s="1945" t="s">
        <v>731</v>
      </c>
      <c r="T1535" s="77"/>
      <c r="U1535" s="1893" t="s">
        <v>693</v>
      </c>
      <c r="V1535" s="2079">
        <f t="shared" si="401"/>
        <v>0</v>
      </c>
      <c r="W1535" s="78">
        <f t="shared" si="402"/>
        <v>332.15819999999997</v>
      </c>
      <c r="X1535" s="1878" t="str">
        <f t="shared" si="400"/>
        <v xml:space="preserve">12.- C Vikrant 0050111-OT_216579  Reencauche 030-0043537 </v>
      </c>
      <c r="Z1535" s="19" t="str">
        <f t="shared" si="403"/>
        <v>ReencaucheReenc. MASTERCAUCHO</v>
      </c>
    </row>
    <row r="1536" spans="2:26" ht="15.2" customHeight="1">
      <c r="B1536" s="37"/>
      <c r="E1536" s="79">
        <v>13</v>
      </c>
      <c r="F1536" s="80" t="s">
        <v>732</v>
      </c>
      <c r="G1536" s="81" t="s">
        <v>733</v>
      </c>
      <c r="H1536" s="82" t="s">
        <v>906</v>
      </c>
      <c r="I1536" s="81" t="s">
        <v>726</v>
      </c>
      <c r="J1536" s="83" t="s">
        <v>760</v>
      </c>
      <c r="K1536" s="84" t="s">
        <v>884</v>
      </c>
      <c r="L1536" s="85">
        <v>42276</v>
      </c>
      <c r="M1536" s="86" t="s">
        <v>729</v>
      </c>
      <c r="N1536" s="87">
        <v>42284</v>
      </c>
      <c r="O1536" s="88">
        <v>42284</v>
      </c>
      <c r="P1536" s="2766"/>
      <c r="Q1536" s="2955"/>
      <c r="R1536" s="89">
        <v>0</v>
      </c>
      <c r="S1536" s="1946" t="s">
        <v>731</v>
      </c>
      <c r="T1536" s="1875" t="s">
        <v>907</v>
      </c>
      <c r="U1536" s="1920" t="s">
        <v>693</v>
      </c>
      <c r="V1536" s="2079">
        <f t="shared" si="401"/>
        <v>0</v>
      </c>
      <c r="W1536" s="78">
        <f t="shared" si="402"/>
        <v>0</v>
      </c>
      <c r="X1536" s="1878" t="str">
        <f t="shared" si="400"/>
        <v>13.- C Lima Caucho 0710907-OT_216578  Reencauche  Rechazada, Guia 030-005170</v>
      </c>
      <c r="Z1536" s="19" t="str">
        <f t="shared" si="403"/>
        <v>Transpl BandaReenc. MASTERCAUCHO</v>
      </c>
    </row>
    <row r="1537" spans="2:26" ht="15.2" customHeight="1">
      <c r="B1537" s="37"/>
      <c r="E1537" s="66">
        <v>1</v>
      </c>
      <c r="F1537" s="67" t="s">
        <v>732</v>
      </c>
      <c r="G1537" s="68" t="s">
        <v>733</v>
      </c>
      <c r="H1537" s="69" t="s">
        <v>908</v>
      </c>
      <c r="I1537" s="68" t="s">
        <v>726</v>
      </c>
      <c r="J1537" s="70" t="s">
        <v>727</v>
      </c>
      <c r="K1537" s="71" t="s">
        <v>909</v>
      </c>
      <c r="L1537" s="72">
        <v>42268</v>
      </c>
      <c r="M1537" s="73" t="s">
        <v>729</v>
      </c>
      <c r="N1537" s="74">
        <v>42277</v>
      </c>
      <c r="O1537" s="75">
        <f t="shared" ref="O1537:O1561" si="404">+N1537</f>
        <v>42277</v>
      </c>
      <c r="P1537" s="2765" t="s">
        <v>910</v>
      </c>
      <c r="Q1537" s="2954"/>
      <c r="R1537" s="76">
        <v>254.24</v>
      </c>
      <c r="S1537" s="1945" t="s">
        <v>731</v>
      </c>
      <c r="T1537" s="77"/>
      <c r="U1537" s="1893" t="s">
        <v>693</v>
      </c>
      <c r="V1537" s="2079">
        <f t="shared" si="401"/>
        <v>0</v>
      </c>
      <c r="W1537" s="78">
        <f t="shared" si="402"/>
        <v>300.00319999999999</v>
      </c>
      <c r="X1537" s="1878" t="str">
        <f t="shared" si="400"/>
        <v xml:space="preserve">1.- C Lima Caucho 0830910-OT_001410  Reencauche 001-004010 </v>
      </c>
      <c r="Z1537" s="19" t="str">
        <f t="shared" si="403"/>
        <v>Transpl BandaReenc. MASTERCAUCHO</v>
      </c>
    </row>
    <row r="1538" spans="2:26" ht="15.2" customHeight="1">
      <c r="B1538" s="37"/>
      <c r="E1538" s="66">
        <v>2</v>
      </c>
      <c r="F1538" s="67" t="s">
        <v>732</v>
      </c>
      <c r="G1538" s="68" t="s">
        <v>733</v>
      </c>
      <c r="H1538" s="69" t="s">
        <v>911</v>
      </c>
      <c r="I1538" s="68" t="s">
        <v>726</v>
      </c>
      <c r="J1538" s="70" t="s">
        <v>727</v>
      </c>
      <c r="K1538" s="71" t="s">
        <v>909</v>
      </c>
      <c r="L1538" s="72">
        <v>42268</v>
      </c>
      <c r="M1538" s="73" t="s">
        <v>729</v>
      </c>
      <c r="N1538" s="74">
        <v>42277</v>
      </c>
      <c r="O1538" s="75">
        <f t="shared" si="404"/>
        <v>42277</v>
      </c>
      <c r="P1538" s="2765" t="s">
        <v>910</v>
      </c>
      <c r="Q1538" s="2954"/>
      <c r="R1538" s="76">
        <v>254.24</v>
      </c>
      <c r="S1538" s="1945" t="s">
        <v>731</v>
      </c>
      <c r="T1538" s="77"/>
      <c r="U1538" s="1893" t="s">
        <v>693</v>
      </c>
      <c r="V1538" s="2079">
        <f t="shared" si="401"/>
        <v>0</v>
      </c>
      <c r="W1538" s="78">
        <f t="shared" si="402"/>
        <v>300.00319999999999</v>
      </c>
      <c r="X1538" s="1878" t="str">
        <f t="shared" si="400"/>
        <v xml:space="preserve">2.- C Lima Caucho 0630808-OT_001410  Reencauche 001-004010 </v>
      </c>
      <c r="Z1538" s="19" t="str">
        <f t="shared" si="403"/>
        <v>Sacar_BandaReenc. MASTERCAUCHO</v>
      </c>
    </row>
    <row r="1539" spans="2:26" ht="15.2" customHeight="1">
      <c r="B1539" s="37"/>
      <c r="E1539" s="66">
        <v>3</v>
      </c>
      <c r="F1539" s="67" t="s">
        <v>732</v>
      </c>
      <c r="G1539" s="90" t="s">
        <v>757</v>
      </c>
      <c r="H1539" s="91" t="s">
        <v>912</v>
      </c>
      <c r="I1539" s="90" t="s">
        <v>740</v>
      </c>
      <c r="J1539" s="92" t="s">
        <v>727</v>
      </c>
      <c r="K1539" s="71" t="s">
        <v>909</v>
      </c>
      <c r="L1539" s="72">
        <v>42268</v>
      </c>
      <c r="M1539" s="73" t="s">
        <v>729</v>
      </c>
      <c r="N1539" s="74">
        <v>42278</v>
      </c>
      <c r="O1539" s="75">
        <f t="shared" si="404"/>
        <v>42278</v>
      </c>
      <c r="P1539" s="2765" t="s">
        <v>913</v>
      </c>
      <c r="Q1539" s="2954"/>
      <c r="R1539" s="76">
        <v>127.12</v>
      </c>
      <c r="S1539" s="1945" t="s">
        <v>731</v>
      </c>
      <c r="T1539" s="77"/>
      <c r="U1539" s="1893" t="s">
        <v>693</v>
      </c>
      <c r="V1539" s="2079">
        <f t="shared" si="401"/>
        <v>0</v>
      </c>
      <c r="W1539" s="78">
        <f t="shared" si="402"/>
        <v>150.0016</v>
      </c>
      <c r="X1539" s="1878" t="str">
        <f t="shared" si="400"/>
        <v xml:space="preserve">3.- C Goodyear 0150205-OT_001410  Transpl Banda 001-004015 </v>
      </c>
      <c r="Z1539" s="19" t="str">
        <f t="shared" si="403"/>
        <v>Sacar_BandaReenc. MASTERCAUCHO</v>
      </c>
    </row>
    <row r="1540" spans="2:26" ht="15.2" customHeight="1">
      <c r="B1540" s="37"/>
      <c r="E1540" s="66">
        <v>4</v>
      </c>
      <c r="F1540" s="67" t="s">
        <v>732</v>
      </c>
      <c r="G1540" s="90" t="s">
        <v>757</v>
      </c>
      <c r="H1540" s="91" t="s">
        <v>914</v>
      </c>
      <c r="I1540" s="90" t="s">
        <v>740</v>
      </c>
      <c r="J1540" s="92" t="s">
        <v>727</v>
      </c>
      <c r="K1540" s="71" t="s">
        <v>909</v>
      </c>
      <c r="L1540" s="72">
        <v>42268</v>
      </c>
      <c r="M1540" s="73" t="s">
        <v>729</v>
      </c>
      <c r="N1540" s="74">
        <v>42278</v>
      </c>
      <c r="O1540" s="75">
        <f t="shared" si="404"/>
        <v>42278</v>
      </c>
      <c r="P1540" s="2765" t="s">
        <v>913</v>
      </c>
      <c r="Q1540" s="2954"/>
      <c r="R1540" s="76">
        <v>127.12</v>
      </c>
      <c r="S1540" s="1945" t="s">
        <v>731</v>
      </c>
      <c r="T1540" s="77"/>
      <c r="U1540" s="1893" t="s">
        <v>693</v>
      </c>
      <c r="V1540" s="2079">
        <f t="shared" si="401"/>
        <v>0</v>
      </c>
      <c r="W1540" s="78">
        <f t="shared" si="402"/>
        <v>150.0016</v>
      </c>
      <c r="X1540" s="1878" t="str">
        <f t="shared" si="400"/>
        <v xml:space="preserve">4.- C Goodyear 039082003-OT_001410  Transpl Banda 001-004015 </v>
      </c>
      <c r="Z1540" s="19" t="str">
        <f t="shared" si="403"/>
        <v>Transpl BandaReenc. MASTERCAUCHO</v>
      </c>
    </row>
    <row r="1541" spans="2:26" ht="15.2" customHeight="1">
      <c r="B1541" s="37"/>
      <c r="E1541" s="66">
        <v>5</v>
      </c>
      <c r="F1541" s="67" t="s">
        <v>732</v>
      </c>
      <c r="G1541" s="90" t="s">
        <v>737</v>
      </c>
      <c r="H1541" s="91" t="s">
        <v>915</v>
      </c>
      <c r="I1541" s="90" t="s">
        <v>744</v>
      </c>
      <c r="J1541" s="92" t="s">
        <v>727</v>
      </c>
      <c r="K1541" s="71" t="s">
        <v>909</v>
      </c>
      <c r="L1541" s="72">
        <v>42268</v>
      </c>
      <c r="M1541" s="73" t="s">
        <v>729</v>
      </c>
      <c r="N1541" s="74">
        <v>42278</v>
      </c>
      <c r="O1541" s="75">
        <f t="shared" si="404"/>
        <v>42278</v>
      </c>
      <c r="P1541" s="2765"/>
      <c r="Q1541" s="2954"/>
      <c r="R1541" s="76"/>
      <c r="S1541" s="1945" t="s">
        <v>731</v>
      </c>
      <c r="T1541" s="77"/>
      <c r="U1541" s="1893" t="s">
        <v>693</v>
      </c>
      <c r="V1541" s="2079">
        <f t="shared" si="401"/>
        <v>0</v>
      </c>
      <c r="W1541" s="78">
        <f t="shared" si="402"/>
        <v>0</v>
      </c>
      <c r="X1541" s="1878" t="str">
        <f t="shared" si="400"/>
        <v xml:space="preserve">5.- C Vikrant 0720906-OT_001410  Sacar_Banda  </v>
      </c>
      <c r="Z1541" s="19" t="str">
        <f t="shared" si="403"/>
        <v>Sacar_BandaReenc. MASTERCAUCHO</v>
      </c>
    </row>
    <row r="1542" spans="2:26" ht="15.2" customHeight="1">
      <c r="B1542" s="37"/>
      <c r="E1542" s="79">
        <v>6</v>
      </c>
      <c r="F1542" s="80" t="s">
        <v>732</v>
      </c>
      <c r="G1542" s="114" t="s">
        <v>737</v>
      </c>
      <c r="H1542" s="115" t="s">
        <v>916</v>
      </c>
      <c r="I1542" s="114" t="s">
        <v>744</v>
      </c>
      <c r="J1542" s="93" t="s">
        <v>727</v>
      </c>
      <c r="K1542" s="84" t="s">
        <v>909</v>
      </c>
      <c r="L1542" s="85">
        <v>42268</v>
      </c>
      <c r="M1542" s="86" t="s">
        <v>729</v>
      </c>
      <c r="N1542" s="87">
        <v>42278</v>
      </c>
      <c r="O1542" s="88">
        <f t="shared" si="404"/>
        <v>42278</v>
      </c>
      <c r="P1542" s="2766"/>
      <c r="Q1542" s="2955"/>
      <c r="R1542" s="89"/>
      <c r="S1542" s="1946" t="s">
        <v>731</v>
      </c>
      <c r="T1542" s="77"/>
      <c r="U1542" s="1893" t="s">
        <v>693</v>
      </c>
      <c r="V1542" s="2079">
        <f t="shared" si="401"/>
        <v>0</v>
      </c>
      <c r="W1542" s="78">
        <f t="shared" si="402"/>
        <v>0</v>
      </c>
      <c r="X1542" s="1878" t="str">
        <f t="shared" si="400"/>
        <v xml:space="preserve">6.- C Vikrant 0821007-OT_001410  Sacar_Banda  </v>
      </c>
      <c r="Z1542" s="19" t="str">
        <f t="shared" si="403"/>
        <v>Transpl BandaReenc. MASTERCAUCHO</v>
      </c>
    </row>
    <row r="1543" spans="2:26" ht="15.2" customHeight="1">
      <c r="B1543" s="37"/>
      <c r="E1543" s="66">
        <v>1</v>
      </c>
      <c r="F1543" s="67" t="s">
        <v>732</v>
      </c>
      <c r="G1543" s="90" t="s">
        <v>757</v>
      </c>
      <c r="H1543" s="91" t="s">
        <v>917</v>
      </c>
      <c r="I1543" s="90" t="s">
        <v>740</v>
      </c>
      <c r="J1543" s="92" t="s">
        <v>727</v>
      </c>
      <c r="K1543" s="71" t="s">
        <v>918</v>
      </c>
      <c r="L1543" s="72">
        <v>42259</v>
      </c>
      <c r="M1543" s="73" t="s">
        <v>729</v>
      </c>
      <c r="N1543" s="74">
        <v>42268</v>
      </c>
      <c r="O1543" s="75">
        <f t="shared" si="404"/>
        <v>42268</v>
      </c>
      <c r="P1543" s="2765" t="s">
        <v>919</v>
      </c>
      <c r="Q1543" s="2954"/>
      <c r="R1543" s="76">
        <v>127.12</v>
      </c>
      <c r="S1543" s="1945" t="s">
        <v>731</v>
      </c>
      <c r="T1543" s="77"/>
      <c r="U1543" s="1893" t="s">
        <v>693</v>
      </c>
      <c r="V1543" s="2079">
        <f t="shared" si="401"/>
        <v>0</v>
      </c>
      <c r="W1543" s="78">
        <f t="shared" si="402"/>
        <v>150.0016</v>
      </c>
      <c r="X1543" s="1878" t="str">
        <f t="shared" si="400"/>
        <v xml:space="preserve">1.- C Goodyear 0340302-OT_001454  Transpl Banda 001-003955 </v>
      </c>
      <c r="Z1543" s="19" t="str">
        <f t="shared" si="403"/>
        <v>Vulcanizado (curación)Reenc. MASTERCAUCHO</v>
      </c>
    </row>
    <row r="1544" spans="2:26" ht="15.2" customHeight="1">
      <c r="B1544" s="37"/>
      <c r="E1544" s="66">
        <v>2</v>
      </c>
      <c r="F1544" s="67" t="s">
        <v>732</v>
      </c>
      <c r="G1544" s="90" t="s">
        <v>737</v>
      </c>
      <c r="H1544" s="91" t="s">
        <v>920</v>
      </c>
      <c r="I1544" s="90" t="s">
        <v>744</v>
      </c>
      <c r="J1544" s="92" t="s">
        <v>727</v>
      </c>
      <c r="K1544" s="71" t="s">
        <v>918</v>
      </c>
      <c r="L1544" s="72">
        <v>42259</v>
      </c>
      <c r="M1544" s="73" t="s">
        <v>729</v>
      </c>
      <c r="N1544" s="74">
        <v>42268</v>
      </c>
      <c r="O1544" s="75">
        <f t="shared" si="404"/>
        <v>42268</v>
      </c>
      <c r="P1544" s="2765"/>
      <c r="Q1544" s="2954"/>
      <c r="R1544" s="76">
        <v>0</v>
      </c>
      <c r="S1544" s="1945" t="s">
        <v>731</v>
      </c>
      <c r="T1544" s="1875" t="s">
        <v>921</v>
      </c>
      <c r="U1544" s="1920" t="s">
        <v>693</v>
      </c>
      <c r="V1544" s="2079">
        <f t="shared" si="401"/>
        <v>0</v>
      </c>
      <c r="W1544" s="78">
        <f t="shared" si="402"/>
        <v>0</v>
      </c>
      <c r="X1544" s="1878" t="str">
        <f t="shared" si="400"/>
        <v>2.- C Vikrant 0821002-OT_001454  Sacar_Banda  Devuelta por Falta de Carcasa, No se Facturo</v>
      </c>
      <c r="Z1544" s="19" t="str">
        <f t="shared" si="403"/>
        <v>Vulcanizado (curación)Reenc. MASTERCAUCHO</v>
      </c>
    </row>
    <row r="1545" spans="2:26" ht="15.2" customHeight="1">
      <c r="B1545" s="37"/>
      <c r="E1545" s="79">
        <v>3</v>
      </c>
      <c r="F1545" s="80" t="s">
        <v>732</v>
      </c>
      <c r="G1545" s="114" t="s">
        <v>737</v>
      </c>
      <c r="H1545" s="115" t="s">
        <v>922</v>
      </c>
      <c r="I1545" s="114" t="s">
        <v>740</v>
      </c>
      <c r="J1545" s="93" t="s">
        <v>727</v>
      </c>
      <c r="K1545" s="84" t="s">
        <v>918</v>
      </c>
      <c r="L1545" s="85">
        <v>42259</v>
      </c>
      <c r="M1545" s="86" t="s">
        <v>729</v>
      </c>
      <c r="N1545" s="87">
        <v>42268</v>
      </c>
      <c r="O1545" s="88">
        <f t="shared" si="404"/>
        <v>42268</v>
      </c>
      <c r="P1545" s="2766"/>
      <c r="Q1545" s="2955"/>
      <c r="R1545" s="89">
        <v>0</v>
      </c>
      <c r="S1545" s="1946" t="s">
        <v>731</v>
      </c>
      <c r="T1545" s="1875" t="s">
        <v>923</v>
      </c>
      <c r="U1545" s="1920" t="s">
        <v>693</v>
      </c>
      <c r="V1545" s="2079">
        <f t="shared" si="401"/>
        <v>0</v>
      </c>
      <c r="W1545" s="78">
        <f t="shared" si="402"/>
        <v>0</v>
      </c>
      <c r="X1545" s="1878" t="str">
        <f t="shared" si="400"/>
        <v>3.- C Vikrant 0440506-OT_001454  Transpl Banda  Rechazada, Casco soplado, No se Facturo</v>
      </c>
      <c r="Z1545" s="19" t="str">
        <f t="shared" si="403"/>
        <v>Vulcanizado (curación)Reenc. MASTERCAUCHO</v>
      </c>
    </row>
    <row r="1546" spans="2:26" ht="15.2" customHeight="1">
      <c r="B1546" s="37"/>
      <c r="E1546" s="66">
        <v>1</v>
      </c>
      <c r="F1546" s="67" t="s">
        <v>732</v>
      </c>
      <c r="G1546" s="68" t="s">
        <v>757</v>
      </c>
      <c r="H1546" s="69" t="s">
        <v>924</v>
      </c>
      <c r="I1546" s="68" t="s">
        <v>811</v>
      </c>
      <c r="J1546" s="70" t="s">
        <v>727</v>
      </c>
      <c r="K1546" s="71" t="s">
        <v>925</v>
      </c>
      <c r="L1546" s="72">
        <v>42249</v>
      </c>
      <c r="M1546" s="73" t="s">
        <v>729</v>
      </c>
      <c r="N1546" s="74">
        <v>42259</v>
      </c>
      <c r="O1546" s="75">
        <f t="shared" si="404"/>
        <v>42259</v>
      </c>
      <c r="P1546" s="2765" t="s">
        <v>926</v>
      </c>
      <c r="Q1546" s="2954"/>
      <c r="R1546" s="76">
        <v>105.93219999999999</v>
      </c>
      <c r="S1546" s="1945" t="s">
        <v>731</v>
      </c>
      <c r="T1546" s="77"/>
      <c r="U1546" s="1893" t="s">
        <v>693</v>
      </c>
      <c r="V1546" s="2079">
        <f t="shared" si="401"/>
        <v>0</v>
      </c>
      <c r="W1546" s="78">
        <f t="shared" si="402"/>
        <v>124.99999599999998</v>
      </c>
      <c r="X1546" s="1878" t="str">
        <f t="shared" si="400"/>
        <v xml:space="preserve">1.- C Goodyear 06211202-OT_001967  Vulcanizado (curación) 001-003896 </v>
      </c>
      <c r="Z1546" s="19" t="str">
        <f t="shared" si="403"/>
        <v>ReencaucheReencauchadora RENOVA</v>
      </c>
    </row>
    <row r="1547" spans="2:26" ht="15.2" customHeight="1">
      <c r="B1547" s="37"/>
      <c r="E1547" s="66">
        <v>2</v>
      </c>
      <c r="F1547" s="67" t="s">
        <v>732</v>
      </c>
      <c r="G1547" s="68" t="s">
        <v>757</v>
      </c>
      <c r="H1547" s="69" t="s">
        <v>927</v>
      </c>
      <c r="I1547" s="68" t="s">
        <v>811</v>
      </c>
      <c r="J1547" s="70" t="s">
        <v>727</v>
      </c>
      <c r="K1547" s="71" t="s">
        <v>925</v>
      </c>
      <c r="L1547" s="72">
        <v>42249</v>
      </c>
      <c r="M1547" s="73" t="s">
        <v>729</v>
      </c>
      <c r="N1547" s="74">
        <v>42259</v>
      </c>
      <c r="O1547" s="75">
        <f t="shared" si="404"/>
        <v>42259</v>
      </c>
      <c r="P1547" s="2765" t="s">
        <v>926</v>
      </c>
      <c r="Q1547" s="2954"/>
      <c r="R1547" s="76">
        <v>105.93219999999999</v>
      </c>
      <c r="S1547" s="1945" t="s">
        <v>731</v>
      </c>
      <c r="T1547" s="77"/>
      <c r="U1547" s="1893" t="s">
        <v>693</v>
      </c>
      <c r="V1547" s="2079">
        <f t="shared" si="401"/>
        <v>0</v>
      </c>
      <c r="W1547" s="78">
        <f t="shared" si="402"/>
        <v>124.99999599999998</v>
      </c>
      <c r="X1547" s="1878" t="str">
        <f t="shared" si="400"/>
        <v xml:space="preserve">2.- C Goodyear 4104-OT_001967  Vulcanizado (curación) 001-003896 </v>
      </c>
      <c r="Z1547" s="19" t="str">
        <f t="shared" si="403"/>
        <v>ReencaucheReencauchadora RENOVA</v>
      </c>
    </row>
    <row r="1548" spans="2:26" ht="15.2" customHeight="1">
      <c r="B1548" s="37"/>
      <c r="E1548" s="79">
        <v>3</v>
      </c>
      <c r="F1548" s="80" t="s">
        <v>732</v>
      </c>
      <c r="G1548" s="81" t="s">
        <v>737</v>
      </c>
      <c r="H1548" s="82" t="s">
        <v>928</v>
      </c>
      <c r="I1548" s="81" t="s">
        <v>811</v>
      </c>
      <c r="J1548" s="83" t="s">
        <v>727</v>
      </c>
      <c r="K1548" s="84" t="s">
        <v>925</v>
      </c>
      <c r="L1548" s="85">
        <v>42249</v>
      </c>
      <c r="M1548" s="86" t="s">
        <v>729</v>
      </c>
      <c r="N1548" s="87">
        <v>42259</v>
      </c>
      <c r="O1548" s="88">
        <f t="shared" si="404"/>
        <v>42259</v>
      </c>
      <c r="P1548" s="2766" t="s">
        <v>929</v>
      </c>
      <c r="Q1548" s="2955"/>
      <c r="R1548" s="89">
        <v>0</v>
      </c>
      <c r="S1548" s="1946" t="s">
        <v>731</v>
      </c>
      <c r="T1548" s="1875" t="s">
        <v>923</v>
      </c>
      <c r="U1548" s="1920" t="s">
        <v>693</v>
      </c>
      <c r="V1548" s="2079">
        <f t="shared" si="401"/>
        <v>0</v>
      </c>
      <c r="W1548" s="78">
        <f t="shared" si="402"/>
        <v>0</v>
      </c>
      <c r="X1548" s="1878" t="str">
        <f t="shared" si="400"/>
        <v>3.- C Vikrant 0750906-OT_001967  Vulcanizado (curación) G 001-000557 Rechazada, Casco soplado, No se Facturo</v>
      </c>
      <c r="Z1548" s="19" t="str">
        <f t="shared" si="403"/>
        <v>ReencaucheReencauchadora RENOVA</v>
      </c>
    </row>
    <row r="1549" spans="2:26" ht="15.2" customHeight="1">
      <c r="B1549" s="37"/>
      <c r="E1549" s="66">
        <v>1</v>
      </c>
      <c r="F1549" s="67" t="s">
        <v>732</v>
      </c>
      <c r="G1549" s="68" t="s">
        <v>733</v>
      </c>
      <c r="H1549" s="69" t="s">
        <v>930</v>
      </c>
      <c r="I1549" s="68" t="s">
        <v>726</v>
      </c>
      <c r="J1549" s="70" t="s">
        <v>760</v>
      </c>
      <c r="K1549" s="71" t="s">
        <v>931</v>
      </c>
      <c r="L1549" s="72">
        <v>42248</v>
      </c>
      <c r="M1549" s="73" t="s">
        <v>729</v>
      </c>
      <c r="N1549" s="74">
        <v>42264</v>
      </c>
      <c r="O1549" s="75">
        <f t="shared" si="404"/>
        <v>42264</v>
      </c>
      <c r="P1549" s="2765" t="s">
        <v>932</v>
      </c>
      <c r="Q1549" s="2954"/>
      <c r="R1549" s="76">
        <v>281.49</v>
      </c>
      <c r="S1549" s="1945" t="s">
        <v>731</v>
      </c>
      <c r="T1549" s="77"/>
      <c r="U1549" s="1893" t="s">
        <v>693</v>
      </c>
      <c r="V1549" s="2079">
        <f t="shared" si="401"/>
        <v>0</v>
      </c>
      <c r="W1549" s="78">
        <f t="shared" si="402"/>
        <v>332.15819999999997</v>
      </c>
      <c r="X1549" s="1878" t="str">
        <f t="shared" si="400"/>
        <v xml:space="preserve">1.- C Lima Caucho 0210211-OT_214950  Reencauche 030-0043096 </v>
      </c>
      <c r="Z1549" s="19" t="str">
        <f t="shared" si="403"/>
        <v>ReencaucheReencauchadora RENOVA</v>
      </c>
    </row>
    <row r="1550" spans="2:26" ht="15.2" customHeight="1">
      <c r="B1550" s="37"/>
      <c r="E1550" s="66">
        <v>2</v>
      </c>
      <c r="F1550" s="67" t="s">
        <v>732</v>
      </c>
      <c r="G1550" s="68" t="s">
        <v>733</v>
      </c>
      <c r="H1550" s="69" t="s">
        <v>933</v>
      </c>
      <c r="I1550" s="68" t="s">
        <v>726</v>
      </c>
      <c r="J1550" s="70" t="s">
        <v>760</v>
      </c>
      <c r="K1550" s="71" t="s">
        <v>931</v>
      </c>
      <c r="L1550" s="72">
        <v>42248</v>
      </c>
      <c r="M1550" s="73" t="s">
        <v>729</v>
      </c>
      <c r="N1550" s="74">
        <v>42264</v>
      </c>
      <c r="O1550" s="75">
        <f t="shared" si="404"/>
        <v>42264</v>
      </c>
      <c r="P1550" s="2765" t="s">
        <v>932</v>
      </c>
      <c r="Q1550" s="2954"/>
      <c r="R1550" s="76">
        <v>281.49</v>
      </c>
      <c r="S1550" s="1945" t="s">
        <v>731</v>
      </c>
      <c r="T1550" s="77"/>
      <c r="U1550" s="1893" t="s">
        <v>693</v>
      </c>
      <c r="V1550" s="2079">
        <f t="shared" si="401"/>
        <v>0</v>
      </c>
      <c r="W1550" s="78">
        <f t="shared" si="402"/>
        <v>332.15819999999997</v>
      </c>
      <c r="X1550" s="1878" t="str">
        <f t="shared" si="400"/>
        <v xml:space="preserve">2.- C Lima Caucho 037112-OT_214950  Reencauche 030-0043096 </v>
      </c>
      <c r="Z1550" s="19" t="str">
        <f t="shared" si="403"/>
        <v>ReencaucheReencauchadora RENOVA</v>
      </c>
    </row>
    <row r="1551" spans="2:26" ht="15.2" customHeight="1">
      <c r="B1551" s="37"/>
      <c r="E1551" s="66">
        <v>3</v>
      </c>
      <c r="F1551" s="67" t="s">
        <v>732</v>
      </c>
      <c r="G1551" s="68" t="s">
        <v>757</v>
      </c>
      <c r="H1551" s="69" t="s">
        <v>934</v>
      </c>
      <c r="I1551" s="68" t="s">
        <v>726</v>
      </c>
      <c r="J1551" s="70" t="s">
        <v>760</v>
      </c>
      <c r="K1551" s="71" t="s">
        <v>931</v>
      </c>
      <c r="L1551" s="72">
        <v>42248</v>
      </c>
      <c r="M1551" s="73" t="s">
        <v>729</v>
      </c>
      <c r="N1551" s="74">
        <v>42264</v>
      </c>
      <c r="O1551" s="75">
        <f t="shared" si="404"/>
        <v>42264</v>
      </c>
      <c r="P1551" s="2765" t="s">
        <v>932</v>
      </c>
      <c r="Q1551" s="2954"/>
      <c r="R1551" s="76">
        <v>281.49</v>
      </c>
      <c r="S1551" s="1945" t="s">
        <v>731</v>
      </c>
      <c r="T1551" s="77"/>
      <c r="U1551" s="1893" t="s">
        <v>693</v>
      </c>
      <c r="V1551" s="2079">
        <f t="shared" si="401"/>
        <v>0</v>
      </c>
      <c r="W1551" s="78">
        <f t="shared" si="402"/>
        <v>332.15819999999997</v>
      </c>
      <c r="X1551" s="1878" t="str">
        <f t="shared" si="400"/>
        <v xml:space="preserve">3.- C Goodyear 050032004-OT_214950  Reencauche 030-0043096 </v>
      </c>
      <c r="Z1551" s="19" t="str">
        <f t="shared" si="403"/>
        <v>ReencaucheReencauchadora RENOVA</v>
      </c>
    </row>
    <row r="1552" spans="2:26" ht="15.2" customHeight="1">
      <c r="B1552" s="37"/>
      <c r="E1552" s="66">
        <v>4</v>
      </c>
      <c r="F1552" s="67" t="s">
        <v>732</v>
      </c>
      <c r="G1552" s="68" t="s">
        <v>737</v>
      </c>
      <c r="H1552" s="69" t="s">
        <v>935</v>
      </c>
      <c r="I1552" s="68" t="s">
        <v>726</v>
      </c>
      <c r="J1552" s="70" t="s">
        <v>760</v>
      </c>
      <c r="K1552" s="71" t="s">
        <v>931</v>
      </c>
      <c r="L1552" s="72">
        <v>42248</v>
      </c>
      <c r="M1552" s="73" t="s">
        <v>729</v>
      </c>
      <c r="N1552" s="74">
        <v>42264</v>
      </c>
      <c r="O1552" s="75">
        <f t="shared" si="404"/>
        <v>42264</v>
      </c>
      <c r="P1552" s="2765" t="s">
        <v>932</v>
      </c>
      <c r="Q1552" s="2954"/>
      <c r="R1552" s="76">
        <v>281.49</v>
      </c>
      <c r="S1552" s="1945" t="s">
        <v>731</v>
      </c>
      <c r="T1552" s="77"/>
      <c r="U1552" s="1893" t="s">
        <v>693</v>
      </c>
      <c r="V1552" s="2079">
        <f t="shared" si="401"/>
        <v>0</v>
      </c>
      <c r="W1552" s="78">
        <f t="shared" si="402"/>
        <v>332.15819999999997</v>
      </c>
      <c r="X1552" s="1878" t="str">
        <f t="shared" si="400"/>
        <v xml:space="preserve">4.- C Vikrant 0290211-OT_214950  Reencauche 030-0043096 </v>
      </c>
      <c r="Z1552" s="19" t="str">
        <f t="shared" si="403"/>
        <v>ReencaucheReencauchadora RENOVA</v>
      </c>
    </row>
    <row r="1553" spans="2:26" ht="15.2" customHeight="1">
      <c r="B1553" s="37"/>
      <c r="E1553" s="66">
        <v>5</v>
      </c>
      <c r="F1553" s="67" t="s">
        <v>732</v>
      </c>
      <c r="G1553" s="68" t="s">
        <v>737</v>
      </c>
      <c r="H1553" s="69" t="s">
        <v>936</v>
      </c>
      <c r="I1553" s="68" t="s">
        <v>726</v>
      </c>
      <c r="J1553" s="70" t="s">
        <v>760</v>
      </c>
      <c r="K1553" s="71" t="s">
        <v>931</v>
      </c>
      <c r="L1553" s="72">
        <v>42248</v>
      </c>
      <c r="M1553" s="73" t="s">
        <v>729</v>
      </c>
      <c r="N1553" s="74">
        <v>42264</v>
      </c>
      <c r="O1553" s="75">
        <f t="shared" si="404"/>
        <v>42264</v>
      </c>
      <c r="P1553" s="2765" t="s">
        <v>932</v>
      </c>
      <c r="Q1553" s="2954"/>
      <c r="R1553" s="76">
        <v>281.49</v>
      </c>
      <c r="S1553" s="1945" t="s">
        <v>731</v>
      </c>
      <c r="T1553" s="77"/>
      <c r="U1553" s="1893" t="s">
        <v>693</v>
      </c>
      <c r="V1553" s="2079">
        <f t="shared" si="401"/>
        <v>0</v>
      </c>
      <c r="W1553" s="78">
        <f t="shared" si="402"/>
        <v>332.15819999999997</v>
      </c>
      <c r="X1553" s="1878" t="str">
        <f t="shared" si="400"/>
        <v xml:space="preserve">5.- C Vikrant 0490411-OT_214950  Reencauche 030-0043096 </v>
      </c>
      <c r="Z1553" s="19" t="str">
        <f t="shared" si="403"/>
        <v>ReencaucheReencauchadora RENOVA</v>
      </c>
    </row>
    <row r="1554" spans="2:26" ht="15.2" customHeight="1">
      <c r="B1554" s="37"/>
      <c r="E1554" s="66">
        <v>6</v>
      </c>
      <c r="F1554" s="67" t="s">
        <v>732</v>
      </c>
      <c r="G1554" s="68" t="s">
        <v>733</v>
      </c>
      <c r="H1554" s="69" t="s">
        <v>911</v>
      </c>
      <c r="I1554" s="68" t="s">
        <v>726</v>
      </c>
      <c r="J1554" s="70" t="s">
        <v>760</v>
      </c>
      <c r="K1554" s="71" t="s">
        <v>931</v>
      </c>
      <c r="L1554" s="72">
        <v>42248</v>
      </c>
      <c r="M1554" s="73" t="s">
        <v>729</v>
      </c>
      <c r="N1554" s="74">
        <v>42264</v>
      </c>
      <c r="O1554" s="75">
        <f t="shared" si="404"/>
        <v>42264</v>
      </c>
      <c r="P1554" s="2765"/>
      <c r="Q1554" s="2954"/>
      <c r="R1554" s="76">
        <v>0</v>
      </c>
      <c r="S1554" s="1945" t="s">
        <v>731</v>
      </c>
      <c r="T1554" s="1875" t="s">
        <v>907</v>
      </c>
      <c r="U1554" s="1920" t="s">
        <v>693</v>
      </c>
      <c r="V1554" s="2079">
        <f t="shared" si="401"/>
        <v>0</v>
      </c>
      <c r="W1554" s="78">
        <f t="shared" si="402"/>
        <v>0</v>
      </c>
      <c r="X1554" s="1878" t="str">
        <f t="shared" si="400"/>
        <v>6.- C Lima Caucho 0630808-OT_214950  Reencauche  Rechazada, Guia 030-005170</v>
      </c>
      <c r="Z1554" s="19" t="str">
        <f t="shared" si="403"/>
        <v>ReencaucheReencauchadora RENOVA</v>
      </c>
    </row>
    <row r="1555" spans="2:26" ht="15.2" customHeight="1">
      <c r="B1555" s="37"/>
      <c r="E1555" s="66">
        <v>7</v>
      </c>
      <c r="F1555" s="67" t="s">
        <v>732</v>
      </c>
      <c r="G1555" s="68" t="s">
        <v>733</v>
      </c>
      <c r="H1555" s="69" t="s">
        <v>908</v>
      </c>
      <c r="I1555" s="68" t="s">
        <v>726</v>
      </c>
      <c r="J1555" s="70" t="s">
        <v>760</v>
      </c>
      <c r="K1555" s="71" t="s">
        <v>931</v>
      </c>
      <c r="L1555" s="72">
        <v>42248</v>
      </c>
      <c r="M1555" s="73" t="s">
        <v>729</v>
      </c>
      <c r="N1555" s="74">
        <v>42264</v>
      </c>
      <c r="O1555" s="75">
        <f t="shared" si="404"/>
        <v>42264</v>
      </c>
      <c r="P1555" s="2765"/>
      <c r="Q1555" s="2954"/>
      <c r="R1555" s="76">
        <v>0</v>
      </c>
      <c r="S1555" s="1945" t="s">
        <v>731</v>
      </c>
      <c r="T1555" s="1875" t="s">
        <v>907</v>
      </c>
      <c r="U1555" s="1920" t="s">
        <v>693</v>
      </c>
      <c r="V1555" s="2079">
        <f t="shared" si="401"/>
        <v>0</v>
      </c>
      <c r="W1555" s="78">
        <f t="shared" si="402"/>
        <v>0</v>
      </c>
      <c r="X1555" s="1878" t="str">
        <f t="shared" si="400"/>
        <v>7.- C Lima Caucho 0830910-OT_214950  Reencauche  Rechazada, Guia 030-005170</v>
      </c>
      <c r="Z1555" s="19" t="str">
        <f t="shared" si="403"/>
        <v>Llanta de 2da OrgReenc. MASTERCAUCHO</v>
      </c>
    </row>
    <row r="1556" spans="2:26" ht="15.2" customHeight="1">
      <c r="B1556" s="37"/>
      <c r="E1556" s="66">
        <v>8</v>
      </c>
      <c r="F1556" s="67" t="s">
        <v>732</v>
      </c>
      <c r="G1556" s="68" t="s">
        <v>757</v>
      </c>
      <c r="H1556" s="69" t="s">
        <v>912</v>
      </c>
      <c r="I1556" s="68" t="s">
        <v>726</v>
      </c>
      <c r="J1556" s="70" t="s">
        <v>760</v>
      </c>
      <c r="K1556" s="71" t="s">
        <v>931</v>
      </c>
      <c r="L1556" s="72">
        <v>42248</v>
      </c>
      <c r="M1556" s="73" t="s">
        <v>729</v>
      </c>
      <c r="N1556" s="74">
        <v>42264</v>
      </c>
      <c r="O1556" s="75">
        <f t="shared" si="404"/>
        <v>42264</v>
      </c>
      <c r="P1556" s="2765"/>
      <c r="Q1556" s="2954"/>
      <c r="R1556" s="76">
        <v>0</v>
      </c>
      <c r="S1556" s="1945" t="s">
        <v>731</v>
      </c>
      <c r="T1556" s="1875" t="s">
        <v>907</v>
      </c>
      <c r="U1556" s="1920" t="s">
        <v>693</v>
      </c>
      <c r="V1556" s="2079">
        <f t="shared" si="401"/>
        <v>0</v>
      </c>
      <c r="W1556" s="78">
        <f t="shared" si="402"/>
        <v>0</v>
      </c>
      <c r="X1556" s="1878" t="str">
        <f t="shared" si="400"/>
        <v>8.- C Goodyear 0150205-OT_214950  Reencauche  Rechazada, Guia 030-005170</v>
      </c>
      <c r="Z1556" s="19" t="str">
        <f t="shared" si="403"/>
        <v>Vulcanizado (curación)Reenc. MASTERCAUCHO</v>
      </c>
    </row>
    <row r="1557" spans="2:26" ht="15.2" customHeight="1">
      <c r="B1557" s="37"/>
      <c r="E1557" s="79">
        <v>9</v>
      </c>
      <c r="F1557" s="80" t="s">
        <v>732</v>
      </c>
      <c r="G1557" s="81" t="s">
        <v>757</v>
      </c>
      <c r="H1557" s="82" t="s">
        <v>937</v>
      </c>
      <c r="I1557" s="81" t="s">
        <v>726</v>
      </c>
      <c r="J1557" s="83" t="s">
        <v>760</v>
      </c>
      <c r="K1557" s="84" t="s">
        <v>931</v>
      </c>
      <c r="L1557" s="85">
        <v>42248</v>
      </c>
      <c r="M1557" s="86" t="s">
        <v>729</v>
      </c>
      <c r="N1557" s="87">
        <v>42264</v>
      </c>
      <c r="O1557" s="88">
        <f t="shared" si="404"/>
        <v>42264</v>
      </c>
      <c r="P1557" s="2766"/>
      <c r="Q1557" s="2955"/>
      <c r="R1557" s="89">
        <v>0</v>
      </c>
      <c r="S1557" s="1946" t="s">
        <v>731</v>
      </c>
      <c r="T1557" s="1875" t="s">
        <v>907</v>
      </c>
      <c r="U1557" s="1920" t="s">
        <v>693</v>
      </c>
      <c r="V1557" s="2079">
        <f t="shared" si="401"/>
        <v>0</v>
      </c>
      <c r="W1557" s="78">
        <f t="shared" si="402"/>
        <v>0</v>
      </c>
      <c r="X1557" s="1878" t="str">
        <f t="shared" si="400"/>
        <v>9.- C Goodyear 0170205-OT_214950  Reencauche  Rechazada, Guia 030-005170</v>
      </c>
      <c r="Z1557" s="19" t="str">
        <f t="shared" si="403"/>
        <v>ReencaucheReenc. MASTERCAUCHO</v>
      </c>
    </row>
    <row r="1558" spans="2:26" ht="15.2" customHeight="1">
      <c r="B1558" s="37"/>
      <c r="E1558" s="66">
        <v>1</v>
      </c>
      <c r="F1558" s="67" t="s">
        <v>723</v>
      </c>
      <c r="G1558" s="68" t="s">
        <v>938</v>
      </c>
      <c r="H1558" s="69" t="s">
        <v>939</v>
      </c>
      <c r="I1558" s="68" t="s">
        <v>940</v>
      </c>
      <c r="J1558" s="70" t="s">
        <v>727</v>
      </c>
      <c r="K1558" s="71" t="s">
        <v>857</v>
      </c>
      <c r="L1558" s="72" t="s">
        <v>941</v>
      </c>
      <c r="M1558" s="73" t="s">
        <v>729</v>
      </c>
      <c r="N1558" s="74">
        <v>42249</v>
      </c>
      <c r="O1558" s="75">
        <f t="shared" si="404"/>
        <v>42249</v>
      </c>
      <c r="P1558" s="2765" t="s">
        <v>942</v>
      </c>
      <c r="Q1558" s="2954"/>
      <c r="R1558" s="76">
        <v>228.81</v>
      </c>
      <c r="S1558" s="1945" t="s">
        <v>731</v>
      </c>
      <c r="T1558" s="77" t="s">
        <v>943</v>
      </c>
      <c r="U1558" s="1893" t="s">
        <v>694</v>
      </c>
      <c r="V1558" s="2079">
        <f t="shared" si="401"/>
        <v>0</v>
      </c>
      <c r="W1558" s="78">
        <f t="shared" si="402"/>
        <v>269.99579999999997</v>
      </c>
      <c r="X1558" s="1878" t="str">
        <f t="shared" si="400"/>
        <v>1.- R GOODRIDE 4913-OT_S/D  Llanta de 2da Org 001-003815 Reemplz  AEOLUS 0210614(165)</v>
      </c>
      <c r="Z1558" s="19" t="str">
        <f t="shared" si="403"/>
        <v>ReencaucheReenc. MASTERCAUCHO</v>
      </c>
    </row>
    <row r="1559" spans="2:26" ht="15.2" customHeight="1">
      <c r="B1559" s="37"/>
      <c r="E1559" s="66">
        <v>2</v>
      </c>
      <c r="F1559" s="67" t="s">
        <v>723</v>
      </c>
      <c r="G1559" s="68" t="s">
        <v>724</v>
      </c>
      <c r="H1559" s="69" t="s">
        <v>944</v>
      </c>
      <c r="I1559" s="68" t="s">
        <v>811</v>
      </c>
      <c r="J1559" s="70" t="s">
        <v>727</v>
      </c>
      <c r="K1559" s="71" t="s">
        <v>945</v>
      </c>
      <c r="L1559" s="72">
        <v>42241</v>
      </c>
      <c r="M1559" s="73" t="s">
        <v>729</v>
      </c>
      <c r="N1559" s="74">
        <v>42249</v>
      </c>
      <c r="O1559" s="75">
        <f t="shared" si="404"/>
        <v>42249</v>
      </c>
      <c r="P1559" s="2765" t="s">
        <v>946</v>
      </c>
      <c r="Q1559" s="2954"/>
      <c r="R1559" s="76">
        <v>0</v>
      </c>
      <c r="S1559" s="1945" t="s">
        <v>731</v>
      </c>
      <c r="T1559" s="1875" t="s">
        <v>923</v>
      </c>
      <c r="U1559" s="1893" t="s">
        <v>694</v>
      </c>
      <c r="V1559" s="2079">
        <f t="shared" si="401"/>
        <v>0</v>
      </c>
      <c r="W1559" s="78">
        <f t="shared" si="402"/>
        <v>0</v>
      </c>
      <c r="X1559" s="1878" t="str">
        <f t="shared" si="400"/>
        <v>2.- R Aeolus 0210614-OT_001232  Vulcanizado (curación) G 001-000529 Rechazada, Casco soplado, No se Facturo</v>
      </c>
      <c r="Z1559" s="19" t="str">
        <f t="shared" si="403"/>
        <v>ReencaucheReenc. MASTERCAUCHO</v>
      </c>
    </row>
    <row r="1560" spans="2:26" ht="15.2" customHeight="1">
      <c r="B1560" s="37"/>
      <c r="E1560" s="66">
        <v>3</v>
      </c>
      <c r="F1560" s="67" t="s">
        <v>732</v>
      </c>
      <c r="G1560" s="68" t="s">
        <v>733</v>
      </c>
      <c r="H1560" s="69" t="s">
        <v>947</v>
      </c>
      <c r="I1560" s="68" t="s">
        <v>726</v>
      </c>
      <c r="J1560" s="70" t="s">
        <v>727</v>
      </c>
      <c r="K1560" s="71" t="s">
        <v>945</v>
      </c>
      <c r="L1560" s="72">
        <v>42241</v>
      </c>
      <c r="M1560" s="73" t="s">
        <v>729</v>
      </c>
      <c r="N1560" s="74">
        <v>42249</v>
      </c>
      <c r="O1560" s="75">
        <f t="shared" si="404"/>
        <v>42249</v>
      </c>
      <c r="P1560" s="2765" t="s">
        <v>942</v>
      </c>
      <c r="Q1560" s="2954"/>
      <c r="R1560" s="76">
        <v>254.24</v>
      </c>
      <c r="S1560" s="1945" t="s">
        <v>731</v>
      </c>
      <c r="T1560" s="77"/>
      <c r="U1560" s="1893" t="s">
        <v>693</v>
      </c>
      <c r="V1560" s="2079">
        <f t="shared" si="401"/>
        <v>0</v>
      </c>
      <c r="W1560" s="78">
        <f t="shared" si="402"/>
        <v>300.00319999999999</v>
      </c>
      <c r="X1560" s="1878" t="str">
        <f t="shared" si="400"/>
        <v xml:space="preserve">3.- C Lima Caucho 0020113-OT_001232  Reencauche 001-003815 </v>
      </c>
      <c r="Z1560" s="19" t="str">
        <f t="shared" si="403"/>
        <v>ReencaucheReenc. MASTERCAUCHO</v>
      </c>
    </row>
    <row r="1561" spans="2:26" ht="15.2" customHeight="1">
      <c r="B1561" s="37"/>
      <c r="E1561" s="79">
        <v>4</v>
      </c>
      <c r="F1561" s="80" t="s">
        <v>732</v>
      </c>
      <c r="G1561" s="81" t="s">
        <v>737</v>
      </c>
      <c r="H1561" s="82" t="s">
        <v>948</v>
      </c>
      <c r="I1561" s="81" t="s">
        <v>726</v>
      </c>
      <c r="J1561" s="83" t="s">
        <v>727</v>
      </c>
      <c r="K1561" s="84" t="s">
        <v>945</v>
      </c>
      <c r="L1561" s="85">
        <v>42241</v>
      </c>
      <c r="M1561" s="86" t="s">
        <v>729</v>
      </c>
      <c r="N1561" s="87">
        <v>42249</v>
      </c>
      <c r="O1561" s="88">
        <f t="shared" si="404"/>
        <v>42249</v>
      </c>
      <c r="P1561" s="2784" t="s">
        <v>942</v>
      </c>
      <c r="Q1561" s="2955"/>
      <c r="R1561" s="89">
        <v>254.24</v>
      </c>
      <c r="S1561" s="1946" t="s">
        <v>731</v>
      </c>
      <c r="T1561" s="77"/>
      <c r="U1561" s="1893" t="s">
        <v>693</v>
      </c>
      <c r="V1561" s="2079">
        <f t="shared" si="401"/>
        <v>0</v>
      </c>
      <c r="W1561" s="78">
        <f t="shared" si="402"/>
        <v>300.00319999999999</v>
      </c>
      <c r="X1561" s="1878" t="str">
        <f t="shared" si="400"/>
        <v xml:space="preserve">4.- C Vikrant 0050312-OT_001232  Reencauche 001-003815 </v>
      </c>
      <c r="Z1561" s="19" t="str">
        <f t="shared" si="403"/>
        <v>ReencaucheReenc. MASTERCAUCHO</v>
      </c>
    </row>
    <row r="1562" spans="2:26" ht="15.2" customHeight="1">
      <c r="B1562" s="37"/>
      <c r="E1562" s="66">
        <v>1</v>
      </c>
      <c r="F1562" s="67" t="s">
        <v>732</v>
      </c>
      <c r="G1562" s="68" t="s">
        <v>733</v>
      </c>
      <c r="H1562" s="69" t="s">
        <v>949</v>
      </c>
      <c r="I1562" s="68" t="s">
        <v>726</v>
      </c>
      <c r="J1562" s="70" t="s">
        <v>727</v>
      </c>
      <c r="K1562" s="71" t="s">
        <v>950</v>
      </c>
      <c r="L1562" s="72">
        <v>42235</v>
      </c>
      <c r="M1562" s="73" t="s">
        <v>729</v>
      </c>
      <c r="N1562" s="74">
        <v>42241</v>
      </c>
      <c r="O1562" s="75">
        <v>42241</v>
      </c>
      <c r="P1562" s="2765" t="s">
        <v>951</v>
      </c>
      <c r="Q1562" s="2954"/>
      <c r="R1562" s="76">
        <v>254.24</v>
      </c>
      <c r="S1562" s="1945" t="s">
        <v>731</v>
      </c>
      <c r="T1562" s="77"/>
      <c r="U1562" s="1893" t="s">
        <v>693</v>
      </c>
      <c r="V1562" s="2079">
        <f t="shared" si="401"/>
        <v>0</v>
      </c>
      <c r="W1562" s="78">
        <f t="shared" si="402"/>
        <v>300.00319999999999</v>
      </c>
      <c r="X1562" s="1878" t="str">
        <f t="shared" si="400"/>
        <v xml:space="preserve">1.- C Lima Caucho 1241207-OT_001267  Reencauche 001-003750 </v>
      </c>
      <c r="Z1562" s="19" t="str">
        <f t="shared" si="403"/>
        <v>ReencaucheReenc. MASTERCAUCHO</v>
      </c>
    </row>
    <row r="1563" spans="2:26" ht="15.2" customHeight="1">
      <c r="B1563" s="37"/>
      <c r="E1563" s="66">
        <v>2</v>
      </c>
      <c r="F1563" s="67" t="s">
        <v>732</v>
      </c>
      <c r="G1563" s="68" t="s">
        <v>733</v>
      </c>
      <c r="H1563" s="69" t="s">
        <v>952</v>
      </c>
      <c r="I1563" s="68" t="s">
        <v>726</v>
      </c>
      <c r="J1563" s="70" t="s">
        <v>727</v>
      </c>
      <c r="K1563" s="71" t="s">
        <v>950</v>
      </c>
      <c r="L1563" s="72">
        <v>42235</v>
      </c>
      <c r="M1563" s="73" t="s">
        <v>729</v>
      </c>
      <c r="N1563" s="74">
        <v>42241</v>
      </c>
      <c r="O1563" s="75">
        <v>42241</v>
      </c>
      <c r="P1563" s="2765" t="s">
        <v>951</v>
      </c>
      <c r="Q1563" s="2954"/>
      <c r="R1563" s="76">
        <v>254.24</v>
      </c>
      <c r="S1563" s="1945" t="s">
        <v>731</v>
      </c>
      <c r="T1563" s="77"/>
      <c r="U1563" s="1893" t="s">
        <v>693</v>
      </c>
      <c r="V1563" s="2079">
        <f t="shared" si="401"/>
        <v>0</v>
      </c>
      <c r="W1563" s="78">
        <f t="shared" si="402"/>
        <v>300.00319999999999</v>
      </c>
      <c r="X1563" s="1878" t="str">
        <f t="shared" si="400"/>
        <v xml:space="preserve">2.- C Lima Caucho 1511207-OT_001267  Reencauche 001-003750 </v>
      </c>
      <c r="Z1563" s="19" t="str">
        <f t="shared" si="403"/>
        <v>ReencaucheReencauchadora RENOVA</v>
      </c>
    </row>
    <row r="1564" spans="2:26" ht="15.2" customHeight="1">
      <c r="B1564" s="37"/>
      <c r="E1564" s="66">
        <v>3</v>
      </c>
      <c r="F1564" s="67" t="s">
        <v>732</v>
      </c>
      <c r="G1564" s="68" t="s">
        <v>733</v>
      </c>
      <c r="H1564" s="69" t="s">
        <v>953</v>
      </c>
      <c r="I1564" s="68" t="s">
        <v>726</v>
      </c>
      <c r="J1564" s="70" t="s">
        <v>727</v>
      </c>
      <c r="K1564" s="71" t="s">
        <v>950</v>
      </c>
      <c r="L1564" s="72">
        <v>42235</v>
      </c>
      <c r="M1564" s="73" t="s">
        <v>729</v>
      </c>
      <c r="N1564" s="74">
        <v>42241</v>
      </c>
      <c r="O1564" s="75">
        <v>42241</v>
      </c>
      <c r="P1564" s="2765" t="s">
        <v>951</v>
      </c>
      <c r="Q1564" s="2954"/>
      <c r="R1564" s="76">
        <v>254.24</v>
      </c>
      <c r="S1564" s="1945" t="s">
        <v>731</v>
      </c>
      <c r="T1564" s="77"/>
      <c r="U1564" s="1893" t="s">
        <v>693</v>
      </c>
      <c r="V1564" s="2079">
        <f t="shared" si="401"/>
        <v>0</v>
      </c>
      <c r="W1564" s="78">
        <f t="shared" si="402"/>
        <v>300.00319999999999</v>
      </c>
      <c r="X1564" s="1878" t="str">
        <f t="shared" si="400"/>
        <v xml:space="preserve">3.- C Lima Caucho 0110108-OT_001267  Reencauche 001-003750 </v>
      </c>
      <c r="Z1564" s="19" t="str">
        <f t="shared" si="403"/>
        <v>ReencaucheReencauchadora RENOVA</v>
      </c>
    </row>
    <row r="1565" spans="2:26" ht="15.2" customHeight="1">
      <c r="B1565" s="37"/>
      <c r="E1565" s="79">
        <v>4</v>
      </c>
      <c r="F1565" s="80" t="s">
        <v>732</v>
      </c>
      <c r="G1565" s="81" t="s">
        <v>733</v>
      </c>
      <c r="H1565" s="82" t="s">
        <v>954</v>
      </c>
      <c r="I1565" s="81" t="s">
        <v>726</v>
      </c>
      <c r="J1565" s="83" t="s">
        <v>727</v>
      </c>
      <c r="K1565" s="84" t="s">
        <v>950</v>
      </c>
      <c r="L1565" s="85">
        <v>42235</v>
      </c>
      <c r="M1565" s="86" t="s">
        <v>729</v>
      </c>
      <c r="N1565" s="87">
        <v>42241</v>
      </c>
      <c r="O1565" s="88">
        <f t="shared" ref="O1565:O1578" si="405">+N1565</f>
        <v>42241</v>
      </c>
      <c r="P1565" s="2766" t="s">
        <v>951</v>
      </c>
      <c r="Q1565" s="2955"/>
      <c r="R1565" s="89">
        <v>254.24</v>
      </c>
      <c r="S1565" s="1946" t="s">
        <v>731</v>
      </c>
      <c r="T1565" s="77"/>
      <c r="U1565" s="1893" t="s">
        <v>693</v>
      </c>
      <c r="V1565" s="2079">
        <f t="shared" si="401"/>
        <v>0</v>
      </c>
      <c r="W1565" s="78">
        <f t="shared" si="402"/>
        <v>300.00319999999999</v>
      </c>
      <c r="X1565" s="1878" t="str">
        <f t="shared" si="400"/>
        <v xml:space="preserve">4.- C Lima Caucho 0400707-OT_001267  Reencauche 001-003750 </v>
      </c>
      <c r="Z1565" s="19" t="str">
        <f t="shared" si="403"/>
        <v>ReencaucheReencauchadora RENOVA</v>
      </c>
    </row>
    <row r="1566" spans="2:26" ht="15.2" customHeight="1">
      <c r="B1566" s="37"/>
      <c r="E1566" s="66">
        <v>1</v>
      </c>
      <c r="F1566" s="67" t="s">
        <v>732</v>
      </c>
      <c r="G1566" s="68" t="s">
        <v>733</v>
      </c>
      <c r="H1566" s="69" t="s">
        <v>955</v>
      </c>
      <c r="I1566" s="68" t="s">
        <v>726</v>
      </c>
      <c r="J1566" s="70" t="s">
        <v>760</v>
      </c>
      <c r="K1566" s="71" t="s">
        <v>956</v>
      </c>
      <c r="L1566" s="72">
        <v>42223</v>
      </c>
      <c r="M1566" s="73" t="s">
        <v>729</v>
      </c>
      <c r="N1566" s="74">
        <v>42234</v>
      </c>
      <c r="O1566" s="75">
        <f t="shared" si="405"/>
        <v>42234</v>
      </c>
      <c r="P1566" s="2765" t="s">
        <v>957</v>
      </c>
      <c r="Q1566" s="2954"/>
      <c r="R1566" s="76">
        <v>281.49</v>
      </c>
      <c r="S1566" s="1945" t="s">
        <v>731</v>
      </c>
      <c r="T1566" s="77"/>
      <c r="U1566" s="1893" t="s">
        <v>693</v>
      </c>
      <c r="V1566" s="2079">
        <f t="shared" si="401"/>
        <v>0</v>
      </c>
      <c r="W1566" s="78">
        <f t="shared" si="402"/>
        <v>332.15819999999997</v>
      </c>
      <c r="X1566" s="1878" t="str">
        <f t="shared" si="400"/>
        <v xml:space="preserve">1.- C Lima Caucho 0810908-OT_214331  Reencauche 030-0042435 </v>
      </c>
      <c r="Z1566" s="19" t="str">
        <f t="shared" si="403"/>
        <v>ReencaucheReencauchadora RENOVA</v>
      </c>
    </row>
    <row r="1567" spans="2:26" ht="15.2" customHeight="1">
      <c r="B1567" s="37"/>
      <c r="E1567" s="66">
        <v>2</v>
      </c>
      <c r="F1567" s="67" t="s">
        <v>732</v>
      </c>
      <c r="G1567" s="68" t="s">
        <v>737</v>
      </c>
      <c r="H1567" s="69" t="s">
        <v>958</v>
      </c>
      <c r="I1567" s="68" t="s">
        <v>726</v>
      </c>
      <c r="J1567" s="70" t="s">
        <v>760</v>
      </c>
      <c r="K1567" s="71" t="s">
        <v>956</v>
      </c>
      <c r="L1567" s="72">
        <v>42223</v>
      </c>
      <c r="M1567" s="73" t="s">
        <v>729</v>
      </c>
      <c r="N1567" s="74">
        <v>42234</v>
      </c>
      <c r="O1567" s="75">
        <f t="shared" si="405"/>
        <v>42234</v>
      </c>
      <c r="P1567" s="2765" t="s">
        <v>957</v>
      </c>
      <c r="Q1567" s="2954"/>
      <c r="R1567" s="76">
        <v>281.49</v>
      </c>
      <c r="S1567" s="1945" t="s">
        <v>731</v>
      </c>
      <c r="T1567" s="77"/>
      <c r="U1567" s="1893" t="s">
        <v>693</v>
      </c>
      <c r="V1567" s="2079">
        <f t="shared" si="401"/>
        <v>0</v>
      </c>
      <c r="W1567" s="78">
        <f t="shared" si="402"/>
        <v>332.15819999999997</v>
      </c>
      <c r="X1567" s="1878" t="str">
        <f t="shared" si="400"/>
        <v xml:space="preserve">2.- C Vikrant 0600709-OT_214331  Reencauche 030-0042435 </v>
      </c>
      <c r="Z1567" s="19" t="str">
        <f t="shared" si="403"/>
        <v>ReencaucheReencauchadora RENOVA</v>
      </c>
    </row>
    <row r="1568" spans="2:26" ht="15.2" customHeight="1">
      <c r="B1568" s="37"/>
      <c r="E1568" s="66">
        <v>3</v>
      </c>
      <c r="F1568" s="67" t="s">
        <v>732</v>
      </c>
      <c r="G1568" s="68" t="s">
        <v>737</v>
      </c>
      <c r="H1568" s="69" t="s">
        <v>959</v>
      </c>
      <c r="I1568" s="68" t="s">
        <v>726</v>
      </c>
      <c r="J1568" s="70" t="s">
        <v>760</v>
      </c>
      <c r="K1568" s="71" t="s">
        <v>956</v>
      </c>
      <c r="L1568" s="72">
        <v>42223</v>
      </c>
      <c r="M1568" s="73" t="s">
        <v>729</v>
      </c>
      <c r="N1568" s="74">
        <v>42234</v>
      </c>
      <c r="O1568" s="75">
        <f t="shared" si="405"/>
        <v>42234</v>
      </c>
      <c r="P1568" s="2765" t="s">
        <v>957</v>
      </c>
      <c r="Q1568" s="2954"/>
      <c r="R1568" s="76">
        <v>281.49</v>
      </c>
      <c r="S1568" s="1945" t="s">
        <v>731</v>
      </c>
      <c r="T1568" s="77"/>
      <c r="U1568" s="1893" t="s">
        <v>693</v>
      </c>
      <c r="V1568" s="2079">
        <f t="shared" si="401"/>
        <v>0</v>
      </c>
      <c r="W1568" s="78">
        <f t="shared" si="402"/>
        <v>332.15819999999997</v>
      </c>
      <c r="X1568" s="1878" t="str">
        <f t="shared" si="400"/>
        <v xml:space="preserve">3.- C Vikrant 1060705-OT_214331  Reencauche 030-0042435 </v>
      </c>
      <c r="Z1568" s="19" t="str">
        <f t="shared" si="403"/>
        <v>ReencaucheReencauchadora RENOVA</v>
      </c>
    </row>
    <row r="1569" spans="2:26" ht="15.2" customHeight="1">
      <c r="B1569" s="37"/>
      <c r="E1569" s="66">
        <v>4</v>
      </c>
      <c r="F1569" s="67" t="s">
        <v>732</v>
      </c>
      <c r="G1569" s="68" t="s">
        <v>737</v>
      </c>
      <c r="H1569" s="69" t="s">
        <v>960</v>
      </c>
      <c r="I1569" s="68" t="s">
        <v>726</v>
      </c>
      <c r="J1569" s="70" t="s">
        <v>760</v>
      </c>
      <c r="K1569" s="71" t="s">
        <v>956</v>
      </c>
      <c r="L1569" s="72">
        <v>42223</v>
      </c>
      <c r="M1569" s="73" t="s">
        <v>729</v>
      </c>
      <c r="N1569" s="74">
        <v>42234</v>
      </c>
      <c r="O1569" s="75">
        <f t="shared" si="405"/>
        <v>42234</v>
      </c>
      <c r="P1569" s="2765" t="s">
        <v>957</v>
      </c>
      <c r="Q1569" s="2954"/>
      <c r="R1569" s="76">
        <v>281.49</v>
      </c>
      <c r="S1569" s="1945" t="s">
        <v>731</v>
      </c>
      <c r="T1569" s="77"/>
      <c r="U1569" s="1893" t="s">
        <v>693</v>
      </c>
      <c r="V1569" s="2079">
        <f t="shared" si="401"/>
        <v>0</v>
      </c>
      <c r="W1569" s="78">
        <f t="shared" si="402"/>
        <v>332.15819999999997</v>
      </c>
      <c r="X1569" s="1878" t="str">
        <f t="shared" si="400"/>
        <v xml:space="preserve">4.- C Vikrant 0800505-OT_214331  Reencauche 030-0042435 </v>
      </c>
      <c r="Z1569" s="19" t="str">
        <f t="shared" si="403"/>
        <v>ReencaucheReencauchadora RENOVA</v>
      </c>
    </row>
    <row r="1570" spans="2:26" ht="15.2" customHeight="1">
      <c r="B1570" s="37"/>
      <c r="E1570" s="66">
        <v>5</v>
      </c>
      <c r="F1570" s="67" t="s">
        <v>732</v>
      </c>
      <c r="G1570" s="68" t="s">
        <v>776</v>
      </c>
      <c r="H1570" s="69" t="s">
        <v>961</v>
      </c>
      <c r="I1570" s="68" t="s">
        <v>726</v>
      </c>
      <c r="J1570" s="70" t="s">
        <v>760</v>
      </c>
      <c r="K1570" s="71" t="s">
        <v>962</v>
      </c>
      <c r="L1570" s="72">
        <v>42223</v>
      </c>
      <c r="M1570" s="73" t="s">
        <v>729</v>
      </c>
      <c r="N1570" s="74">
        <v>42234</v>
      </c>
      <c r="O1570" s="75">
        <f t="shared" si="405"/>
        <v>42234</v>
      </c>
      <c r="P1570" s="2765" t="s">
        <v>957</v>
      </c>
      <c r="Q1570" s="2954"/>
      <c r="R1570" s="76">
        <v>281.49</v>
      </c>
      <c r="S1570" s="1945" t="s">
        <v>731</v>
      </c>
      <c r="T1570" s="77"/>
      <c r="U1570" s="1893" t="s">
        <v>693</v>
      </c>
      <c r="V1570" s="2079">
        <f t="shared" si="401"/>
        <v>0</v>
      </c>
      <c r="W1570" s="78">
        <f t="shared" si="402"/>
        <v>332.15819999999997</v>
      </c>
      <c r="X1570" s="1878" t="str">
        <f t="shared" ref="X1570:X1633" si="406">CONCATENATE(E1570,".- ",F1570," ",G1570," ",H1570,"-OT_",K1570," "," ",I1570," ",P1570," ",T1570)</f>
        <v xml:space="preserve">5.- C Altura 0650911-OT_214332  Reencauche 030-0042435 </v>
      </c>
      <c r="Z1570" s="19" t="str">
        <f t="shared" si="403"/>
        <v>ReencaucheReencauchadora RENOVA</v>
      </c>
    </row>
    <row r="1571" spans="2:26" ht="15.2" customHeight="1">
      <c r="B1571" s="37"/>
      <c r="E1571" s="66">
        <v>6</v>
      </c>
      <c r="F1571" s="67" t="s">
        <v>732</v>
      </c>
      <c r="G1571" s="68" t="s">
        <v>733</v>
      </c>
      <c r="H1571" s="69" t="s">
        <v>954</v>
      </c>
      <c r="I1571" s="68" t="s">
        <v>726</v>
      </c>
      <c r="J1571" s="70" t="s">
        <v>760</v>
      </c>
      <c r="K1571" s="71" t="s">
        <v>956</v>
      </c>
      <c r="L1571" s="72">
        <v>42223</v>
      </c>
      <c r="M1571" s="73" t="s">
        <v>729</v>
      </c>
      <c r="N1571" s="74">
        <v>42234</v>
      </c>
      <c r="O1571" s="75">
        <f t="shared" si="405"/>
        <v>42234</v>
      </c>
      <c r="P1571" s="2765"/>
      <c r="Q1571" s="2954"/>
      <c r="R1571" s="76">
        <v>0</v>
      </c>
      <c r="S1571" s="1945" t="s">
        <v>731</v>
      </c>
      <c r="T1571" s="1875" t="s">
        <v>963</v>
      </c>
      <c r="U1571" s="1920" t="s">
        <v>693</v>
      </c>
      <c r="V1571" s="2079">
        <f t="shared" ref="V1571:V1634" si="407">+Q1571*(1.18)</f>
        <v>0</v>
      </c>
      <c r="W1571" s="78">
        <f t="shared" ref="W1571:W1634" si="408">+R1571*(1.18)</f>
        <v>0</v>
      </c>
      <c r="X1571" s="1878" t="str">
        <f t="shared" si="406"/>
        <v>6.- C Lima Caucho 0400707-OT_214331  Reencauche  Rechazada, Guia 030-0050735</v>
      </c>
      <c r="Z1571" s="19" t="str">
        <f t="shared" si="403"/>
        <v>ReencaucheReencauchadora RENOVA</v>
      </c>
    </row>
    <row r="1572" spans="2:26" ht="15.2" customHeight="1">
      <c r="B1572" s="37"/>
      <c r="E1572" s="66">
        <v>7</v>
      </c>
      <c r="F1572" s="67" t="s">
        <v>732</v>
      </c>
      <c r="G1572" s="68" t="s">
        <v>733</v>
      </c>
      <c r="H1572" s="69" t="s">
        <v>964</v>
      </c>
      <c r="I1572" s="68" t="s">
        <v>726</v>
      </c>
      <c r="J1572" s="70" t="s">
        <v>760</v>
      </c>
      <c r="K1572" s="71" t="s">
        <v>956</v>
      </c>
      <c r="L1572" s="72">
        <v>42223</v>
      </c>
      <c r="M1572" s="73" t="s">
        <v>729</v>
      </c>
      <c r="N1572" s="74">
        <v>42234</v>
      </c>
      <c r="O1572" s="75">
        <f t="shared" si="405"/>
        <v>42234</v>
      </c>
      <c r="P1572" s="2765"/>
      <c r="Q1572" s="2954"/>
      <c r="R1572" s="76">
        <v>0</v>
      </c>
      <c r="S1572" s="1945" t="s">
        <v>731</v>
      </c>
      <c r="T1572" s="1875" t="s">
        <v>963</v>
      </c>
      <c r="U1572" s="1920" t="s">
        <v>693</v>
      </c>
      <c r="V1572" s="2079">
        <f t="shared" si="407"/>
        <v>0</v>
      </c>
      <c r="W1572" s="78">
        <f t="shared" si="408"/>
        <v>0</v>
      </c>
      <c r="X1572" s="1878" t="str">
        <f t="shared" si="406"/>
        <v>7.- C Lima Caucho 1281207-OT_214331  Reencauche  Rechazada, Guia 030-0050735</v>
      </c>
      <c r="Z1572" s="19" t="str">
        <f t="shared" si="403"/>
        <v>ReencaucheReencauchadora RENOVA</v>
      </c>
    </row>
    <row r="1573" spans="2:26" ht="15.2" customHeight="1">
      <c r="B1573" s="37"/>
      <c r="E1573" s="66">
        <v>8</v>
      </c>
      <c r="F1573" s="67" t="s">
        <v>732</v>
      </c>
      <c r="G1573" s="68" t="s">
        <v>733</v>
      </c>
      <c r="H1573" s="69" t="s">
        <v>965</v>
      </c>
      <c r="I1573" s="68" t="s">
        <v>726</v>
      </c>
      <c r="J1573" s="70" t="s">
        <v>760</v>
      </c>
      <c r="K1573" s="71" t="s">
        <v>956</v>
      </c>
      <c r="L1573" s="72">
        <v>42223</v>
      </c>
      <c r="M1573" s="73" t="s">
        <v>729</v>
      </c>
      <c r="N1573" s="74">
        <v>42234</v>
      </c>
      <c r="O1573" s="75">
        <f t="shared" si="405"/>
        <v>42234</v>
      </c>
      <c r="P1573" s="2765"/>
      <c r="Q1573" s="2954"/>
      <c r="R1573" s="76">
        <v>0</v>
      </c>
      <c r="S1573" s="1945" t="s">
        <v>731</v>
      </c>
      <c r="T1573" s="1875" t="s">
        <v>963</v>
      </c>
      <c r="U1573" s="1920" t="s">
        <v>693</v>
      </c>
      <c r="V1573" s="2079">
        <f t="shared" si="407"/>
        <v>0</v>
      </c>
      <c r="W1573" s="78">
        <f t="shared" si="408"/>
        <v>0</v>
      </c>
      <c r="X1573" s="1878" t="str">
        <f t="shared" si="406"/>
        <v>8.- C Lima Caucho 0290508-OT_214331  Reencauche  Rechazada, Guia 030-0050735</v>
      </c>
      <c r="Z1573" s="19" t="str">
        <f t="shared" si="403"/>
        <v>ReencaucheReencauchadora RENOVA</v>
      </c>
    </row>
    <row r="1574" spans="2:26" ht="15.2" customHeight="1">
      <c r="B1574" s="37"/>
      <c r="E1574" s="66">
        <v>9</v>
      </c>
      <c r="F1574" s="67" t="s">
        <v>732</v>
      </c>
      <c r="G1574" s="68" t="s">
        <v>733</v>
      </c>
      <c r="H1574" s="69" t="s">
        <v>949</v>
      </c>
      <c r="I1574" s="68" t="s">
        <v>726</v>
      </c>
      <c r="J1574" s="70" t="s">
        <v>760</v>
      </c>
      <c r="K1574" s="71" t="s">
        <v>956</v>
      </c>
      <c r="L1574" s="72">
        <v>42223</v>
      </c>
      <c r="M1574" s="73" t="s">
        <v>729</v>
      </c>
      <c r="N1574" s="74">
        <v>42234</v>
      </c>
      <c r="O1574" s="75">
        <f t="shared" si="405"/>
        <v>42234</v>
      </c>
      <c r="P1574" s="2765"/>
      <c r="Q1574" s="2954"/>
      <c r="R1574" s="76">
        <v>0</v>
      </c>
      <c r="S1574" s="1945" t="s">
        <v>731</v>
      </c>
      <c r="T1574" s="1875" t="s">
        <v>963</v>
      </c>
      <c r="U1574" s="1920" t="s">
        <v>693</v>
      </c>
      <c r="V1574" s="2079">
        <f t="shared" si="407"/>
        <v>0</v>
      </c>
      <c r="W1574" s="78">
        <f t="shared" si="408"/>
        <v>0</v>
      </c>
      <c r="X1574" s="1878" t="str">
        <f t="shared" si="406"/>
        <v>9.- C Lima Caucho 1241207-OT_214331  Reencauche  Rechazada, Guia 030-0050735</v>
      </c>
      <c r="Z1574" s="19" t="str">
        <f t="shared" si="403"/>
        <v>ReencaucheReencauchadora RENOVA</v>
      </c>
    </row>
    <row r="1575" spans="2:26" ht="15.2" customHeight="1">
      <c r="B1575" s="37"/>
      <c r="E1575" s="66">
        <v>10</v>
      </c>
      <c r="F1575" s="67" t="s">
        <v>732</v>
      </c>
      <c r="G1575" s="68" t="s">
        <v>733</v>
      </c>
      <c r="H1575" s="69" t="s">
        <v>952</v>
      </c>
      <c r="I1575" s="68" t="s">
        <v>726</v>
      </c>
      <c r="J1575" s="70" t="s">
        <v>760</v>
      </c>
      <c r="K1575" s="71" t="s">
        <v>956</v>
      </c>
      <c r="L1575" s="72">
        <v>42223</v>
      </c>
      <c r="M1575" s="73" t="s">
        <v>729</v>
      </c>
      <c r="N1575" s="74">
        <v>42234</v>
      </c>
      <c r="O1575" s="75">
        <f t="shared" si="405"/>
        <v>42234</v>
      </c>
      <c r="P1575" s="2765"/>
      <c r="Q1575" s="2954"/>
      <c r="R1575" s="76">
        <v>0</v>
      </c>
      <c r="S1575" s="1945" t="s">
        <v>731</v>
      </c>
      <c r="T1575" s="1875" t="s">
        <v>963</v>
      </c>
      <c r="U1575" s="1920" t="s">
        <v>693</v>
      </c>
      <c r="V1575" s="2079">
        <f t="shared" si="407"/>
        <v>0</v>
      </c>
      <c r="W1575" s="78">
        <f t="shared" si="408"/>
        <v>0</v>
      </c>
      <c r="X1575" s="1878" t="str">
        <f t="shared" si="406"/>
        <v>10.- C Lima Caucho 1511207-OT_214331  Reencauche  Rechazada, Guia 030-0050735</v>
      </c>
      <c r="Z1575" s="19" t="str">
        <f t="shared" si="403"/>
        <v>Vulcanizado (curación)Reenc. MASTERCAUCHO</v>
      </c>
    </row>
    <row r="1576" spans="2:26" ht="15.2" customHeight="1">
      <c r="B1576" s="37"/>
      <c r="E1576" s="66">
        <v>11</v>
      </c>
      <c r="F1576" s="67" t="s">
        <v>732</v>
      </c>
      <c r="G1576" s="68" t="s">
        <v>733</v>
      </c>
      <c r="H1576" s="69" t="s">
        <v>953</v>
      </c>
      <c r="I1576" s="68" t="s">
        <v>726</v>
      </c>
      <c r="J1576" s="70" t="s">
        <v>760</v>
      </c>
      <c r="K1576" s="71" t="s">
        <v>956</v>
      </c>
      <c r="L1576" s="72">
        <v>42223</v>
      </c>
      <c r="M1576" s="73" t="s">
        <v>729</v>
      </c>
      <c r="N1576" s="74">
        <v>42234</v>
      </c>
      <c r="O1576" s="75">
        <f t="shared" si="405"/>
        <v>42234</v>
      </c>
      <c r="P1576" s="2765"/>
      <c r="Q1576" s="2954"/>
      <c r="R1576" s="76">
        <v>0</v>
      </c>
      <c r="S1576" s="1945" t="s">
        <v>731</v>
      </c>
      <c r="T1576" s="1875" t="s">
        <v>963</v>
      </c>
      <c r="U1576" s="1920" t="s">
        <v>693</v>
      </c>
      <c r="V1576" s="2079">
        <f t="shared" si="407"/>
        <v>0</v>
      </c>
      <c r="W1576" s="78">
        <f t="shared" si="408"/>
        <v>0</v>
      </c>
      <c r="X1576" s="1878" t="str">
        <f t="shared" si="406"/>
        <v>11.- C Lima Caucho 0110108-OT_214331  Reencauche  Rechazada, Guia 030-0050735</v>
      </c>
      <c r="Z1576" s="19" t="str">
        <f t="shared" si="403"/>
        <v>Vulcanizado (curación)Reenc. MASTERCAUCHO</v>
      </c>
    </row>
    <row r="1577" spans="2:26" ht="15.2" customHeight="1">
      <c r="B1577" s="37"/>
      <c r="E1577" s="79">
        <v>12</v>
      </c>
      <c r="F1577" s="80" t="s">
        <v>732</v>
      </c>
      <c r="G1577" s="81" t="s">
        <v>769</v>
      </c>
      <c r="H1577" s="82" t="s">
        <v>966</v>
      </c>
      <c r="I1577" s="81" t="s">
        <v>726</v>
      </c>
      <c r="J1577" s="83" t="s">
        <v>760</v>
      </c>
      <c r="K1577" s="84" t="s">
        <v>962</v>
      </c>
      <c r="L1577" s="85">
        <v>42223</v>
      </c>
      <c r="M1577" s="86" t="s">
        <v>729</v>
      </c>
      <c r="N1577" s="87">
        <v>42234</v>
      </c>
      <c r="O1577" s="88">
        <f t="shared" si="405"/>
        <v>42234</v>
      </c>
      <c r="P1577" s="2766"/>
      <c r="Q1577" s="2955"/>
      <c r="R1577" s="89">
        <v>0</v>
      </c>
      <c r="S1577" s="1946" t="s">
        <v>731</v>
      </c>
      <c r="T1577" s="1875" t="s">
        <v>963</v>
      </c>
      <c r="U1577" s="1920" t="s">
        <v>693</v>
      </c>
      <c r="V1577" s="2079">
        <f t="shared" si="407"/>
        <v>0</v>
      </c>
      <c r="W1577" s="78">
        <f t="shared" si="408"/>
        <v>0</v>
      </c>
      <c r="X1577" s="1878" t="str">
        <f t="shared" si="406"/>
        <v>12.- C Lu He 0390509-OT_214332  Reencauche  Rechazada, Guia 030-0050735</v>
      </c>
      <c r="Z1577" s="19" t="str">
        <f t="shared" si="403"/>
        <v>Banda de 2ª usadaReenc. MASTERCAUCHO</v>
      </c>
    </row>
    <row r="1578" spans="2:26" ht="15.2" customHeight="1">
      <c r="B1578" s="37"/>
      <c r="E1578" s="66">
        <v>1</v>
      </c>
      <c r="F1578" s="67" t="s">
        <v>723</v>
      </c>
      <c r="G1578" s="68" t="s">
        <v>724</v>
      </c>
      <c r="H1578" s="69" t="s">
        <v>967</v>
      </c>
      <c r="I1578" s="68" t="s">
        <v>811</v>
      </c>
      <c r="J1578" s="70" t="s">
        <v>727</v>
      </c>
      <c r="K1578" s="71" t="s">
        <v>968</v>
      </c>
      <c r="L1578" s="72">
        <v>42222</v>
      </c>
      <c r="M1578" s="73" t="s">
        <v>729</v>
      </c>
      <c r="N1578" s="74">
        <v>42231</v>
      </c>
      <c r="O1578" s="75">
        <f t="shared" si="405"/>
        <v>42231</v>
      </c>
      <c r="P1578" s="2765" t="s">
        <v>969</v>
      </c>
      <c r="Q1578" s="2954"/>
      <c r="R1578" s="76">
        <v>105.93</v>
      </c>
      <c r="S1578" s="1945" t="s">
        <v>731</v>
      </c>
      <c r="T1578" s="77"/>
      <c r="U1578" s="1893" t="s">
        <v>694</v>
      </c>
      <c r="V1578" s="2079">
        <f t="shared" si="407"/>
        <v>0</v>
      </c>
      <c r="W1578" s="78">
        <f t="shared" si="408"/>
        <v>124.9974</v>
      </c>
      <c r="X1578" s="1878" t="str">
        <f t="shared" si="406"/>
        <v xml:space="preserve">1.- R Aeolus 0170114-OT_001201  Vulcanizado (curación) 001-003667 </v>
      </c>
      <c r="Z1578" s="19" t="str">
        <f t="shared" si="403"/>
        <v>ReencaucheReenc. MASTERCAUCHO</v>
      </c>
    </row>
    <row r="1579" spans="2:26" ht="15.2" customHeight="1">
      <c r="B1579" s="37"/>
      <c r="E1579" s="66">
        <v>2</v>
      </c>
      <c r="F1579" s="67" t="s">
        <v>732</v>
      </c>
      <c r="G1579" s="68" t="s">
        <v>733</v>
      </c>
      <c r="H1579" s="69" t="s">
        <v>970</v>
      </c>
      <c r="I1579" s="68" t="s">
        <v>811</v>
      </c>
      <c r="J1579" s="70" t="s">
        <v>727</v>
      </c>
      <c r="K1579" s="71" t="s">
        <v>968</v>
      </c>
      <c r="L1579" s="72">
        <v>42222</v>
      </c>
      <c r="M1579" s="73" t="s">
        <v>729</v>
      </c>
      <c r="N1579" s="74">
        <v>42231</v>
      </c>
      <c r="O1579" s="75">
        <v>42231</v>
      </c>
      <c r="P1579" s="2765" t="s">
        <v>969</v>
      </c>
      <c r="Q1579" s="2954"/>
      <c r="R1579" s="76">
        <v>105.93</v>
      </c>
      <c r="S1579" s="1945" t="s">
        <v>731</v>
      </c>
      <c r="T1579" s="77"/>
      <c r="U1579" s="1893" t="s">
        <v>693</v>
      </c>
      <c r="V1579" s="2079">
        <f t="shared" si="407"/>
        <v>0</v>
      </c>
      <c r="W1579" s="78">
        <f t="shared" si="408"/>
        <v>124.9974</v>
      </c>
      <c r="X1579" s="1878" t="str">
        <f t="shared" si="406"/>
        <v xml:space="preserve">2.- C Lima Caucho 0951010-OT_001201  Vulcanizado (curación) 001-003667 </v>
      </c>
      <c r="Z1579" s="19" t="str">
        <f t="shared" si="403"/>
        <v>Vulcanizado (curación)Reenc. MASTERCAUCHO</v>
      </c>
    </row>
    <row r="1580" spans="2:26" ht="15.2" customHeight="1">
      <c r="B1580" s="37"/>
      <c r="E1580" s="66">
        <v>3</v>
      </c>
      <c r="F1580" s="67" t="s">
        <v>732</v>
      </c>
      <c r="G1580" s="68" t="s">
        <v>733</v>
      </c>
      <c r="H1580" s="69" t="s">
        <v>971</v>
      </c>
      <c r="I1580" s="68" t="s">
        <v>742</v>
      </c>
      <c r="J1580" s="70" t="s">
        <v>727</v>
      </c>
      <c r="K1580" s="71" t="s">
        <v>968</v>
      </c>
      <c r="L1580" s="72">
        <v>42222</v>
      </c>
      <c r="M1580" s="73" t="s">
        <v>729</v>
      </c>
      <c r="N1580" s="74">
        <v>42231</v>
      </c>
      <c r="O1580" s="75">
        <v>42231</v>
      </c>
      <c r="P1580" s="2765" t="s">
        <v>969</v>
      </c>
      <c r="Q1580" s="2954"/>
      <c r="R1580" s="76">
        <v>211.86500000000001</v>
      </c>
      <c r="S1580" s="1945" t="s">
        <v>731</v>
      </c>
      <c r="T1580" s="77"/>
      <c r="U1580" s="1893" t="s">
        <v>693</v>
      </c>
      <c r="V1580" s="2079">
        <f t="shared" si="407"/>
        <v>0</v>
      </c>
      <c r="W1580" s="78">
        <f t="shared" si="408"/>
        <v>250.00069999999999</v>
      </c>
      <c r="X1580" s="1878" t="str">
        <f t="shared" si="406"/>
        <v xml:space="preserve">3.- C Lima Caucho 0790910-OT_001201  Banda de 2ª usada 001-003667 </v>
      </c>
      <c r="Z1580" s="19" t="str">
        <f t="shared" si="403"/>
        <v>Vulcanizado (curación)Reenc. MASTERCAUCHO</v>
      </c>
    </row>
    <row r="1581" spans="2:26" ht="15.2" customHeight="1">
      <c r="B1581" s="37"/>
      <c r="E1581" s="79">
        <v>4</v>
      </c>
      <c r="F1581" s="80" t="s">
        <v>732</v>
      </c>
      <c r="G1581" s="81" t="s">
        <v>757</v>
      </c>
      <c r="H1581" s="82" t="s">
        <v>972</v>
      </c>
      <c r="I1581" s="81" t="s">
        <v>726</v>
      </c>
      <c r="J1581" s="83" t="s">
        <v>727</v>
      </c>
      <c r="K1581" s="84" t="s">
        <v>968</v>
      </c>
      <c r="L1581" s="85">
        <v>42222</v>
      </c>
      <c r="M1581" s="86" t="s">
        <v>729</v>
      </c>
      <c r="N1581" s="87">
        <v>42231</v>
      </c>
      <c r="O1581" s="88">
        <v>42231</v>
      </c>
      <c r="P1581" s="2766" t="s">
        <v>969</v>
      </c>
      <c r="Q1581" s="2955"/>
      <c r="R1581" s="89"/>
      <c r="S1581" s="1946" t="s">
        <v>731</v>
      </c>
      <c r="T1581" s="1875" t="s">
        <v>923</v>
      </c>
      <c r="U1581" s="1920" t="s">
        <v>693</v>
      </c>
      <c r="V1581" s="2079">
        <f t="shared" si="407"/>
        <v>0</v>
      </c>
      <c r="W1581" s="78">
        <f t="shared" si="408"/>
        <v>0</v>
      </c>
      <c r="X1581" s="1878" t="str">
        <f t="shared" si="406"/>
        <v>4.- C Goodyear 1971204-OT_001201  Reencauche 001-003667 Rechazada, Casco soplado, No se Facturo</v>
      </c>
      <c r="Z1581" s="19" t="str">
        <f t="shared" si="403"/>
        <v>Banda de 2ª usadaReenc. MASTERCAUCHO</v>
      </c>
    </row>
    <row r="1582" spans="2:26" ht="15.2" customHeight="1">
      <c r="B1582" s="37"/>
      <c r="E1582" s="124">
        <v>1</v>
      </c>
      <c r="F1582" s="125" t="s">
        <v>723</v>
      </c>
      <c r="G1582" s="126" t="s">
        <v>724</v>
      </c>
      <c r="H1582" s="127" t="s">
        <v>973</v>
      </c>
      <c r="I1582" s="126" t="s">
        <v>811</v>
      </c>
      <c r="J1582" s="120" t="s">
        <v>727</v>
      </c>
      <c r="K1582" s="128" t="s">
        <v>974</v>
      </c>
      <c r="L1582" s="129">
        <v>42205</v>
      </c>
      <c r="M1582" s="130" t="s">
        <v>729</v>
      </c>
      <c r="N1582" s="131">
        <v>42209</v>
      </c>
      <c r="O1582" s="132">
        <f t="shared" ref="O1582:O1608" si="409">+N1582</f>
        <v>42209</v>
      </c>
      <c r="P1582" s="2767" t="s">
        <v>975</v>
      </c>
      <c r="Q1582" s="2962"/>
      <c r="R1582" s="133">
        <v>105.93</v>
      </c>
      <c r="S1582" s="1942" t="s">
        <v>731</v>
      </c>
      <c r="T1582" s="77"/>
      <c r="U1582" s="1893" t="s">
        <v>694</v>
      </c>
      <c r="V1582" s="2079">
        <f t="shared" si="407"/>
        <v>0</v>
      </c>
      <c r="W1582" s="78">
        <f t="shared" si="408"/>
        <v>124.9974</v>
      </c>
      <c r="X1582" s="1878" t="str">
        <f t="shared" si="406"/>
        <v xml:space="preserve">1.- R Aeolus 0110612-OT_001128  Vulcanizado (curación) 001-003545 </v>
      </c>
      <c r="Z1582" s="19" t="str">
        <f t="shared" si="403"/>
        <v>Transpl BandaReenc. MASTERCAUCHO</v>
      </c>
    </row>
    <row r="1583" spans="2:26" ht="15.2" customHeight="1">
      <c r="B1583" s="37"/>
      <c r="E1583" s="66">
        <v>1</v>
      </c>
      <c r="F1583" s="67" t="s">
        <v>723</v>
      </c>
      <c r="G1583" s="68" t="s">
        <v>724</v>
      </c>
      <c r="H1583" s="69" t="s">
        <v>976</v>
      </c>
      <c r="I1583" s="68" t="s">
        <v>811</v>
      </c>
      <c r="J1583" s="70" t="s">
        <v>727</v>
      </c>
      <c r="K1583" s="71" t="s">
        <v>977</v>
      </c>
      <c r="L1583" s="72">
        <v>42194</v>
      </c>
      <c r="M1583" s="73" t="s">
        <v>729</v>
      </c>
      <c r="N1583" s="74">
        <v>42205</v>
      </c>
      <c r="O1583" s="75">
        <f t="shared" si="409"/>
        <v>42205</v>
      </c>
      <c r="P1583" s="2765" t="s">
        <v>978</v>
      </c>
      <c r="Q1583" s="2954"/>
      <c r="R1583" s="76">
        <v>105.93</v>
      </c>
      <c r="S1583" s="1945" t="s">
        <v>731</v>
      </c>
      <c r="T1583" s="77"/>
      <c r="U1583" s="1893" t="s">
        <v>694</v>
      </c>
      <c r="V1583" s="2079">
        <f t="shared" si="407"/>
        <v>0</v>
      </c>
      <c r="W1583" s="78">
        <f t="shared" si="408"/>
        <v>124.9974</v>
      </c>
      <c r="X1583" s="1878" t="str">
        <f t="shared" si="406"/>
        <v xml:space="preserve">1.- R Aeolus 0090113-OT_001110  Vulcanizado (curación) 001-003503 </v>
      </c>
      <c r="Z1583" s="19" t="str">
        <f t="shared" si="403"/>
        <v>Transpl BandaReenc. MASTERCAUCHO</v>
      </c>
    </row>
    <row r="1584" spans="2:26" ht="15.2" customHeight="1">
      <c r="B1584" s="37"/>
      <c r="E1584" s="66">
        <v>2</v>
      </c>
      <c r="F1584" s="67" t="s">
        <v>732</v>
      </c>
      <c r="G1584" s="68" t="s">
        <v>733</v>
      </c>
      <c r="H1584" s="69" t="s">
        <v>983</v>
      </c>
      <c r="I1584" s="68" t="s">
        <v>742</v>
      </c>
      <c r="J1584" s="70" t="s">
        <v>727</v>
      </c>
      <c r="K1584" s="71" t="s">
        <v>977</v>
      </c>
      <c r="L1584" s="72">
        <v>42194</v>
      </c>
      <c r="M1584" s="73" t="s">
        <v>729</v>
      </c>
      <c r="N1584" s="74">
        <v>42205</v>
      </c>
      <c r="O1584" s="75">
        <f t="shared" si="409"/>
        <v>42205</v>
      </c>
      <c r="P1584" s="2765" t="s">
        <v>978</v>
      </c>
      <c r="Q1584" s="2954"/>
      <c r="R1584" s="76">
        <v>211.864</v>
      </c>
      <c r="S1584" s="1945" t="s">
        <v>731</v>
      </c>
      <c r="T1584" s="77"/>
      <c r="U1584" s="1893" t="s">
        <v>693</v>
      </c>
      <c r="V1584" s="2079">
        <f t="shared" si="407"/>
        <v>0</v>
      </c>
      <c r="W1584" s="78">
        <f t="shared" si="408"/>
        <v>249.99951999999999</v>
      </c>
      <c r="X1584" s="1878" t="str">
        <f t="shared" si="406"/>
        <v xml:space="preserve">2.- C Lima Caucho 1211210-OT_001110  Banda de 2ª usada 001-003503 </v>
      </c>
      <c r="Z1584" s="19" t="str">
        <f t="shared" si="403"/>
        <v>Sacar_BandaReenc. MASTERCAUCHO</v>
      </c>
    </row>
    <row r="1585" spans="2:26" ht="15.2" customHeight="1">
      <c r="B1585" s="37"/>
      <c r="E1585" s="66">
        <v>3</v>
      </c>
      <c r="F1585" s="67" t="s">
        <v>732</v>
      </c>
      <c r="G1585" s="68" t="s">
        <v>757</v>
      </c>
      <c r="H1585" s="69" t="s">
        <v>937</v>
      </c>
      <c r="I1585" s="68" t="s">
        <v>740</v>
      </c>
      <c r="J1585" s="70" t="s">
        <v>727</v>
      </c>
      <c r="K1585" s="71" t="s">
        <v>977</v>
      </c>
      <c r="L1585" s="72">
        <v>42194</v>
      </c>
      <c r="M1585" s="73" t="s">
        <v>729</v>
      </c>
      <c r="N1585" s="74">
        <v>42205</v>
      </c>
      <c r="O1585" s="75">
        <f t="shared" si="409"/>
        <v>42205</v>
      </c>
      <c r="P1585" s="2765" t="s">
        <v>978</v>
      </c>
      <c r="Q1585" s="2954"/>
      <c r="R1585" s="76">
        <v>127.12</v>
      </c>
      <c r="S1585" s="1945" t="s">
        <v>731</v>
      </c>
      <c r="T1585" s="77" t="s">
        <v>984</v>
      </c>
      <c r="U1585" s="1893" t="s">
        <v>693</v>
      </c>
      <c r="V1585" s="2079">
        <f t="shared" si="407"/>
        <v>0</v>
      </c>
      <c r="W1585" s="78">
        <f t="shared" si="408"/>
        <v>150.0016</v>
      </c>
      <c r="X1585" s="1878" t="str">
        <f t="shared" si="406"/>
        <v>3.- C Goodyear 0170205-OT_001110  Transpl Banda 001-003503  - Misma Banda</v>
      </c>
      <c r="Z1585" s="19" t="str">
        <f t="shared" si="403"/>
        <v>Banda de 2ª usadaReenc. MASTERCAUCHO</v>
      </c>
    </row>
    <row r="1586" spans="2:26" ht="15.2" customHeight="1">
      <c r="B1586" s="37"/>
      <c r="E1586" s="66">
        <v>4</v>
      </c>
      <c r="F1586" s="67" t="s">
        <v>732</v>
      </c>
      <c r="G1586" s="90" t="s">
        <v>733</v>
      </c>
      <c r="H1586" s="91" t="s">
        <v>985</v>
      </c>
      <c r="I1586" s="90" t="s">
        <v>740</v>
      </c>
      <c r="J1586" s="92" t="s">
        <v>727</v>
      </c>
      <c r="K1586" s="71" t="s">
        <v>977</v>
      </c>
      <c r="L1586" s="72">
        <v>42194</v>
      </c>
      <c r="M1586" s="73" t="s">
        <v>729</v>
      </c>
      <c r="N1586" s="74">
        <v>42205</v>
      </c>
      <c r="O1586" s="75">
        <f t="shared" si="409"/>
        <v>42205</v>
      </c>
      <c r="P1586" s="2765" t="s">
        <v>978</v>
      </c>
      <c r="Q1586" s="2954"/>
      <c r="R1586" s="76">
        <v>127.12</v>
      </c>
      <c r="S1586" s="1945" t="s">
        <v>731</v>
      </c>
      <c r="T1586" s="77"/>
      <c r="U1586" s="1893" t="s">
        <v>693</v>
      </c>
      <c r="V1586" s="2079">
        <f t="shared" si="407"/>
        <v>0</v>
      </c>
      <c r="W1586" s="78">
        <f t="shared" si="408"/>
        <v>150.0016</v>
      </c>
      <c r="X1586" s="1878" t="str">
        <f t="shared" si="406"/>
        <v xml:space="preserve">4.- C Lima Caucho 0890908-OT_001110  Transpl Banda 001-003503 </v>
      </c>
      <c r="Z1586" s="19" t="str">
        <f t="shared" si="403"/>
        <v>Banda de 2ª usadaReenc. MASTERCAUCHO</v>
      </c>
    </row>
    <row r="1587" spans="2:26" ht="15.2" customHeight="1">
      <c r="B1587" s="37"/>
      <c r="E1587" s="79">
        <v>5</v>
      </c>
      <c r="F1587" s="80" t="s">
        <v>732</v>
      </c>
      <c r="G1587" s="114" t="s">
        <v>733</v>
      </c>
      <c r="H1587" s="115" t="s">
        <v>986</v>
      </c>
      <c r="I1587" s="114" t="s">
        <v>744</v>
      </c>
      <c r="J1587" s="93" t="s">
        <v>727</v>
      </c>
      <c r="K1587" s="84" t="s">
        <v>977</v>
      </c>
      <c r="L1587" s="85">
        <v>42194</v>
      </c>
      <c r="M1587" s="86" t="s">
        <v>729</v>
      </c>
      <c r="N1587" s="87">
        <v>42205</v>
      </c>
      <c r="O1587" s="88">
        <f t="shared" si="409"/>
        <v>42205</v>
      </c>
      <c r="P1587" s="2766"/>
      <c r="Q1587" s="2955"/>
      <c r="R1587" s="89"/>
      <c r="S1587" s="1946" t="s">
        <v>731</v>
      </c>
      <c r="T1587" s="77"/>
      <c r="U1587" s="1893" t="s">
        <v>693</v>
      </c>
      <c r="V1587" s="2079">
        <f t="shared" si="407"/>
        <v>0</v>
      </c>
      <c r="W1587" s="78">
        <f t="shared" si="408"/>
        <v>0</v>
      </c>
      <c r="X1587" s="1878" t="str">
        <f t="shared" si="406"/>
        <v xml:space="preserve">5.- C Lima Caucho 1181107-OT_001110  Sacar_Banda  </v>
      </c>
      <c r="Z1587" s="19" t="str">
        <f t="shared" si="403"/>
        <v>Transpl BandaReenc. MASTERCAUCHO</v>
      </c>
    </row>
    <row r="1588" spans="2:26" ht="15.2" customHeight="1">
      <c r="B1588" s="37"/>
      <c r="E1588" s="66">
        <v>1</v>
      </c>
      <c r="F1588" s="67" t="s">
        <v>732</v>
      </c>
      <c r="G1588" s="68" t="s">
        <v>733</v>
      </c>
      <c r="H1588" s="69" t="s">
        <v>987</v>
      </c>
      <c r="I1588" s="68" t="s">
        <v>742</v>
      </c>
      <c r="J1588" s="70" t="s">
        <v>727</v>
      </c>
      <c r="K1588" s="71" t="s">
        <v>988</v>
      </c>
      <c r="L1588" s="72">
        <v>42181</v>
      </c>
      <c r="M1588" s="73" t="s">
        <v>729</v>
      </c>
      <c r="N1588" s="74">
        <v>42194</v>
      </c>
      <c r="O1588" s="75">
        <f t="shared" si="409"/>
        <v>42194</v>
      </c>
      <c r="P1588" s="2765" t="s">
        <v>989</v>
      </c>
      <c r="Q1588" s="2954"/>
      <c r="R1588" s="76">
        <v>211.86500000000001</v>
      </c>
      <c r="S1588" s="1945" t="s">
        <v>731</v>
      </c>
      <c r="T1588" s="77"/>
      <c r="U1588" s="1893" t="s">
        <v>693</v>
      </c>
      <c r="V1588" s="2079">
        <f t="shared" si="407"/>
        <v>0</v>
      </c>
      <c r="W1588" s="78">
        <f t="shared" si="408"/>
        <v>250.00069999999999</v>
      </c>
      <c r="X1588" s="1878" t="str">
        <f t="shared" si="406"/>
        <v xml:space="preserve">1.- C Lima Caucho 1451207-OT_000933  Banda de 2ª usada 001-003441 </v>
      </c>
      <c r="Z1588" s="19" t="str">
        <f t="shared" si="403"/>
        <v>Transpl BandaReenc. MASTERCAUCHO</v>
      </c>
    </row>
    <row r="1589" spans="2:26" ht="15.2" customHeight="1">
      <c r="B1589" s="37"/>
      <c r="E1589" s="66">
        <v>2</v>
      </c>
      <c r="F1589" s="67" t="s">
        <v>732</v>
      </c>
      <c r="G1589" s="68" t="s">
        <v>733</v>
      </c>
      <c r="H1589" s="69" t="s">
        <v>990</v>
      </c>
      <c r="I1589" s="68" t="s">
        <v>742</v>
      </c>
      <c r="J1589" s="70" t="s">
        <v>727</v>
      </c>
      <c r="K1589" s="71" t="s">
        <v>988</v>
      </c>
      <c r="L1589" s="72">
        <v>42181</v>
      </c>
      <c r="M1589" s="73" t="s">
        <v>729</v>
      </c>
      <c r="N1589" s="74">
        <v>42194</v>
      </c>
      <c r="O1589" s="75">
        <f t="shared" si="409"/>
        <v>42194</v>
      </c>
      <c r="P1589" s="2765" t="s">
        <v>989</v>
      </c>
      <c r="Q1589" s="2954"/>
      <c r="R1589" s="76">
        <v>211.86500000000001</v>
      </c>
      <c r="S1589" s="1945" t="s">
        <v>731</v>
      </c>
      <c r="T1589" s="69"/>
      <c r="U1589" s="1891" t="s">
        <v>693</v>
      </c>
      <c r="V1589" s="2079">
        <f t="shared" si="407"/>
        <v>0</v>
      </c>
      <c r="W1589" s="78">
        <f t="shared" si="408"/>
        <v>250.00069999999999</v>
      </c>
      <c r="X1589" s="1878" t="str">
        <f t="shared" si="406"/>
        <v xml:space="preserve">2.- C Lima Caucho 0220207-OT_000933  Banda de 2ª usada 001-003441 </v>
      </c>
      <c r="Z1589" s="19" t="str">
        <f t="shared" si="403"/>
        <v>Sacar_BandaReenc. MASTERCAUCHO</v>
      </c>
    </row>
    <row r="1590" spans="2:26" ht="15.2" customHeight="1">
      <c r="B1590" s="37"/>
      <c r="E1590" s="66">
        <v>3</v>
      </c>
      <c r="F1590" s="67" t="s">
        <v>732</v>
      </c>
      <c r="G1590" s="90" t="s">
        <v>757</v>
      </c>
      <c r="H1590" s="91" t="s">
        <v>991</v>
      </c>
      <c r="I1590" s="90" t="s">
        <v>740</v>
      </c>
      <c r="J1590" s="92" t="s">
        <v>727</v>
      </c>
      <c r="K1590" s="71" t="s">
        <v>988</v>
      </c>
      <c r="L1590" s="72">
        <v>42181</v>
      </c>
      <c r="M1590" s="73" t="s">
        <v>729</v>
      </c>
      <c r="N1590" s="74">
        <v>42194</v>
      </c>
      <c r="O1590" s="75">
        <f t="shared" si="409"/>
        <v>42194</v>
      </c>
      <c r="P1590" s="2765" t="s">
        <v>989</v>
      </c>
      <c r="Q1590" s="2954"/>
      <c r="R1590" s="76">
        <v>127.12</v>
      </c>
      <c r="S1590" s="1945" t="s">
        <v>731</v>
      </c>
      <c r="T1590" s="77"/>
      <c r="U1590" s="1893" t="s">
        <v>693</v>
      </c>
      <c r="V1590" s="2079">
        <f t="shared" si="407"/>
        <v>0</v>
      </c>
      <c r="W1590" s="78">
        <f t="shared" si="408"/>
        <v>150.0016</v>
      </c>
      <c r="X1590" s="1878" t="str">
        <f t="shared" si="406"/>
        <v xml:space="preserve">3.- C Goodyear 062112002-OT_000933  Transpl Banda 001-003441 </v>
      </c>
      <c r="Z1590" s="19" t="str">
        <f t="shared" si="403"/>
        <v>Sacar_BandaReenc. MASTERCAUCHO</v>
      </c>
    </row>
    <row r="1591" spans="2:26" ht="15.2" customHeight="1">
      <c r="B1591" s="37"/>
      <c r="E1591" s="66">
        <v>4</v>
      </c>
      <c r="F1591" s="67" t="s">
        <v>732</v>
      </c>
      <c r="G1591" s="90" t="s">
        <v>733</v>
      </c>
      <c r="H1591" s="91" t="s">
        <v>890</v>
      </c>
      <c r="I1591" s="90" t="s">
        <v>740</v>
      </c>
      <c r="J1591" s="92" t="s">
        <v>727</v>
      </c>
      <c r="K1591" s="71" t="s">
        <v>988</v>
      </c>
      <c r="L1591" s="72">
        <v>42181</v>
      </c>
      <c r="M1591" s="73" t="s">
        <v>729</v>
      </c>
      <c r="N1591" s="74">
        <v>42194</v>
      </c>
      <c r="O1591" s="75">
        <f t="shared" si="409"/>
        <v>42194</v>
      </c>
      <c r="P1591" s="2765" t="s">
        <v>989</v>
      </c>
      <c r="Q1591" s="2954"/>
      <c r="R1591" s="76">
        <v>127.12</v>
      </c>
      <c r="S1591" s="1945" t="s">
        <v>731</v>
      </c>
      <c r="T1591" s="77"/>
      <c r="U1591" s="1893" t="s">
        <v>693</v>
      </c>
      <c r="V1591" s="2079">
        <f t="shared" si="407"/>
        <v>0</v>
      </c>
      <c r="W1591" s="78">
        <f t="shared" si="408"/>
        <v>150.0016</v>
      </c>
      <c r="X1591" s="1878" t="str">
        <f t="shared" si="406"/>
        <v xml:space="preserve">4.- C Lima Caucho 0470707-OT_000933  Transpl Banda 001-003441 </v>
      </c>
      <c r="Z1591" s="19" t="str">
        <f t="shared" si="403"/>
        <v>ReencaucheReencauchadora RENOVA</v>
      </c>
    </row>
    <row r="1592" spans="2:26" ht="15.2" customHeight="1">
      <c r="B1592" s="37"/>
      <c r="E1592" s="66">
        <v>5</v>
      </c>
      <c r="F1592" s="67" t="s">
        <v>732</v>
      </c>
      <c r="G1592" s="90" t="s">
        <v>733</v>
      </c>
      <c r="H1592" s="91" t="s">
        <v>992</v>
      </c>
      <c r="I1592" s="90" t="s">
        <v>744</v>
      </c>
      <c r="J1592" s="92" t="s">
        <v>727</v>
      </c>
      <c r="K1592" s="71" t="s">
        <v>988</v>
      </c>
      <c r="L1592" s="72">
        <v>42181</v>
      </c>
      <c r="M1592" s="73" t="s">
        <v>729</v>
      </c>
      <c r="N1592" s="74">
        <v>42205</v>
      </c>
      <c r="O1592" s="75">
        <f t="shared" si="409"/>
        <v>42205</v>
      </c>
      <c r="P1592" s="2765"/>
      <c r="Q1592" s="2954"/>
      <c r="R1592" s="76"/>
      <c r="S1592" s="1945" t="s">
        <v>731</v>
      </c>
      <c r="T1592" s="77"/>
      <c r="U1592" s="1893" t="s">
        <v>693</v>
      </c>
      <c r="V1592" s="2079">
        <f t="shared" si="407"/>
        <v>0</v>
      </c>
      <c r="W1592" s="78">
        <f t="shared" si="408"/>
        <v>0</v>
      </c>
      <c r="X1592" s="1878" t="str">
        <f t="shared" si="406"/>
        <v xml:space="preserve">5.- C Lima Caucho 1191107-OT_000933  Sacar_Banda  </v>
      </c>
      <c r="Z1592" s="19" t="str">
        <f t="shared" si="403"/>
        <v>ReencaucheReencauchadora RENOVA</v>
      </c>
    </row>
    <row r="1593" spans="2:26" ht="15.2" customHeight="1">
      <c r="B1593" s="37"/>
      <c r="E1593" s="79">
        <v>6</v>
      </c>
      <c r="F1593" s="80" t="s">
        <v>732</v>
      </c>
      <c r="G1593" s="114" t="s">
        <v>733</v>
      </c>
      <c r="H1593" s="115" t="s">
        <v>993</v>
      </c>
      <c r="I1593" s="114" t="s">
        <v>744</v>
      </c>
      <c r="J1593" s="93" t="s">
        <v>727</v>
      </c>
      <c r="K1593" s="84" t="s">
        <v>988</v>
      </c>
      <c r="L1593" s="85">
        <v>42181</v>
      </c>
      <c r="M1593" s="86" t="s">
        <v>729</v>
      </c>
      <c r="N1593" s="87">
        <v>42205</v>
      </c>
      <c r="O1593" s="88">
        <f t="shared" si="409"/>
        <v>42205</v>
      </c>
      <c r="P1593" s="2766"/>
      <c r="Q1593" s="2955"/>
      <c r="R1593" s="89"/>
      <c r="S1593" s="1946" t="s">
        <v>731</v>
      </c>
      <c r="T1593" s="77"/>
      <c r="U1593" s="1893" t="s">
        <v>693</v>
      </c>
      <c r="V1593" s="2079">
        <f t="shared" si="407"/>
        <v>0</v>
      </c>
      <c r="W1593" s="78">
        <f t="shared" si="408"/>
        <v>0</v>
      </c>
      <c r="X1593" s="1878" t="str">
        <f t="shared" si="406"/>
        <v xml:space="preserve">6.- C Lima Caucho 0260508-OT_000933  Sacar_Banda  </v>
      </c>
      <c r="Z1593" s="19" t="str">
        <f t="shared" si="403"/>
        <v>ReencaucheReencauchadora RENOVA</v>
      </c>
    </row>
    <row r="1594" spans="2:26" ht="15.2" customHeight="1">
      <c r="B1594" s="37"/>
      <c r="E1594" s="66">
        <v>1</v>
      </c>
      <c r="F1594" s="67" t="s">
        <v>732</v>
      </c>
      <c r="G1594" s="68" t="s">
        <v>733</v>
      </c>
      <c r="H1594" s="69" t="s">
        <v>994</v>
      </c>
      <c r="I1594" s="68" t="s">
        <v>726</v>
      </c>
      <c r="J1594" s="70" t="s">
        <v>760</v>
      </c>
      <c r="K1594" s="71" t="s">
        <v>995</v>
      </c>
      <c r="L1594" s="72">
        <v>42180</v>
      </c>
      <c r="M1594" s="73" t="s">
        <v>729</v>
      </c>
      <c r="N1594" s="74">
        <v>42188</v>
      </c>
      <c r="O1594" s="75">
        <f t="shared" si="409"/>
        <v>42188</v>
      </c>
      <c r="P1594" s="2765" t="s">
        <v>996</v>
      </c>
      <c r="Q1594" s="2954"/>
      <c r="R1594" s="76">
        <v>281.49</v>
      </c>
      <c r="S1594" s="1945" t="s">
        <v>731</v>
      </c>
      <c r="T1594" s="77"/>
      <c r="U1594" s="1893" t="s">
        <v>693</v>
      </c>
      <c r="V1594" s="2079">
        <f t="shared" si="407"/>
        <v>0</v>
      </c>
      <c r="W1594" s="78">
        <f t="shared" si="408"/>
        <v>332.15819999999997</v>
      </c>
      <c r="X1594" s="1878" t="str">
        <f t="shared" si="406"/>
        <v xml:space="preserve">1.- C Lima Caucho 0180207-OT_212766  Reencauche 030-0041698 </v>
      </c>
      <c r="Z1594" s="19" t="str">
        <f t="shared" si="403"/>
        <v>ReencaucheReencauchadora RENOVA</v>
      </c>
    </row>
    <row r="1595" spans="2:26" ht="15.2" customHeight="1">
      <c r="B1595" s="37"/>
      <c r="E1595" s="66">
        <v>2</v>
      </c>
      <c r="F1595" s="67" t="s">
        <v>732</v>
      </c>
      <c r="G1595" s="68" t="s">
        <v>733</v>
      </c>
      <c r="H1595" s="69" t="s">
        <v>997</v>
      </c>
      <c r="I1595" s="68" t="s">
        <v>726</v>
      </c>
      <c r="J1595" s="70" t="s">
        <v>760</v>
      </c>
      <c r="K1595" s="71" t="s">
        <v>995</v>
      </c>
      <c r="L1595" s="72">
        <v>42180</v>
      </c>
      <c r="M1595" s="73" t="s">
        <v>729</v>
      </c>
      <c r="N1595" s="74">
        <v>42188</v>
      </c>
      <c r="O1595" s="75">
        <f t="shared" si="409"/>
        <v>42188</v>
      </c>
      <c r="P1595" s="2765" t="s">
        <v>996</v>
      </c>
      <c r="Q1595" s="2954"/>
      <c r="R1595" s="76">
        <v>281.49</v>
      </c>
      <c r="S1595" s="1945" t="s">
        <v>731</v>
      </c>
      <c r="T1595" s="77"/>
      <c r="U1595" s="1893" t="s">
        <v>693</v>
      </c>
      <c r="V1595" s="2079">
        <f t="shared" si="407"/>
        <v>0</v>
      </c>
      <c r="W1595" s="78">
        <f t="shared" si="408"/>
        <v>332.15819999999997</v>
      </c>
      <c r="X1595" s="1878" t="str">
        <f t="shared" si="406"/>
        <v xml:space="preserve">2.- C Lima Caucho 0230108-OT_212766  Reencauche 030-0041698 </v>
      </c>
      <c r="Z1595" s="19" t="str">
        <f t="shared" si="403"/>
        <v>ReencaucheReencauchadora RENOVA</v>
      </c>
    </row>
    <row r="1596" spans="2:26" ht="15.2" customHeight="1">
      <c r="B1596" s="37"/>
      <c r="E1596" s="66">
        <v>3</v>
      </c>
      <c r="F1596" s="67" t="s">
        <v>732</v>
      </c>
      <c r="G1596" s="68" t="s">
        <v>737</v>
      </c>
      <c r="H1596" s="69" t="s">
        <v>998</v>
      </c>
      <c r="I1596" s="68" t="s">
        <v>726</v>
      </c>
      <c r="J1596" s="70" t="s">
        <v>760</v>
      </c>
      <c r="K1596" s="71" t="s">
        <v>995</v>
      </c>
      <c r="L1596" s="72">
        <v>42180</v>
      </c>
      <c r="M1596" s="73" t="s">
        <v>729</v>
      </c>
      <c r="N1596" s="74">
        <v>42188</v>
      </c>
      <c r="O1596" s="75">
        <f t="shared" si="409"/>
        <v>42188</v>
      </c>
      <c r="P1596" s="2765" t="s">
        <v>996</v>
      </c>
      <c r="Q1596" s="2954"/>
      <c r="R1596" s="76">
        <v>281.49</v>
      </c>
      <c r="S1596" s="1945" t="s">
        <v>731</v>
      </c>
      <c r="T1596" s="77"/>
      <c r="U1596" s="1893" t="s">
        <v>693</v>
      </c>
      <c r="V1596" s="2079">
        <f t="shared" si="407"/>
        <v>0</v>
      </c>
      <c r="W1596" s="78">
        <f t="shared" si="408"/>
        <v>332.15819999999997</v>
      </c>
      <c r="X1596" s="1878" t="str">
        <f t="shared" si="406"/>
        <v xml:space="preserve">3.- C Vikrant 0090111-OT_212766  Reencauche 030-0041698 </v>
      </c>
      <c r="Z1596" s="19" t="str">
        <f t="shared" si="403"/>
        <v>ReencaucheReencauchadora RENOVA</v>
      </c>
    </row>
    <row r="1597" spans="2:26" ht="15.2" customHeight="1">
      <c r="B1597" s="37"/>
      <c r="E1597" s="66">
        <v>4</v>
      </c>
      <c r="F1597" s="67" t="s">
        <v>732</v>
      </c>
      <c r="G1597" s="68" t="s">
        <v>737</v>
      </c>
      <c r="H1597" s="69" t="s">
        <v>999</v>
      </c>
      <c r="I1597" s="68" t="s">
        <v>726</v>
      </c>
      <c r="J1597" s="70" t="s">
        <v>760</v>
      </c>
      <c r="K1597" s="71" t="s">
        <v>995</v>
      </c>
      <c r="L1597" s="72">
        <v>42180</v>
      </c>
      <c r="M1597" s="73" t="s">
        <v>729</v>
      </c>
      <c r="N1597" s="74">
        <v>42188</v>
      </c>
      <c r="O1597" s="75">
        <f t="shared" si="409"/>
        <v>42188</v>
      </c>
      <c r="P1597" s="2765" t="s">
        <v>996</v>
      </c>
      <c r="Q1597" s="2954"/>
      <c r="R1597" s="76">
        <v>281.49</v>
      </c>
      <c r="S1597" s="1945" t="s">
        <v>731</v>
      </c>
      <c r="T1597" s="77"/>
      <c r="U1597" s="1893" t="s">
        <v>693</v>
      </c>
      <c r="V1597" s="2079">
        <f t="shared" si="407"/>
        <v>0</v>
      </c>
      <c r="W1597" s="78">
        <f t="shared" si="408"/>
        <v>332.15819999999997</v>
      </c>
      <c r="X1597" s="1878" t="str">
        <f t="shared" si="406"/>
        <v xml:space="preserve">4.- C Vikrant 0851007-OT_212766  Reencauche 030-0041698 </v>
      </c>
      <c r="Z1597" s="19" t="str">
        <f t="shared" si="403"/>
        <v>ReencaucheReencauchadora RENOVA</v>
      </c>
    </row>
    <row r="1598" spans="2:26" ht="15.2" customHeight="1">
      <c r="B1598" s="37"/>
      <c r="E1598" s="66">
        <v>5</v>
      </c>
      <c r="F1598" s="67" t="s">
        <v>732</v>
      </c>
      <c r="G1598" s="68" t="s">
        <v>737</v>
      </c>
      <c r="H1598" s="69" t="s">
        <v>1000</v>
      </c>
      <c r="I1598" s="68" t="s">
        <v>726</v>
      </c>
      <c r="J1598" s="70" t="s">
        <v>760</v>
      </c>
      <c r="K1598" s="71" t="s">
        <v>995</v>
      </c>
      <c r="L1598" s="72">
        <v>42180</v>
      </c>
      <c r="M1598" s="73" t="s">
        <v>729</v>
      </c>
      <c r="N1598" s="74">
        <v>42188</v>
      </c>
      <c r="O1598" s="75">
        <f t="shared" si="409"/>
        <v>42188</v>
      </c>
      <c r="P1598" s="2765" t="s">
        <v>996</v>
      </c>
      <c r="Q1598" s="2954"/>
      <c r="R1598" s="76">
        <v>281.49</v>
      </c>
      <c r="S1598" s="1945" t="s">
        <v>731</v>
      </c>
      <c r="T1598" s="77"/>
      <c r="U1598" s="1893" t="s">
        <v>693</v>
      </c>
      <c r="V1598" s="2079">
        <f t="shared" si="407"/>
        <v>0</v>
      </c>
      <c r="W1598" s="78">
        <f t="shared" si="408"/>
        <v>332.15819999999997</v>
      </c>
      <c r="X1598" s="1878" t="str">
        <f t="shared" si="406"/>
        <v xml:space="preserve">5.- C Vikrant 0430411-OT_212766  Reencauche 030-0041698 </v>
      </c>
      <c r="Z1598" s="19" t="str">
        <f t="shared" ref="Z1598:Z1626" si="410">CONCATENATE(I1601,J1601)</f>
        <v>ReencaucheReencauchadora RENOVA</v>
      </c>
    </row>
    <row r="1599" spans="2:26" ht="15.2" customHeight="1">
      <c r="B1599" s="37"/>
      <c r="E1599" s="66">
        <v>6</v>
      </c>
      <c r="F1599" s="67" t="s">
        <v>732</v>
      </c>
      <c r="G1599" s="68" t="s">
        <v>737</v>
      </c>
      <c r="H1599" s="69" t="s">
        <v>1001</v>
      </c>
      <c r="I1599" s="68" t="s">
        <v>726</v>
      </c>
      <c r="J1599" s="70" t="s">
        <v>760</v>
      </c>
      <c r="K1599" s="71" t="s">
        <v>995</v>
      </c>
      <c r="L1599" s="72">
        <v>42180</v>
      </c>
      <c r="M1599" s="73" t="s">
        <v>729</v>
      </c>
      <c r="N1599" s="74">
        <v>42188</v>
      </c>
      <c r="O1599" s="75">
        <f t="shared" si="409"/>
        <v>42188</v>
      </c>
      <c r="P1599" s="2765" t="s">
        <v>996</v>
      </c>
      <c r="Q1599" s="2954"/>
      <c r="R1599" s="76">
        <v>281.49</v>
      </c>
      <c r="S1599" s="1945" t="s">
        <v>731</v>
      </c>
      <c r="T1599" s="77"/>
      <c r="U1599" s="1893" t="s">
        <v>693</v>
      </c>
      <c r="V1599" s="2079">
        <f t="shared" si="407"/>
        <v>0</v>
      </c>
      <c r="W1599" s="78">
        <f t="shared" si="408"/>
        <v>332.15819999999997</v>
      </c>
      <c r="X1599" s="1878" t="str">
        <f t="shared" si="406"/>
        <v xml:space="preserve">6.- C Vikrant 0460411-OT_212766  Reencauche 030-0041698 </v>
      </c>
      <c r="Z1599" s="19" t="str">
        <f t="shared" si="410"/>
        <v>Vulcanizado (curación)Reenc. MASTERCAUCHO</v>
      </c>
    </row>
    <row r="1600" spans="2:26" ht="15.2" customHeight="1">
      <c r="B1600" s="37"/>
      <c r="E1600" s="66">
        <v>7</v>
      </c>
      <c r="F1600" s="67" t="s">
        <v>732</v>
      </c>
      <c r="G1600" s="68" t="s">
        <v>733</v>
      </c>
      <c r="H1600" s="69" t="s">
        <v>983</v>
      </c>
      <c r="I1600" s="68" t="s">
        <v>726</v>
      </c>
      <c r="J1600" s="70" t="s">
        <v>760</v>
      </c>
      <c r="K1600" s="71" t="s">
        <v>995</v>
      </c>
      <c r="L1600" s="72">
        <v>42180</v>
      </c>
      <c r="M1600" s="73" t="s">
        <v>729</v>
      </c>
      <c r="N1600" s="74">
        <v>42188</v>
      </c>
      <c r="O1600" s="75">
        <f t="shared" si="409"/>
        <v>42188</v>
      </c>
      <c r="P1600" s="2765"/>
      <c r="Q1600" s="2954"/>
      <c r="R1600" s="76">
        <v>0</v>
      </c>
      <c r="S1600" s="1945" t="s">
        <v>731</v>
      </c>
      <c r="T1600" s="1875" t="s">
        <v>1002</v>
      </c>
      <c r="U1600" s="1920" t="s">
        <v>693</v>
      </c>
      <c r="V1600" s="2079">
        <f t="shared" si="407"/>
        <v>0</v>
      </c>
      <c r="W1600" s="78">
        <f t="shared" si="408"/>
        <v>0</v>
      </c>
      <c r="X1600" s="1878" t="str">
        <f t="shared" si="406"/>
        <v>7.- C Lima Caucho 1211210-OT_212766  Reencauche  Rechazada, Guia 030-0049609</v>
      </c>
      <c r="Z1600" s="19" t="str">
        <f t="shared" si="410"/>
        <v>Vulcanizado (curación)Reenc. MASTERCAUCHO</v>
      </c>
    </row>
    <row r="1601" spans="2:26" ht="15.2" customHeight="1">
      <c r="B1601" s="37"/>
      <c r="E1601" s="79">
        <v>8</v>
      </c>
      <c r="F1601" s="80" t="s">
        <v>732</v>
      </c>
      <c r="G1601" s="81" t="s">
        <v>737</v>
      </c>
      <c r="H1601" s="82" t="s">
        <v>1003</v>
      </c>
      <c r="I1601" s="81" t="s">
        <v>726</v>
      </c>
      <c r="J1601" s="83" t="s">
        <v>760</v>
      </c>
      <c r="K1601" s="84" t="s">
        <v>995</v>
      </c>
      <c r="L1601" s="85">
        <v>42180</v>
      </c>
      <c r="M1601" s="86" t="s">
        <v>729</v>
      </c>
      <c r="N1601" s="87">
        <v>42188</v>
      </c>
      <c r="O1601" s="88">
        <f t="shared" si="409"/>
        <v>42188</v>
      </c>
      <c r="P1601" s="2766"/>
      <c r="Q1601" s="2955"/>
      <c r="R1601" s="89">
        <v>0</v>
      </c>
      <c r="S1601" s="1946" t="s">
        <v>731</v>
      </c>
      <c r="T1601" s="1875" t="s">
        <v>1002</v>
      </c>
      <c r="U1601" s="1920" t="s">
        <v>693</v>
      </c>
      <c r="V1601" s="2079">
        <f t="shared" si="407"/>
        <v>0</v>
      </c>
      <c r="W1601" s="78">
        <f t="shared" si="408"/>
        <v>0</v>
      </c>
      <c r="X1601" s="1878" t="str">
        <f t="shared" si="406"/>
        <v>8.- C Vikrant 1451105-OT_212766  Reencauche  Rechazada, Guia 030-0049609</v>
      </c>
      <c r="Z1601" s="19" t="str">
        <f t="shared" si="410"/>
        <v>ReencaucheReenc. MASTERCAUCHO</v>
      </c>
    </row>
    <row r="1602" spans="2:26" ht="15.2" customHeight="1">
      <c r="B1602" s="37"/>
      <c r="E1602" s="79">
        <v>1</v>
      </c>
      <c r="F1602" s="80" t="s">
        <v>723</v>
      </c>
      <c r="G1602" s="81" t="s">
        <v>724</v>
      </c>
      <c r="H1602" s="82" t="s">
        <v>1004</v>
      </c>
      <c r="I1602" s="81" t="s">
        <v>811</v>
      </c>
      <c r="J1602" s="120" t="s">
        <v>727</v>
      </c>
      <c r="K1602" s="84" t="s">
        <v>1005</v>
      </c>
      <c r="L1602" s="85">
        <v>42167</v>
      </c>
      <c r="M1602" s="86" t="s">
        <v>729</v>
      </c>
      <c r="N1602" s="87">
        <v>42171</v>
      </c>
      <c r="O1602" s="88">
        <f t="shared" si="409"/>
        <v>42171</v>
      </c>
      <c r="P1602" s="2766" t="s">
        <v>1006</v>
      </c>
      <c r="Q1602" s="2955"/>
      <c r="R1602" s="89">
        <v>105.93</v>
      </c>
      <c r="S1602" s="1946" t="s">
        <v>731</v>
      </c>
      <c r="T1602" s="1876" t="s">
        <v>1007</v>
      </c>
      <c r="U1602" s="1893" t="s">
        <v>694</v>
      </c>
      <c r="V1602" s="2079">
        <f t="shared" si="407"/>
        <v>0</v>
      </c>
      <c r="W1602" s="78">
        <f t="shared" si="408"/>
        <v>124.9974</v>
      </c>
      <c r="X1602" s="1878" t="str">
        <f t="shared" si="406"/>
        <v>1.- R Aeolus 0360912-OT_000914  Vulcanizado (curación) 001-003322 Llanta C/Corte en Banda - R-1156. 11/06/15</v>
      </c>
      <c r="Z1602" s="19" t="str">
        <f t="shared" si="410"/>
        <v>ReencaucheReenc. MASTERCAUCHO</v>
      </c>
    </row>
    <row r="1603" spans="2:26" ht="15.2" customHeight="1">
      <c r="B1603" s="37"/>
      <c r="E1603" s="79">
        <v>1</v>
      </c>
      <c r="F1603" s="80" t="s">
        <v>723</v>
      </c>
      <c r="G1603" s="134" t="s">
        <v>724</v>
      </c>
      <c r="H1603" s="135" t="s">
        <v>1008</v>
      </c>
      <c r="I1603" s="134" t="s">
        <v>811</v>
      </c>
      <c r="J1603" s="136" t="s">
        <v>727</v>
      </c>
      <c r="K1603" s="84" t="s">
        <v>1009</v>
      </c>
      <c r="L1603" s="85">
        <v>42163</v>
      </c>
      <c r="M1603" s="86" t="s">
        <v>729</v>
      </c>
      <c r="N1603" s="87">
        <v>42167</v>
      </c>
      <c r="O1603" s="88">
        <f t="shared" si="409"/>
        <v>42167</v>
      </c>
      <c r="P1603" s="2766" t="s">
        <v>1010</v>
      </c>
      <c r="Q1603" s="2955"/>
      <c r="R1603" s="89">
        <v>105.93</v>
      </c>
      <c r="S1603" s="1946" t="s">
        <v>731</v>
      </c>
      <c r="T1603" s="1876" t="s">
        <v>1011</v>
      </c>
      <c r="U1603" s="1893" t="s">
        <v>694</v>
      </c>
      <c r="V1603" s="2079">
        <f t="shared" si="407"/>
        <v>0</v>
      </c>
      <c r="W1603" s="78">
        <f t="shared" si="408"/>
        <v>124.9974</v>
      </c>
      <c r="X1603" s="1878" t="str">
        <f t="shared" si="406"/>
        <v>1.- R Aeolus 170812-4-OT_000905  Vulcanizado (curación) 001-003310 Llanta Volada - R1-23 A.Jacobo rem:7mm 08/06/15</v>
      </c>
      <c r="Z1603" s="19" t="str">
        <f t="shared" si="410"/>
        <v>ReencaucheReenc. MASTERCAUCHO</v>
      </c>
    </row>
    <row r="1604" spans="2:26" ht="15.2" customHeight="1">
      <c r="B1604" s="37"/>
      <c r="E1604" s="66">
        <v>1</v>
      </c>
      <c r="F1604" s="67" t="s">
        <v>732</v>
      </c>
      <c r="G1604" s="68" t="s">
        <v>733</v>
      </c>
      <c r="H1604" s="69" t="s">
        <v>1012</v>
      </c>
      <c r="I1604" s="68" t="s">
        <v>726</v>
      </c>
      <c r="J1604" s="70" t="s">
        <v>727</v>
      </c>
      <c r="K1604" s="71" t="s">
        <v>1013</v>
      </c>
      <c r="L1604" s="137">
        <v>42161</v>
      </c>
      <c r="M1604" s="138" t="s">
        <v>729</v>
      </c>
      <c r="N1604" s="139">
        <v>42181</v>
      </c>
      <c r="O1604" s="140">
        <f t="shared" si="409"/>
        <v>42181</v>
      </c>
      <c r="P1604" s="2785" t="s">
        <v>1014</v>
      </c>
      <c r="Q1604" s="2971"/>
      <c r="R1604" s="141">
        <v>254.24</v>
      </c>
      <c r="S1604" s="1947" t="s">
        <v>731</v>
      </c>
      <c r="T1604" s="77"/>
      <c r="U1604" s="1893" t="s">
        <v>693</v>
      </c>
      <c r="V1604" s="2079">
        <f t="shared" si="407"/>
        <v>0</v>
      </c>
      <c r="W1604" s="78">
        <f t="shared" si="408"/>
        <v>300.00319999999999</v>
      </c>
      <c r="X1604" s="1878" t="str">
        <f t="shared" si="406"/>
        <v xml:space="preserve">1.- C Lima Caucho 0500708-OT_000875  Reencauche 001-003360 </v>
      </c>
      <c r="Z1604" s="19" t="str">
        <f t="shared" si="410"/>
        <v>Vulcanizado (curación)Reenc. MASTERCAUCHO</v>
      </c>
    </row>
    <row r="1605" spans="2:26" ht="15.2" customHeight="1">
      <c r="B1605" s="37"/>
      <c r="E1605" s="66">
        <v>2</v>
      </c>
      <c r="F1605" s="67" t="s">
        <v>732</v>
      </c>
      <c r="G1605" s="68" t="s">
        <v>737</v>
      </c>
      <c r="H1605" s="69" t="s">
        <v>1015</v>
      </c>
      <c r="I1605" s="68" t="s">
        <v>726</v>
      </c>
      <c r="J1605" s="70" t="s">
        <v>727</v>
      </c>
      <c r="K1605" s="71" t="s">
        <v>1013</v>
      </c>
      <c r="L1605" s="72">
        <v>42161</v>
      </c>
      <c r="M1605" s="73" t="s">
        <v>729</v>
      </c>
      <c r="N1605" s="74">
        <v>42167</v>
      </c>
      <c r="O1605" s="75">
        <f t="shared" si="409"/>
        <v>42167</v>
      </c>
      <c r="P1605" s="2765" t="s">
        <v>1010</v>
      </c>
      <c r="Q1605" s="2954"/>
      <c r="R1605" s="76">
        <v>254.24</v>
      </c>
      <c r="S1605" s="1945" t="s">
        <v>731</v>
      </c>
      <c r="T1605" s="77"/>
      <c r="U1605" s="1893" t="s">
        <v>693</v>
      </c>
      <c r="V1605" s="2079">
        <f t="shared" si="407"/>
        <v>0</v>
      </c>
      <c r="W1605" s="78">
        <f t="shared" si="408"/>
        <v>300.00319999999999</v>
      </c>
      <c r="X1605" s="1878" t="str">
        <f t="shared" si="406"/>
        <v xml:space="preserve">2.- C Vikrant 0450510-OT_000875  Reencauche 001-003310 </v>
      </c>
      <c r="Z1605" s="19" t="str">
        <f t="shared" si="410"/>
        <v>Vulcanizado (curación)Reenc. MASTERCAUCHO</v>
      </c>
    </row>
    <row r="1606" spans="2:26" ht="15.2" customHeight="1">
      <c r="B1606" s="37"/>
      <c r="E1606" s="66">
        <v>3</v>
      </c>
      <c r="F1606" s="67" t="s">
        <v>732</v>
      </c>
      <c r="G1606" s="68" t="s">
        <v>737</v>
      </c>
      <c r="H1606" s="69" t="s">
        <v>915</v>
      </c>
      <c r="I1606" s="68" t="s">
        <v>726</v>
      </c>
      <c r="J1606" s="70" t="s">
        <v>727</v>
      </c>
      <c r="K1606" s="71" t="s">
        <v>1013</v>
      </c>
      <c r="L1606" s="72">
        <v>42161</v>
      </c>
      <c r="M1606" s="73" t="s">
        <v>729</v>
      </c>
      <c r="N1606" s="74">
        <v>42167</v>
      </c>
      <c r="O1606" s="75">
        <f t="shared" si="409"/>
        <v>42167</v>
      </c>
      <c r="P1606" s="2765" t="s">
        <v>1010</v>
      </c>
      <c r="Q1606" s="2954"/>
      <c r="R1606" s="76">
        <v>254.24</v>
      </c>
      <c r="S1606" s="1945" t="s">
        <v>731</v>
      </c>
      <c r="T1606" s="77"/>
      <c r="U1606" s="1893" t="s">
        <v>693</v>
      </c>
      <c r="V1606" s="2079">
        <f t="shared" si="407"/>
        <v>0</v>
      </c>
      <c r="W1606" s="78">
        <f t="shared" si="408"/>
        <v>300.00319999999999</v>
      </c>
      <c r="X1606" s="1878" t="str">
        <f t="shared" si="406"/>
        <v xml:space="preserve">3.- C Vikrant 0720906-OT_000875  Reencauche 001-003310 </v>
      </c>
      <c r="Z1606" s="19" t="str">
        <f t="shared" si="410"/>
        <v>ReencaucheReencauchadora RENOVA</v>
      </c>
    </row>
    <row r="1607" spans="2:26" ht="15.2" customHeight="1">
      <c r="B1607" s="37"/>
      <c r="E1607" s="66">
        <v>4</v>
      </c>
      <c r="F1607" s="67" t="s">
        <v>732</v>
      </c>
      <c r="G1607" s="68" t="s">
        <v>733</v>
      </c>
      <c r="H1607" s="69" t="s">
        <v>1016</v>
      </c>
      <c r="I1607" s="68" t="s">
        <v>811</v>
      </c>
      <c r="J1607" s="70" t="s">
        <v>727</v>
      </c>
      <c r="K1607" s="71" t="s">
        <v>1013</v>
      </c>
      <c r="L1607" s="72">
        <v>42161</v>
      </c>
      <c r="M1607" s="73" t="s">
        <v>729</v>
      </c>
      <c r="N1607" s="74">
        <v>42167</v>
      </c>
      <c r="O1607" s="75">
        <f t="shared" si="409"/>
        <v>42167</v>
      </c>
      <c r="P1607" s="2765" t="s">
        <v>1010</v>
      </c>
      <c r="Q1607" s="2954"/>
      <c r="R1607" s="76">
        <v>105.93</v>
      </c>
      <c r="S1607" s="1945" t="s">
        <v>731</v>
      </c>
      <c r="T1607" s="77"/>
      <c r="U1607" s="1893" t="s">
        <v>693</v>
      </c>
      <c r="V1607" s="2079">
        <f t="shared" si="407"/>
        <v>0</v>
      </c>
      <c r="W1607" s="78">
        <f t="shared" si="408"/>
        <v>124.9974</v>
      </c>
      <c r="X1607" s="1878" t="str">
        <f t="shared" si="406"/>
        <v xml:space="preserve">4.- C Lima Caucho 0210207-OT_000875  Vulcanizado (curación) 001-003310 </v>
      </c>
      <c r="Z1607" s="19" t="str">
        <f t="shared" si="410"/>
        <v>ReencaucheReencauchadora RENOVA</v>
      </c>
    </row>
    <row r="1608" spans="2:26" ht="15.2" customHeight="1">
      <c r="B1608" s="37"/>
      <c r="E1608" s="79">
        <v>5</v>
      </c>
      <c r="F1608" s="80" t="s">
        <v>723</v>
      </c>
      <c r="G1608" s="81" t="s">
        <v>724</v>
      </c>
      <c r="H1608" s="82" t="s">
        <v>1017</v>
      </c>
      <c r="I1608" s="81" t="s">
        <v>811</v>
      </c>
      <c r="J1608" s="83" t="s">
        <v>727</v>
      </c>
      <c r="K1608" s="84" t="s">
        <v>1013</v>
      </c>
      <c r="L1608" s="85">
        <v>42161</v>
      </c>
      <c r="M1608" s="86" t="s">
        <v>729</v>
      </c>
      <c r="N1608" s="87">
        <v>42167</v>
      </c>
      <c r="O1608" s="88">
        <f t="shared" si="409"/>
        <v>42167</v>
      </c>
      <c r="P1608" s="2766" t="s">
        <v>1010</v>
      </c>
      <c r="Q1608" s="2955"/>
      <c r="R1608" s="89">
        <v>105.93</v>
      </c>
      <c r="S1608" s="1946" t="s">
        <v>731</v>
      </c>
      <c r="T1608" s="77"/>
      <c r="U1608" s="1893" t="s">
        <v>694</v>
      </c>
      <c r="V1608" s="2079">
        <f t="shared" si="407"/>
        <v>0</v>
      </c>
      <c r="W1608" s="78">
        <f t="shared" si="408"/>
        <v>124.9974</v>
      </c>
      <c r="X1608" s="1878" t="str">
        <f t="shared" si="406"/>
        <v xml:space="preserve">5.- R Aeolus 0110114-OT_000875  Vulcanizado (curación) 001-003310 </v>
      </c>
      <c r="Z1608" s="19" t="str">
        <f t="shared" si="410"/>
        <v>ReencaucheReencauchadora RENOVA</v>
      </c>
    </row>
    <row r="1609" spans="2:26" ht="15.2" customHeight="1">
      <c r="B1609" s="37"/>
      <c r="E1609" s="66">
        <v>1</v>
      </c>
      <c r="F1609" s="67" t="s">
        <v>732</v>
      </c>
      <c r="G1609" s="68" t="s">
        <v>733</v>
      </c>
      <c r="H1609" s="69" t="s">
        <v>1018</v>
      </c>
      <c r="I1609" s="68" t="s">
        <v>726</v>
      </c>
      <c r="J1609" s="70" t="s">
        <v>760</v>
      </c>
      <c r="K1609" s="71" t="s">
        <v>1019</v>
      </c>
      <c r="L1609" s="72">
        <v>42150</v>
      </c>
      <c r="M1609" s="73" t="s">
        <v>729</v>
      </c>
      <c r="N1609" s="74">
        <v>42163</v>
      </c>
      <c r="O1609" s="75">
        <v>42163</v>
      </c>
      <c r="P1609" s="2765" t="s">
        <v>1020</v>
      </c>
      <c r="Q1609" s="2954"/>
      <c r="R1609" s="76">
        <v>281.49</v>
      </c>
      <c r="S1609" s="1945" t="s">
        <v>731</v>
      </c>
      <c r="T1609" s="77"/>
      <c r="U1609" s="1893" t="s">
        <v>693</v>
      </c>
      <c r="V1609" s="2079">
        <f t="shared" si="407"/>
        <v>0</v>
      </c>
      <c r="W1609" s="78">
        <f t="shared" si="408"/>
        <v>332.15819999999997</v>
      </c>
      <c r="X1609" s="1878" t="str">
        <f t="shared" si="406"/>
        <v xml:space="preserve">1.- C Lima Caucho 1491207-OT_211100  Reencauche 030-0048969 </v>
      </c>
      <c r="Z1609" s="19" t="str">
        <f t="shared" si="410"/>
        <v>ReencaucheReencauchadora RENOVA</v>
      </c>
    </row>
    <row r="1610" spans="2:26" ht="15.2" customHeight="1">
      <c r="B1610" s="37"/>
      <c r="E1610" s="66">
        <v>2</v>
      </c>
      <c r="F1610" s="67" t="s">
        <v>732</v>
      </c>
      <c r="G1610" s="68" t="s">
        <v>733</v>
      </c>
      <c r="H1610" s="69" t="s">
        <v>1021</v>
      </c>
      <c r="I1610" s="68" t="s">
        <v>726</v>
      </c>
      <c r="J1610" s="70" t="s">
        <v>760</v>
      </c>
      <c r="K1610" s="71" t="s">
        <v>1019</v>
      </c>
      <c r="L1610" s="72">
        <v>42150</v>
      </c>
      <c r="M1610" s="73" t="s">
        <v>729</v>
      </c>
      <c r="N1610" s="74">
        <v>42163</v>
      </c>
      <c r="O1610" s="75">
        <v>42163</v>
      </c>
      <c r="P1610" s="2765" t="s">
        <v>1020</v>
      </c>
      <c r="Q1610" s="2954"/>
      <c r="R1610" s="76">
        <v>281.49</v>
      </c>
      <c r="S1610" s="1945" t="s">
        <v>731</v>
      </c>
      <c r="T1610" s="77"/>
      <c r="U1610" s="1893" t="s">
        <v>693</v>
      </c>
      <c r="V1610" s="2079">
        <f t="shared" si="407"/>
        <v>0</v>
      </c>
      <c r="W1610" s="78">
        <f t="shared" si="408"/>
        <v>332.15819999999997</v>
      </c>
      <c r="X1610" s="1878" t="str">
        <f t="shared" si="406"/>
        <v xml:space="preserve">2.- C Lima Caucho 0820910-OT_211100  Reencauche 030-0048969 </v>
      </c>
      <c r="Z1610" s="19" t="str">
        <f t="shared" si="410"/>
        <v>ReencaucheReencauchadora RENOVA</v>
      </c>
    </row>
    <row r="1611" spans="2:26" ht="15.2" customHeight="1">
      <c r="B1611" s="37"/>
      <c r="E1611" s="66">
        <v>3</v>
      </c>
      <c r="F1611" s="67" t="s">
        <v>732</v>
      </c>
      <c r="G1611" s="68" t="s">
        <v>733</v>
      </c>
      <c r="H1611" s="69" t="s">
        <v>1022</v>
      </c>
      <c r="I1611" s="68" t="s">
        <v>726</v>
      </c>
      <c r="J1611" s="70" t="s">
        <v>760</v>
      </c>
      <c r="K1611" s="71" t="s">
        <v>1019</v>
      </c>
      <c r="L1611" s="72">
        <v>42150</v>
      </c>
      <c r="M1611" s="73" t="s">
        <v>729</v>
      </c>
      <c r="N1611" s="74">
        <v>42163</v>
      </c>
      <c r="O1611" s="75">
        <v>42163</v>
      </c>
      <c r="P1611" s="2765" t="s">
        <v>1020</v>
      </c>
      <c r="Q1611" s="2954"/>
      <c r="R1611" s="76">
        <v>281.49</v>
      </c>
      <c r="S1611" s="1945" t="s">
        <v>731</v>
      </c>
      <c r="T1611" s="77"/>
      <c r="U1611" s="1893" t="s">
        <v>693</v>
      </c>
      <c r="V1611" s="2079">
        <f t="shared" si="407"/>
        <v>0</v>
      </c>
      <c r="W1611" s="78">
        <f t="shared" si="408"/>
        <v>332.15819999999997</v>
      </c>
      <c r="X1611" s="1878" t="str">
        <f t="shared" si="406"/>
        <v xml:space="preserve">3.- C Lima Caucho 10650808-OT_211100  Reencauche 030-0048969 </v>
      </c>
      <c r="Z1611" s="19" t="str">
        <f t="shared" si="410"/>
        <v>ReencaucheReencauchadora RENOVA</v>
      </c>
    </row>
    <row r="1612" spans="2:26" ht="15.2" customHeight="1">
      <c r="B1612" s="37"/>
      <c r="E1612" s="66">
        <v>4</v>
      </c>
      <c r="F1612" s="67" t="s">
        <v>732</v>
      </c>
      <c r="G1612" s="68" t="s">
        <v>737</v>
      </c>
      <c r="H1612" s="69" t="s">
        <v>1023</v>
      </c>
      <c r="I1612" s="68" t="s">
        <v>726</v>
      </c>
      <c r="J1612" s="70" t="s">
        <v>760</v>
      </c>
      <c r="K1612" s="71" t="s">
        <v>1019</v>
      </c>
      <c r="L1612" s="72">
        <v>42150</v>
      </c>
      <c r="M1612" s="73" t="s">
        <v>729</v>
      </c>
      <c r="N1612" s="74">
        <v>42163</v>
      </c>
      <c r="O1612" s="75">
        <v>42163</v>
      </c>
      <c r="P1612" s="2765" t="s">
        <v>1020</v>
      </c>
      <c r="Q1612" s="2954"/>
      <c r="R1612" s="76">
        <v>281.49</v>
      </c>
      <c r="S1612" s="1945" t="s">
        <v>731</v>
      </c>
      <c r="T1612" s="77"/>
      <c r="U1612" s="1893" t="s">
        <v>693</v>
      </c>
      <c r="V1612" s="2079">
        <f t="shared" si="407"/>
        <v>0</v>
      </c>
      <c r="W1612" s="78">
        <f t="shared" si="408"/>
        <v>332.15819999999997</v>
      </c>
      <c r="X1612" s="1878" t="str">
        <f t="shared" si="406"/>
        <v xml:space="preserve">4.- C Vikrant 0100702-OT_211100  Reencauche 030-0048969 </v>
      </c>
      <c r="Z1612" s="19" t="str">
        <f t="shared" si="410"/>
        <v>ReencaucheReencauchadora RENOVA</v>
      </c>
    </row>
    <row r="1613" spans="2:26" ht="15.2" customHeight="1">
      <c r="B1613" s="37"/>
      <c r="E1613" s="66">
        <v>5</v>
      </c>
      <c r="F1613" s="67" t="s">
        <v>732</v>
      </c>
      <c r="G1613" s="68" t="s">
        <v>737</v>
      </c>
      <c r="H1613" s="69" t="s">
        <v>743</v>
      </c>
      <c r="I1613" s="68" t="s">
        <v>726</v>
      </c>
      <c r="J1613" s="70" t="s">
        <v>760</v>
      </c>
      <c r="K1613" s="71" t="s">
        <v>1019</v>
      </c>
      <c r="L1613" s="72">
        <v>42150</v>
      </c>
      <c r="M1613" s="73" t="s">
        <v>729</v>
      </c>
      <c r="N1613" s="74">
        <v>42163</v>
      </c>
      <c r="O1613" s="75">
        <v>42163</v>
      </c>
      <c r="P1613" s="2765" t="s">
        <v>1020</v>
      </c>
      <c r="Q1613" s="2954"/>
      <c r="R1613" s="76">
        <v>281.49</v>
      </c>
      <c r="S1613" s="1945" t="s">
        <v>731</v>
      </c>
      <c r="T1613" s="77"/>
      <c r="U1613" s="1893" t="s">
        <v>693</v>
      </c>
      <c r="V1613" s="2079">
        <f t="shared" si="407"/>
        <v>0</v>
      </c>
      <c r="W1613" s="78">
        <f t="shared" si="408"/>
        <v>332.15819999999997</v>
      </c>
      <c r="X1613" s="1878" t="str">
        <f t="shared" si="406"/>
        <v xml:space="preserve">5.- C Vikrant 0811007-OT_211100  Reencauche 030-0048969 </v>
      </c>
      <c r="Z1613" s="19" t="str">
        <f t="shared" si="410"/>
        <v>ReencaucheReencauchadora RENOVA</v>
      </c>
    </row>
    <row r="1614" spans="2:26" ht="15.2" customHeight="1">
      <c r="B1614" s="37"/>
      <c r="E1614" s="66">
        <v>6</v>
      </c>
      <c r="F1614" s="67" t="s">
        <v>732</v>
      </c>
      <c r="G1614" s="68" t="s">
        <v>737</v>
      </c>
      <c r="H1614" s="69" t="s">
        <v>1024</v>
      </c>
      <c r="I1614" s="68" t="s">
        <v>726</v>
      </c>
      <c r="J1614" s="70" t="s">
        <v>760</v>
      </c>
      <c r="K1614" s="71" t="s">
        <v>857</v>
      </c>
      <c r="L1614" s="72">
        <v>42150</v>
      </c>
      <c r="M1614" s="73" t="s">
        <v>729</v>
      </c>
      <c r="N1614" s="74">
        <v>42163</v>
      </c>
      <c r="O1614" s="75">
        <f>+N1614</f>
        <v>42163</v>
      </c>
      <c r="P1614" s="2765" t="s">
        <v>1020</v>
      </c>
      <c r="Q1614" s="2954"/>
      <c r="R1614" s="76">
        <v>281.49</v>
      </c>
      <c r="S1614" s="1945" t="s">
        <v>731</v>
      </c>
      <c r="T1614" s="77"/>
      <c r="U1614" s="1893" t="s">
        <v>693</v>
      </c>
      <c r="V1614" s="2079">
        <f t="shared" si="407"/>
        <v>0</v>
      </c>
      <c r="W1614" s="78">
        <f t="shared" si="408"/>
        <v>332.15819999999997</v>
      </c>
      <c r="X1614" s="1878" t="str">
        <f t="shared" si="406"/>
        <v xml:space="preserve">6.- C Vikrant 0791007-OT_S/D  Reencauche 030-0048969 </v>
      </c>
      <c r="Z1614" s="19" t="str">
        <f t="shared" si="410"/>
        <v>ReencaucheReencauchadora RENOVA</v>
      </c>
    </row>
    <row r="1615" spans="2:26" ht="15.2" customHeight="1">
      <c r="B1615" s="37"/>
      <c r="E1615" s="66">
        <v>7</v>
      </c>
      <c r="F1615" s="67" t="s">
        <v>732</v>
      </c>
      <c r="G1615" s="68" t="s">
        <v>757</v>
      </c>
      <c r="H1615" s="69" t="s">
        <v>1025</v>
      </c>
      <c r="I1615" s="68" t="s">
        <v>726</v>
      </c>
      <c r="J1615" s="70" t="s">
        <v>760</v>
      </c>
      <c r="K1615" s="71" t="s">
        <v>857</v>
      </c>
      <c r="L1615" s="72">
        <v>42150</v>
      </c>
      <c r="M1615" s="73" t="s">
        <v>729</v>
      </c>
      <c r="N1615" s="74">
        <v>42163</v>
      </c>
      <c r="O1615" s="75">
        <v>42163</v>
      </c>
      <c r="P1615" s="2765" t="s">
        <v>1020</v>
      </c>
      <c r="Q1615" s="2954"/>
      <c r="R1615" s="76">
        <v>281.49</v>
      </c>
      <c r="S1615" s="1945" t="s">
        <v>731</v>
      </c>
      <c r="T1615" s="77"/>
      <c r="U1615" s="1893" t="s">
        <v>693</v>
      </c>
      <c r="V1615" s="2079">
        <f t="shared" si="407"/>
        <v>0</v>
      </c>
      <c r="W1615" s="78">
        <f t="shared" si="408"/>
        <v>332.15819999999997</v>
      </c>
      <c r="X1615" s="1878" t="str">
        <f t="shared" si="406"/>
        <v xml:space="preserve">7.- C Goodyear 1130704-OT_S/D  Reencauche 030-0048969 </v>
      </c>
      <c r="Z1615" s="19" t="str">
        <f t="shared" si="410"/>
        <v>ReencaucheReencauchadora RENOVA</v>
      </c>
    </row>
    <row r="1616" spans="2:26" ht="15.2" customHeight="1">
      <c r="B1616" s="37"/>
      <c r="E1616" s="66">
        <v>8</v>
      </c>
      <c r="F1616" s="67" t="s">
        <v>732</v>
      </c>
      <c r="G1616" s="68" t="s">
        <v>733</v>
      </c>
      <c r="H1616" s="69" t="s">
        <v>1026</v>
      </c>
      <c r="I1616" s="68" t="s">
        <v>726</v>
      </c>
      <c r="J1616" s="70" t="s">
        <v>760</v>
      </c>
      <c r="K1616" s="71" t="s">
        <v>1019</v>
      </c>
      <c r="L1616" s="72">
        <v>42150</v>
      </c>
      <c r="M1616" s="142" t="s">
        <v>729</v>
      </c>
      <c r="N1616" s="74">
        <v>42163</v>
      </c>
      <c r="O1616" s="75">
        <v>42163</v>
      </c>
      <c r="P1616" s="2765"/>
      <c r="Q1616" s="2954"/>
      <c r="R1616" s="76">
        <v>0</v>
      </c>
      <c r="S1616" s="1945" t="s">
        <v>731</v>
      </c>
      <c r="T1616" s="1875" t="s">
        <v>1030</v>
      </c>
      <c r="U1616" s="1920" t="s">
        <v>693</v>
      </c>
      <c r="V1616" s="2079">
        <f t="shared" si="407"/>
        <v>0</v>
      </c>
      <c r="W1616" s="78">
        <f t="shared" si="408"/>
        <v>0</v>
      </c>
      <c r="X1616" s="1878" t="str">
        <f t="shared" si="406"/>
        <v>8.- C Lima Caucho 0250508-OT_211100  Reencauche  Rechazada, Guia 030-0048970</v>
      </c>
      <c r="Z1616" s="19" t="str">
        <f t="shared" si="410"/>
        <v>ReencaucheReencauchadora RENOVA</v>
      </c>
    </row>
    <row r="1617" spans="2:26" ht="15.2" customHeight="1">
      <c r="B1617" s="37"/>
      <c r="E1617" s="66">
        <v>9</v>
      </c>
      <c r="F1617" s="67" t="s">
        <v>732</v>
      </c>
      <c r="G1617" s="68" t="s">
        <v>733</v>
      </c>
      <c r="H1617" s="69" t="s">
        <v>890</v>
      </c>
      <c r="I1617" s="68" t="s">
        <v>726</v>
      </c>
      <c r="J1617" s="70" t="s">
        <v>760</v>
      </c>
      <c r="K1617" s="71" t="s">
        <v>1019</v>
      </c>
      <c r="L1617" s="72">
        <v>42150</v>
      </c>
      <c r="M1617" s="73" t="s">
        <v>729</v>
      </c>
      <c r="N1617" s="74">
        <v>42163</v>
      </c>
      <c r="O1617" s="75">
        <v>42163</v>
      </c>
      <c r="P1617" s="2765"/>
      <c r="Q1617" s="2954"/>
      <c r="R1617" s="76">
        <v>0</v>
      </c>
      <c r="S1617" s="1945" t="s">
        <v>731</v>
      </c>
      <c r="T1617" s="1875" t="s">
        <v>1030</v>
      </c>
      <c r="U1617" s="1920" t="s">
        <v>693</v>
      </c>
      <c r="V1617" s="2079">
        <f t="shared" si="407"/>
        <v>0</v>
      </c>
      <c r="W1617" s="78">
        <f t="shared" si="408"/>
        <v>0</v>
      </c>
      <c r="X1617" s="1878" t="str">
        <f t="shared" si="406"/>
        <v>9.- C Lima Caucho 0470707-OT_211100  Reencauche  Rechazada, Guia 030-0048970</v>
      </c>
      <c r="Z1617" s="19" t="str">
        <f t="shared" si="410"/>
        <v>ReencaucheReencauchadora RENOVA</v>
      </c>
    </row>
    <row r="1618" spans="2:26" ht="15.2" customHeight="1">
      <c r="B1618" s="37"/>
      <c r="E1618" s="66">
        <v>10</v>
      </c>
      <c r="F1618" s="67" t="s">
        <v>732</v>
      </c>
      <c r="G1618" s="68" t="s">
        <v>733</v>
      </c>
      <c r="H1618" s="69" t="s">
        <v>987</v>
      </c>
      <c r="I1618" s="68" t="s">
        <v>726</v>
      </c>
      <c r="J1618" s="70" t="s">
        <v>760</v>
      </c>
      <c r="K1618" s="71" t="s">
        <v>1019</v>
      </c>
      <c r="L1618" s="72">
        <v>42150</v>
      </c>
      <c r="M1618" s="73" t="s">
        <v>729</v>
      </c>
      <c r="N1618" s="74">
        <v>42163</v>
      </c>
      <c r="O1618" s="75">
        <v>42163</v>
      </c>
      <c r="P1618" s="2765"/>
      <c r="Q1618" s="2954"/>
      <c r="R1618" s="76">
        <v>0</v>
      </c>
      <c r="S1618" s="1945" t="s">
        <v>731</v>
      </c>
      <c r="T1618" s="1875" t="s">
        <v>1030</v>
      </c>
      <c r="U1618" s="1920" t="s">
        <v>693</v>
      </c>
      <c r="V1618" s="2079">
        <f t="shared" si="407"/>
        <v>0</v>
      </c>
      <c r="W1618" s="78">
        <f t="shared" si="408"/>
        <v>0</v>
      </c>
      <c r="X1618" s="1878" t="str">
        <f t="shared" si="406"/>
        <v>10.- C Lima Caucho 1451207-OT_211100  Reencauche  Rechazada, Guia 030-0048970</v>
      </c>
      <c r="Z1618" s="19" t="str">
        <f t="shared" si="410"/>
        <v>ReencaucheReencauchadora RENOVA</v>
      </c>
    </row>
    <row r="1619" spans="2:26" ht="15.2" customHeight="1">
      <c r="B1619" s="37"/>
      <c r="E1619" s="66">
        <v>11</v>
      </c>
      <c r="F1619" s="67" t="s">
        <v>732</v>
      </c>
      <c r="G1619" s="68" t="s">
        <v>737</v>
      </c>
      <c r="H1619" s="69" t="s">
        <v>1031</v>
      </c>
      <c r="I1619" s="68" t="s">
        <v>726</v>
      </c>
      <c r="J1619" s="70" t="s">
        <v>760</v>
      </c>
      <c r="K1619" s="71" t="s">
        <v>1019</v>
      </c>
      <c r="L1619" s="72">
        <v>42150</v>
      </c>
      <c r="M1619" s="73" t="s">
        <v>729</v>
      </c>
      <c r="N1619" s="74">
        <v>42163</v>
      </c>
      <c r="O1619" s="75">
        <v>42163</v>
      </c>
      <c r="P1619" s="2765"/>
      <c r="Q1619" s="2954"/>
      <c r="R1619" s="76">
        <v>0</v>
      </c>
      <c r="S1619" s="1945" t="s">
        <v>731</v>
      </c>
      <c r="T1619" s="1875" t="s">
        <v>1030</v>
      </c>
      <c r="U1619" s="1920" t="s">
        <v>693</v>
      </c>
      <c r="V1619" s="2079">
        <f t="shared" si="407"/>
        <v>0</v>
      </c>
      <c r="W1619" s="78">
        <f t="shared" si="408"/>
        <v>0</v>
      </c>
      <c r="X1619" s="1878" t="str">
        <f t="shared" si="406"/>
        <v>11.- C Vikrant 0840505-OT_211100  Reencauche  Rechazada, Guia 030-0048970</v>
      </c>
      <c r="Z1619" s="19" t="str">
        <f t="shared" si="410"/>
        <v>ReencaucheReenc. MASTERCAUCHO</v>
      </c>
    </row>
    <row r="1620" spans="2:26" ht="15.2" customHeight="1">
      <c r="B1620" s="37"/>
      <c r="E1620" s="66">
        <v>12</v>
      </c>
      <c r="F1620" s="67" t="s">
        <v>732</v>
      </c>
      <c r="G1620" s="68" t="s">
        <v>757</v>
      </c>
      <c r="H1620" s="69" t="s">
        <v>991</v>
      </c>
      <c r="I1620" s="68" t="s">
        <v>726</v>
      </c>
      <c r="J1620" s="70" t="s">
        <v>760</v>
      </c>
      <c r="K1620" s="71" t="s">
        <v>857</v>
      </c>
      <c r="L1620" s="72">
        <v>42150</v>
      </c>
      <c r="M1620" s="73" t="s">
        <v>729</v>
      </c>
      <c r="N1620" s="74">
        <v>42163</v>
      </c>
      <c r="O1620" s="75">
        <v>42163</v>
      </c>
      <c r="P1620" s="2765"/>
      <c r="Q1620" s="2954"/>
      <c r="R1620" s="76">
        <v>0</v>
      </c>
      <c r="S1620" s="1945" t="s">
        <v>731</v>
      </c>
      <c r="T1620" s="1875" t="s">
        <v>1030</v>
      </c>
      <c r="U1620" s="1920" t="s">
        <v>693</v>
      </c>
      <c r="V1620" s="2079">
        <f t="shared" si="407"/>
        <v>0</v>
      </c>
      <c r="W1620" s="78">
        <f t="shared" si="408"/>
        <v>0</v>
      </c>
      <c r="X1620" s="1878" t="str">
        <f t="shared" si="406"/>
        <v>12.- C Goodyear 062112002-OT_S/D  Reencauche  Rechazada, Guia 030-0048970</v>
      </c>
      <c r="Z1620" s="19" t="str">
        <f t="shared" si="410"/>
        <v>ReencaucheReenc. MASTERCAUCHO</v>
      </c>
    </row>
    <row r="1621" spans="2:26" ht="15.2" customHeight="1">
      <c r="B1621" s="37"/>
      <c r="E1621" s="79">
        <v>13</v>
      </c>
      <c r="F1621" s="80" t="s">
        <v>732</v>
      </c>
      <c r="G1621" s="81" t="s">
        <v>733</v>
      </c>
      <c r="H1621" s="82" t="s">
        <v>756</v>
      </c>
      <c r="I1621" s="81" t="s">
        <v>726</v>
      </c>
      <c r="J1621" s="83" t="s">
        <v>760</v>
      </c>
      <c r="K1621" s="84" t="s">
        <v>1019</v>
      </c>
      <c r="L1621" s="143">
        <v>42150</v>
      </c>
      <c r="M1621" s="144" t="s">
        <v>729</v>
      </c>
      <c r="N1621" s="145">
        <v>42180</v>
      </c>
      <c r="O1621" s="146">
        <f>+N1621</f>
        <v>42180</v>
      </c>
      <c r="P1621" s="2786" t="s">
        <v>1032</v>
      </c>
      <c r="Q1621" s="2972"/>
      <c r="R1621" s="147">
        <v>281.49</v>
      </c>
      <c r="S1621" s="1948" t="s">
        <v>731</v>
      </c>
      <c r="T1621" s="77"/>
      <c r="U1621" s="1893" t="s">
        <v>693</v>
      </c>
      <c r="V1621" s="2079">
        <f t="shared" si="407"/>
        <v>0</v>
      </c>
      <c r="W1621" s="78">
        <f t="shared" si="408"/>
        <v>332.15819999999997</v>
      </c>
      <c r="X1621" s="1878" t="str">
        <f t="shared" si="406"/>
        <v xml:space="preserve">13.- C Lima Caucho 1191210-OT_211100  Reencauche 030-0041527 </v>
      </c>
      <c r="Z1621" s="19" t="str">
        <f t="shared" si="410"/>
        <v>Banda de 2ª usadaReenc. MASTERCAUCHO</v>
      </c>
    </row>
    <row r="1622" spans="2:26" ht="15.2" customHeight="1">
      <c r="B1622" s="37"/>
      <c r="E1622" s="66">
        <v>1</v>
      </c>
      <c r="F1622" s="67" t="s">
        <v>732</v>
      </c>
      <c r="G1622" s="68" t="s">
        <v>814</v>
      </c>
      <c r="H1622" s="69" t="s">
        <v>815</v>
      </c>
      <c r="I1622" s="68" t="s">
        <v>726</v>
      </c>
      <c r="J1622" s="70" t="s">
        <v>727</v>
      </c>
      <c r="K1622" s="71" t="s">
        <v>1033</v>
      </c>
      <c r="L1622" s="72">
        <v>42128</v>
      </c>
      <c r="M1622" s="73" t="s">
        <v>729</v>
      </c>
      <c r="N1622" s="74">
        <v>42137</v>
      </c>
      <c r="O1622" s="75">
        <f>+N1622</f>
        <v>42137</v>
      </c>
      <c r="P1622" s="2765" t="s">
        <v>1034</v>
      </c>
      <c r="Q1622" s="2954"/>
      <c r="R1622" s="76">
        <v>254.24</v>
      </c>
      <c r="S1622" s="1945" t="s">
        <v>731</v>
      </c>
      <c r="T1622" s="77"/>
      <c r="U1622" s="1893" t="s">
        <v>693</v>
      </c>
      <c r="V1622" s="2079">
        <f t="shared" si="407"/>
        <v>0</v>
      </c>
      <c r="W1622" s="78">
        <f t="shared" si="408"/>
        <v>300.00319999999999</v>
      </c>
      <c r="X1622" s="1878" t="str">
        <f t="shared" si="406"/>
        <v xml:space="preserve">1.- C Birla 0570806-OT_000771  Reencauche 001-003115 </v>
      </c>
      <c r="Z1622" s="19" t="str">
        <f t="shared" si="410"/>
        <v>Vulcanizado (curación)Reenc. MASTERCAUCHO</v>
      </c>
    </row>
    <row r="1623" spans="2:26" ht="15.2" customHeight="1">
      <c r="B1623" s="37"/>
      <c r="E1623" s="66">
        <v>2</v>
      </c>
      <c r="F1623" s="67" t="s">
        <v>732</v>
      </c>
      <c r="G1623" s="68" t="s">
        <v>757</v>
      </c>
      <c r="H1623" s="69" t="s">
        <v>1037</v>
      </c>
      <c r="I1623" s="68" t="s">
        <v>726</v>
      </c>
      <c r="J1623" s="70" t="s">
        <v>727</v>
      </c>
      <c r="K1623" s="71" t="s">
        <v>1033</v>
      </c>
      <c r="L1623" s="72">
        <v>42128</v>
      </c>
      <c r="M1623" s="73" t="s">
        <v>729</v>
      </c>
      <c r="N1623" s="74">
        <v>42137</v>
      </c>
      <c r="O1623" s="75">
        <v>42137</v>
      </c>
      <c r="P1623" s="2765" t="s">
        <v>1034</v>
      </c>
      <c r="Q1623" s="2954"/>
      <c r="R1623" s="76">
        <v>254.24</v>
      </c>
      <c r="S1623" s="1945" t="s">
        <v>731</v>
      </c>
      <c r="T1623" s="77"/>
      <c r="U1623" s="1893" t="s">
        <v>693</v>
      </c>
      <c r="V1623" s="2079">
        <f t="shared" si="407"/>
        <v>0</v>
      </c>
      <c r="W1623" s="78">
        <f t="shared" si="408"/>
        <v>300.00319999999999</v>
      </c>
      <c r="X1623" s="1878" t="str">
        <f t="shared" si="406"/>
        <v xml:space="preserve">2.- C Goodyear 1561004-OT_000771  Reencauche 001-003115 </v>
      </c>
      <c r="Z1623" s="19" t="str">
        <f t="shared" si="410"/>
        <v>Vulcanizado (curación)Reenc. MASTERCAUCHO</v>
      </c>
    </row>
    <row r="1624" spans="2:26" ht="15.2" customHeight="1">
      <c r="B1624" s="37"/>
      <c r="E1624" s="66">
        <v>3</v>
      </c>
      <c r="F1624" s="67" t="s">
        <v>732</v>
      </c>
      <c r="G1624" s="68" t="s">
        <v>733</v>
      </c>
      <c r="H1624" s="69" t="s">
        <v>1038</v>
      </c>
      <c r="I1624" s="68" t="s">
        <v>742</v>
      </c>
      <c r="J1624" s="70" t="s">
        <v>727</v>
      </c>
      <c r="K1624" s="71" t="s">
        <v>1033</v>
      </c>
      <c r="L1624" s="72">
        <v>42128</v>
      </c>
      <c r="M1624" s="73" t="s">
        <v>729</v>
      </c>
      <c r="N1624" s="74">
        <v>42137</v>
      </c>
      <c r="O1624" s="75">
        <v>42137</v>
      </c>
      <c r="P1624" s="2765" t="s">
        <v>1034</v>
      </c>
      <c r="Q1624" s="2954"/>
      <c r="R1624" s="76">
        <v>211.86500000000001</v>
      </c>
      <c r="S1624" s="1945" t="s">
        <v>731</v>
      </c>
      <c r="T1624" s="77"/>
      <c r="U1624" s="1893" t="s">
        <v>693</v>
      </c>
      <c r="V1624" s="2079">
        <f t="shared" si="407"/>
        <v>0</v>
      </c>
      <c r="W1624" s="78">
        <f t="shared" si="408"/>
        <v>250.00069999999999</v>
      </c>
      <c r="X1624" s="1878" t="str">
        <f t="shared" si="406"/>
        <v xml:space="preserve">3.- C Lima Caucho 1391207-OT_000771  Banda de 2ª usada 001-003115 </v>
      </c>
      <c r="Z1624" s="19" t="str">
        <f t="shared" si="410"/>
        <v>ReencaucheReencauchadora RENOVA</v>
      </c>
    </row>
    <row r="1625" spans="2:26" ht="15.2" customHeight="1">
      <c r="B1625" s="37"/>
      <c r="E1625" s="66">
        <v>4</v>
      </c>
      <c r="F1625" s="67" t="s">
        <v>732</v>
      </c>
      <c r="G1625" s="68" t="s">
        <v>737</v>
      </c>
      <c r="H1625" s="69" t="s">
        <v>1039</v>
      </c>
      <c r="I1625" s="68" t="s">
        <v>811</v>
      </c>
      <c r="J1625" s="70" t="s">
        <v>727</v>
      </c>
      <c r="K1625" s="71" t="s">
        <v>1033</v>
      </c>
      <c r="L1625" s="72">
        <v>42128</v>
      </c>
      <c r="M1625" s="73" t="s">
        <v>729</v>
      </c>
      <c r="N1625" s="74">
        <v>42137</v>
      </c>
      <c r="O1625" s="75">
        <v>42137</v>
      </c>
      <c r="P1625" s="2765" t="s">
        <v>1034</v>
      </c>
      <c r="Q1625" s="2954"/>
      <c r="R1625" s="76">
        <v>105.93</v>
      </c>
      <c r="S1625" s="1945" t="s">
        <v>731</v>
      </c>
      <c r="T1625" s="77"/>
      <c r="U1625" s="1893" t="s">
        <v>693</v>
      </c>
      <c r="V1625" s="2079">
        <f t="shared" si="407"/>
        <v>0</v>
      </c>
      <c r="W1625" s="78">
        <f t="shared" si="408"/>
        <v>124.9974</v>
      </c>
      <c r="X1625" s="1878" t="str">
        <f t="shared" si="406"/>
        <v xml:space="preserve">4.- C Vikrant 0781009-OT_000771  Vulcanizado (curación) 001-003115 </v>
      </c>
      <c r="Z1625" s="19" t="str">
        <f t="shared" si="410"/>
        <v>ReencaucheReencauchadora RENOVA</v>
      </c>
    </row>
    <row r="1626" spans="2:26" ht="15.2" customHeight="1">
      <c r="B1626" s="37"/>
      <c r="E1626" s="79">
        <v>5</v>
      </c>
      <c r="F1626" s="80" t="s">
        <v>732</v>
      </c>
      <c r="G1626" s="81" t="s">
        <v>737</v>
      </c>
      <c r="H1626" s="82" t="s">
        <v>1040</v>
      </c>
      <c r="I1626" s="81" t="s">
        <v>811</v>
      </c>
      <c r="J1626" s="83" t="s">
        <v>727</v>
      </c>
      <c r="K1626" s="84" t="s">
        <v>1033</v>
      </c>
      <c r="L1626" s="85">
        <v>42128</v>
      </c>
      <c r="M1626" s="86" t="s">
        <v>729</v>
      </c>
      <c r="N1626" s="87">
        <v>42137</v>
      </c>
      <c r="O1626" s="88">
        <v>42137</v>
      </c>
      <c r="P1626" s="2766" t="s">
        <v>1034</v>
      </c>
      <c r="Q1626" s="2955"/>
      <c r="R1626" s="89">
        <v>105.93</v>
      </c>
      <c r="S1626" s="1946" t="s">
        <v>731</v>
      </c>
      <c r="T1626" s="77"/>
      <c r="U1626" s="1893" t="s">
        <v>693</v>
      </c>
      <c r="V1626" s="2079">
        <f t="shared" si="407"/>
        <v>0</v>
      </c>
      <c r="W1626" s="78">
        <f t="shared" si="408"/>
        <v>124.9974</v>
      </c>
      <c r="X1626" s="1878" t="str">
        <f t="shared" si="406"/>
        <v xml:space="preserve">5.- C Vikrant 0320211-OT_000771  Vulcanizado (curación) 001-003115 </v>
      </c>
      <c r="Z1626" s="19" t="str">
        <f t="shared" si="410"/>
        <v>ReencaucheReencauchadora RENOVA</v>
      </c>
    </row>
    <row r="1627" spans="2:26" ht="15.2" customHeight="1">
      <c r="B1627" s="37"/>
      <c r="E1627" s="66">
        <v>1</v>
      </c>
      <c r="F1627" s="67" t="s">
        <v>732</v>
      </c>
      <c r="G1627" s="68" t="s">
        <v>733</v>
      </c>
      <c r="H1627" s="69" t="s">
        <v>1041</v>
      </c>
      <c r="I1627" s="68" t="s">
        <v>726</v>
      </c>
      <c r="J1627" s="70" t="s">
        <v>760</v>
      </c>
      <c r="K1627" s="71" t="s">
        <v>1042</v>
      </c>
      <c r="L1627" s="72">
        <v>42110</v>
      </c>
      <c r="M1627" s="73" t="s">
        <v>729</v>
      </c>
      <c r="N1627" s="74">
        <v>42130</v>
      </c>
      <c r="O1627" s="75">
        <f>+N1627</f>
        <v>42130</v>
      </c>
      <c r="P1627" s="2765" t="s">
        <v>1043</v>
      </c>
      <c r="Q1627" s="2954"/>
      <c r="R1627" s="76">
        <v>281.49</v>
      </c>
      <c r="S1627" s="1945" t="s">
        <v>731</v>
      </c>
      <c r="T1627" s="77"/>
      <c r="U1627" s="1893" t="s">
        <v>693</v>
      </c>
      <c r="V1627" s="2079">
        <f t="shared" si="407"/>
        <v>0</v>
      </c>
      <c r="W1627" s="78">
        <f t="shared" si="408"/>
        <v>332.15819999999997</v>
      </c>
      <c r="X1627" s="1878" t="str">
        <f t="shared" si="406"/>
        <v xml:space="preserve">1.- C Lima Caucho 1041208-OT_210509  Reencauche 030-0040614 </v>
      </c>
      <c r="Z1627" s="19" t="str">
        <f>CONCATENATE(I1635,J1635)</f>
        <v>ReencaucheReencauchadora RENOVA</v>
      </c>
    </row>
    <row r="1628" spans="2:26" ht="15.2" customHeight="1">
      <c r="B1628" s="37"/>
      <c r="E1628" s="66">
        <v>2</v>
      </c>
      <c r="F1628" s="67" t="s">
        <v>732</v>
      </c>
      <c r="G1628" s="68" t="s">
        <v>737</v>
      </c>
      <c r="H1628" s="69" t="s">
        <v>1044</v>
      </c>
      <c r="I1628" s="68" t="s">
        <v>726</v>
      </c>
      <c r="J1628" s="70" t="s">
        <v>760</v>
      </c>
      <c r="K1628" s="71" t="s">
        <v>1042</v>
      </c>
      <c r="L1628" s="72">
        <v>42110</v>
      </c>
      <c r="M1628" s="73" t="s">
        <v>729</v>
      </c>
      <c r="N1628" s="74">
        <v>42130</v>
      </c>
      <c r="O1628" s="75">
        <v>42130</v>
      </c>
      <c r="P1628" s="2765" t="s">
        <v>1043</v>
      </c>
      <c r="Q1628" s="2954"/>
      <c r="R1628" s="76">
        <v>281.49</v>
      </c>
      <c r="S1628" s="1945" t="s">
        <v>731</v>
      </c>
      <c r="T1628" s="77"/>
      <c r="U1628" s="1893" t="s">
        <v>693</v>
      </c>
      <c r="V1628" s="2079">
        <f t="shared" si="407"/>
        <v>0</v>
      </c>
      <c r="W1628" s="78">
        <f t="shared" si="408"/>
        <v>332.15819999999997</v>
      </c>
      <c r="X1628" s="1878" t="str">
        <f t="shared" si="406"/>
        <v xml:space="preserve">2.- C Vikrant 075109-OT_210509  Reencauche 030-0040614 </v>
      </c>
      <c r="Z1628" s="19" t="str">
        <f>CONCATENATE(I1636,J1636)</f>
        <v>ReencaucheReencauchadora RENOVA</v>
      </c>
    </row>
    <row r="1629" spans="2:26" ht="15.2" customHeight="1">
      <c r="B1629" s="37"/>
      <c r="E1629" s="66">
        <v>3</v>
      </c>
      <c r="F1629" s="67" t="s">
        <v>732</v>
      </c>
      <c r="G1629" s="68" t="s">
        <v>733</v>
      </c>
      <c r="H1629" s="69" t="s">
        <v>992</v>
      </c>
      <c r="I1629" s="68" t="s">
        <v>726</v>
      </c>
      <c r="J1629" s="70" t="s">
        <v>760</v>
      </c>
      <c r="K1629" s="71" t="s">
        <v>1042</v>
      </c>
      <c r="L1629" s="72">
        <v>42110</v>
      </c>
      <c r="M1629" s="73" t="s">
        <v>729</v>
      </c>
      <c r="N1629" s="74">
        <v>42130</v>
      </c>
      <c r="O1629" s="75">
        <v>42130</v>
      </c>
      <c r="P1629" s="2765" t="s">
        <v>1043</v>
      </c>
      <c r="Q1629" s="2954"/>
      <c r="R1629" s="76">
        <v>281.49</v>
      </c>
      <c r="S1629" s="1945" t="s">
        <v>731</v>
      </c>
      <c r="T1629" s="77"/>
      <c r="U1629" s="1893" t="s">
        <v>693</v>
      </c>
      <c r="V1629" s="2079">
        <f t="shared" si="407"/>
        <v>0</v>
      </c>
      <c r="W1629" s="78">
        <f t="shared" si="408"/>
        <v>332.15819999999997</v>
      </c>
      <c r="X1629" s="1878" t="str">
        <f t="shared" si="406"/>
        <v xml:space="preserve">3.- C Lima Caucho 1191107-OT_210509  Reencauche 030-0040614 </v>
      </c>
      <c r="Z1629" s="19" t="str">
        <f>CONCATENATE(I1632,J1632)</f>
        <v>ReencaucheReencauchadora RENOVA</v>
      </c>
    </row>
    <row r="1630" spans="2:26" ht="15.2" customHeight="1">
      <c r="B1630" s="37"/>
      <c r="E1630" s="66">
        <v>4</v>
      </c>
      <c r="F1630" s="67" t="s">
        <v>732</v>
      </c>
      <c r="G1630" s="68" t="s">
        <v>814</v>
      </c>
      <c r="H1630" s="69" t="s">
        <v>1045</v>
      </c>
      <c r="I1630" s="68" t="s">
        <v>726</v>
      </c>
      <c r="J1630" s="70" t="s">
        <v>760</v>
      </c>
      <c r="K1630" s="71" t="s">
        <v>1042</v>
      </c>
      <c r="L1630" s="72">
        <v>42110</v>
      </c>
      <c r="M1630" s="73" t="s">
        <v>729</v>
      </c>
      <c r="N1630" s="74">
        <v>42130</v>
      </c>
      <c r="O1630" s="75">
        <v>42130</v>
      </c>
      <c r="P1630" s="2765" t="s">
        <v>1043</v>
      </c>
      <c r="Q1630" s="2954"/>
      <c r="R1630" s="76">
        <v>281.49</v>
      </c>
      <c r="S1630" s="1945" t="s">
        <v>731</v>
      </c>
      <c r="T1630" s="77"/>
      <c r="U1630" s="1893" t="s">
        <v>693</v>
      </c>
      <c r="V1630" s="2079">
        <f t="shared" si="407"/>
        <v>0</v>
      </c>
      <c r="W1630" s="78">
        <f t="shared" si="408"/>
        <v>332.15819999999997</v>
      </c>
      <c r="X1630" s="1878" t="str">
        <f t="shared" si="406"/>
        <v xml:space="preserve">4.- C Birla 0500706-OT_210509  Reencauche 030-0040614 </v>
      </c>
      <c r="Z1630" s="19" t="str">
        <f>CONCATENATE(I1633,J1633)</f>
        <v>ReencaucheReencauchadora RENOVA</v>
      </c>
    </row>
    <row r="1631" spans="2:26" ht="15.2" customHeight="1">
      <c r="B1631" s="37"/>
      <c r="E1631" s="66">
        <v>5</v>
      </c>
      <c r="F1631" s="123" t="s">
        <v>732</v>
      </c>
      <c r="G1631" s="68" t="s">
        <v>737</v>
      </c>
      <c r="H1631" s="69" t="s">
        <v>1046</v>
      </c>
      <c r="I1631" s="68" t="s">
        <v>726</v>
      </c>
      <c r="J1631" s="70" t="s">
        <v>760</v>
      </c>
      <c r="K1631" s="71" t="s">
        <v>1042</v>
      </c>
      <c r="L1631" s="72">
        <v>42110</v>
      </c>
      <c r="M1631" s="73" t="s">
        <v>729</v>
      </c>
      <c r="N1631" s="74">
        <v>42130</v>
      </c>
      <c r="O1631" s="75">
        <v>42130</v>
      </c>
      <c r="P1631" s="2765" t="s">
        <v>1043</v>
      </c>
      <c r="Q1631" s="2954"/>
      <c r="R1631" s="76">
        <v>281.49</v>
      </c>
      <c r="S1631" s="1945" t="s">
        <v>731</v>
      </c>
      <c r="T1631" s="77"/>
      <c r="U1631" s="1893" t="s">
        <v>693</v>
      </c>
      <c r="V1631" s="2079">
        <f t="shared" si="407"/>
        <v>0</v>
      </c>
      <c r="W1631" s="78">
        <f t="shared" si="408"/>
        <v>332.15819999999997</v>
      </c>
      <c r="X1631" s="1878" t="str">
        <f t="shared" si="406"/>
        <v xml:space="preserve">5.- C Vikrant 0220712-OT_210509  Reencauche 030-0040614 </v>
      </c>
      <c r="Z1631" s="19" t="str">
        <f>CONCATENATE(I1634,J1634)</f>
        <v>ReencaucheReencauchadora RENOVA</v>
      </c>
    </row>
    <row r="1632" spans="2:26" ht="15.2" customHeight="1">
      <c r="B1632" s="37"/>
      <c r="E1632" s="66">
        <v>6</v>
      </c>
      <c r="F1632" s="67" t="s">
        <v>732</v>
      </c>
      <c r="G1632" s="68" t="s">
        <v>737</v>
      </c>
      <c r="H1632" s="69" t="s">
        <v>1047</v>
      </c>
      <c r="I1632" s="68" t="s">
        <v>726</v>
      </c>
      <c r="J1632" s="70" t="s">
        <v>760</v>
      </c>
      <c r="K1632" s="71" t="s">
        <v>1042</v>
      </c>
      <c r="L1632" s="72">
        <v>42110</v>
      </c>
      <c r="M1632" s="73" t="s">
        <v>729</v>
      </c>
      <c r="N1632" s="74">
        <v>42130</v>
      </c>
      <c r="O1632" s="75">
        <v>42130</v>
      </c>
      <c r="P1632" s="2765" t="s">
        <v>1043</v>
      </c>
      <c r="Q1632" s="2954"/>
      <c r="R1632" s="76">
        <v>281.49</v>
      </c>
      <c r="S1632" s="1945" t="s">
        <v>731</v>
      </c>
      <c r="T1632" s="77"/>
      <c r="U1632" s="1893" t="s">
        <v>693</v>
      </c>
      <c r="V1632" s="2079">
        <f t="shared" si="407"/>
        <v>0</v>
      </c>
      <c r="W1632" s="78">
        <f t="shared" si="408"/>
        <v>332.15819999999997</v>
      </c>
      <c r="X1632" s="1878" t="str">
        <f t="shared" si="406"/>
        <v xml:space="preserve">6.- C Vikrant 0040312-OT_210509  Reencauche 030-0040614 </v>
      </c>
      <c r="Z1632" s="19" t="str">
        <f>CONCATENATE(I1637,J1637)</f>
        <v>ReencaucheReencauchadora RENOVA</v>
      </c>
    </row>
    <row r="1633" spans="2:26" ht="15.2" customHeight="1">
      <c r="B1633" s="37"/>
      <c r="E1633" s="66">
        <v>7</v>
      </c>
      <c r="F1633" s="67" t="s">
        <v>732</v>
      </c>
      <c r="G1633" s="68" t="s">
        <v>737</v>
      </c>
      <c r="H1633" s="69" t="s">
        <v>1048</v>
      </c>
      <c r="I1633" s="68" t="s">
        <v>726</v>
      </c>
      <c r="J1633" s="70" t="s">
        <v>760</v>
      </c>
      <c r="K1633" s="71" t="s">
        <v>1042</v>
      </c>
      <c r="L1633" s="72">
        <v>42110</v>
      </c>
      <c r="M1633" s="73" t="s">
        <v>729</v>
      </c>
      <c r="N1633" s="74">
        <v>42130</v>
      </c>
      <c r="O1633" s="75">
        <v>42130</v>
      </c>
      <c r="P1633" s="2765" t="s">
        <v>1043</v>
      </c>
      <c r="Q1633" s="2954"/>
      <c r="R1633" s="76">
        <v>281.49</v>
      </c>
      <c r="S1633" s="1945" t="s">
        <v>731</v>
      </c>
      <c r="T1633" s="77"/>
      <c r="U1633" s="1893" t="s">
        <v>693</v>
      </c>
      <c r="V1633" s="2079">
        <f t="shared" si="407"/>
        <v>0</v>
      </c>
      <c r="W1633" s="78">
        <f t="shared" si="408"/>
        <v>332.15819999999997</v>
      </c>
      <c r="X1633" s="1878" t="str">
        <f t="shared" si="406"/>
        <v xml:space="preserve">7.- C Vikrant 0100111-OT_210509  Reencauche 030-0040614 </v>
      </c>
      <c r="Z1633" s="19" t="str">
        <f>CONCATENATE(I1638,J1638)</f>
        <v>ReencaucheReencauchadora RENOVA</v>
      </c>
    </row>
    <row r="1634" spans="2:26" ht="15.2" customHeight="1">
      <c r="B1634" s="37"/>
      <c r="E1634" s="66">
        <v>8</v>
      </c>
      <c r="F1634" s="67" t="s">
        <v>732</v>
      </c>
      <c r="G1634" s="68" t="s">
        <v>733</v>
      </c>
      <c r="H1634" s="69" t="s">
        <v>1049</v>
      </c>
      <c r="I1634" s="68" t="s">
        <v>726</v>
      </c>
      <c r="J1634" s="70" t="s">
        <v>760</v>
      </c>
      <c r="K1634" s="71" t="s">
        <v>1050</v>
      </c>
      <c r="L1634" s="148">
        <v>42110</v>
      </c>
      <c r="M1634" s="116" t="s">
        <v>729</v>
      </c>
      <c r="N1634" s="117">
        <v>42180</v>
      </c>
      <c r="O1634" s="118">
        <f>+N1634</f>
        <v>42180</v>
      </c>
      <c r="P1634" s="2779" t="s">
        <v>1032</v>
      </c>
      <c r="Q1634" s="2968"/>
      <c r="R1634" s="119">
        <v>281.49</v>
      </c>
      <c r="S1634" s="1949" t="s">
        <v>731</v>
      </c>
      <c r="T1634" s="77"/>
      <c r="U1634" s="1893" t="s">
        <v>693</v>
      </c>
      <c r="V1634" s="2079">
        <f t="shared" si="407"/>
        <v>0</v>
      </c>
      <c r="W1634" s="78">
        <f t="shared" si="408"/>
        <v>332.15819999999997</v>
      </c>
      <c r="X1634" s="1878" t="str">
        <f t="shared" ref="X1634:X1697" si="411">CONCATENATE(E1634,".- ",F1634," ",G1634," ",H1634,"-OT_",K1634," "," ",I1634," ",P1634," ",T1634)</f>
        <v xml:space="preserve">8.- C Lima Caucho 1001107-OT_210510  Reencauche 030-0041527 </v>
      </c>
      <c r="Z1634" s="19" t="str">
        <f>CONCATENATE(I1630,J1630)</f>
        <v>ReencaucheReencauchadora RENOVA</v>
      </c>
    </row>
    <row r="1635" spans="2:26" ht="15.2" customHeight="1">
      <c r="B1635" s="37"/>
      <c r="E1635" s="66">
        <v>9</v>
      </c>
      <c r="F1635" s="67" t="s">
        <v>732</v>
      </c>
      <c r="G1635" s="68" t="s">
        <v>831</v>
      </c>
      <c r="H1635" s="69" t="s">
        <v>1051</v>
      </c>
      <c r="I1635" s="68" t="s">
        <v>726</v>
      </c>
      <c r="J1635" s="70" t="s">
        <v>760</v>
      </c>
      <c r="K1635" s="71" t="s">
        <v>1050</v>
      </c>
      <c r="L1635" s="72">
        <v>42110</v>
      </c>
      <c r="M1635" s="73" t="s">
        <v>729</v>
      </c>
      <c r="N1635" s="74">
        <v>42130</v>
      </c>
      <c r="O1635" s="75">
        <v>42130</v>
      </c>
      <c r="P1635" s="2765" t="s">
        <v>1043</v>
      </c>
      <c r="Q1635" s="2954"/>
      <c r="R1635" s="76">
        <v>281.49</v>
      </c>
      <c r="S1635" s="1945" t="s">
        <v>731</v>
      </c>
      <c r="T1635" s="77"/>
      <c r="U1635" s="1893" t="s">
        <v>693</v>
      </c>
      <c r="V1635" s="2079">
        <f t="shared" ref="V1635:V1698" si="412">+Q1635*(1.18)</f>
        <v>0</v>
      </c>
      <c r="W1635" s="78">
        <f t="shared" ref="W1635:W1698" si="413">+R1635*(1.18)</f>
        <v>332.15819999999997</v>
      </c>
      <c r="X1635" s="1878" t="str">
        <f t="shared" si="411"/>
        <v xml:space="preserve">9.- C Kumho 310305-OT_210510  Reencauche 030-0040614 </v>
      </c>
      <c r="Z1635" s="19" t="str">
        <f>CONCATENATE(I1631,J1631)</f>
        <v>ReencaucheReencauchadora RENOVA</v>
      </c>
    </row>
    <row r="1636" spans="2:26" ht="15.2" customHeight="1">
      <c r="B1636" s="37"/>
      <c r="E1636" s="66">
        <v>10</v>
      </c>
      <c r="F1636" s="67" t="s">
        <v>732</v>
      </c>
      <c r="G1636" s="68" t="s">
        <v>733</v>
      </c>
      <c r="H1636" s="69" t="s">
        <v>1052</v>
      </c>
      <c r="I1636" s="68" t="s">
        <v>726</v>
      </c>
      <c r="J1636" s="70" t="s">
        <v>760</v>
      </c>
      <c r="K1636" s="71" t="s">
        <v>1042</v>
      </c>
      <c r="L1636" s="72">
        <v>42110</v>
      </c>
      <c r="M1636" s="73" t="s">
        <v>729</v>
      </c>
      <c r="N1636" s="74">
        <v>42130</v>
      </c>
      <c r="O1636" s="75">
        <f t="shared" ref="O1636:O1641" si="414">+N1636</f>
        <v>42130</v>
      </c>
      <c r="P1636" s="2765"/>
      <c r="Q1636" s="2954"/>
      <c r="R1636" s="76"/>
      <c r="S1636" s="1945" t="s">
        <v>731</v>
      </c>
      <c r="T1636" s="1875" t="s">
        <v>1053</v>
      </c>
      <c r="U1636" s="1920" t="s">
        <v>693</v>
      </c>
      <c r="V1636" s="2079">
        <f t="shared" si="412"/>
        <v>0</v>
      </c>
      <c r="W1636" s="78">
        <f t="shared" si="413"/>
        <v>0</v>
      </c>
      <c r="X1636" s="1878" t="str">
        <f t="shared" si="411"/>
        <v>10.- C Lima Caucho 0470608-OT_210509  Reencauche  Rechazada, Guia 030-0048049</v>
      </c>
      <c r="Z1636" s="19" t="str">
        <f t="shared" ref="Z1636:Z1678" si="415">CONCATENATE(I1639,J1639)</f>
        <v>ReencaucheReenc. MASTERCAUCHO</v>
      </c>
    </row>
    <row r="1637" spans="2:26" ht="15.2" customHeight="1">
      <c r="B1637" s="37"/>
      <c r="E1637" s="66">
        <v>11</v>
      </c>
      <c r="F1637" s="67" t="s">
        <v>732</v>
      </c>
      <c r="G1637" s="68" t="s">
        <v>757</v>
      </c>
      <c r="H1637" s="69" t="s">
        <v>1054</v>
      </c>
      <c r="I1637" s="68" t="s">
        <v>726</v>
      </c>
      <c r="J1637" s="70" t="s">
        <v>760</v>
      </c>
      <c r="K1637" s="71" t="s">
        <v>1042</v>
      </c>
      <c r="L1637" s="72">
        <v>42110</v>
      </c>
      <c r="M1637" s="73" t="s">
        <v>729</v>
      </c>
      <c r="N1637" s="74">
        <v>42130</v>
      </c>
      <c r="O1637" s="75">
        <f t="shared" si="414"/>
        <v>42130</v>
      </c>
      <c r="P1637" s="2765"/>
      <c r="Q1637" s="2954"/>
      <c r="R1637" s="76"/>
      <c r="S1637" s="1945" t="s">
        <v>731</v>
      </c>
      <c r="T1637" s="1875" t="s">
        <v>1053</v>
      </c>
      <c r="U1637" s="1920" t="s">
        <v>693</v>
      </c>
      <c r="V1637" s="2079">
        <f t="shared" si="412"/>
        <v>0</v>
      </c>
      <c r="W1637" s="78">
        <f t="shared" si="413"/>
        <v>0</v>
      </c>
      <c r="X1637" s="1878" t="str">
        <f t="shared" si="411"/>
        <v>11.- C Goodyear 0020102-OT_210509  Reencauche  Rechazada, Guia 030-0048049</v>
      </c>
      <c r="Z1637" s="19" t="str">
        <f t="shared" si="415"/>
        <v>ReencaucheReenc. MASTERCAUCHO</v>
      </c>
    </row>
    <row r="1638" spans="2:26" ht="15.2" customHeight="1">
      <c r="B1638" s="37"/>
      <c r="E1638" s="79">
        <v>12</v>
      </c>
      <c r="F1638" s="149" t="s">
        <v>732</v>
      </c>
      <c r="G1638" s="81" t="s">
        <v>733</v>
      </c>
      <c r="H1638" s="82" t="s">
        <v>1012</v>
      </c>
      <c r="I1638" s="81" t="s">
        <v>726</v>
      </c>
      <c r="J1638" s="83" t="s">
        <v>760</v>
      </c>
      <c r="K1638" s="84" t="s">
        <v>1042</v>
      </c>
      <c r="L1638" s="85">
        <v>42110</v>
      </c>
      <c r="M1638" s="86" t="s">
        <v>729</v>
      </c>
      <c r="N1638" s="87">
        <v>42130</v>
      </c>
      <c r="O1638" s="88">
        <f t="shared" si="414"/>
        <v>42130</v>
      </c>
      <c r="P1638" s="2766"/>
      <c r="Q1638" s="2955"/>
      <c r="R1638" s="89"/>
      <c r="S1638" s="1946" t="s">
        <v>731</v>
      </c>
      <c r="T1638" s="1875" t="s">
        <v>1053</v>
      </c>
      <c r="U1638" s="1920" t="s">
        <v>693</v>
      </c>
      <c r="V1638" s="2079">
        <f t="shared" si="412"/>
        <v>0</v>
      </c>
      <c r="W1638" s="78">
        <f t="shared" si="413"/>
        <v>0</v>
      </c>
      <c r="X1638" s="1878" t="str">
        <f t="shared" si="411"/>
        <v>12.- C Lima Caucho 0500708-OT_210509  Reencauche  Rechazada, Guia 030-0048049</v>
      </c>
      <c r="Z1638" s="19" t="str">
        <f t="shared" si="415"/>
        <v>Vulcanizado (curación)Reenc. MASTERCAUCHO</v>
      </c>
    </row>
    <row r="1639" spans="2:26" ht="15.2" customHeight="1">
      <c r="B1639" s="37"/>
      <c r="E1639" s="66">
        <v>1</v>
      </c>
      <c r="F1639" s="67" t="s">
        <v>732</v>
      </c>
      <c r="G1639" s="68" t="s">
        <v>757</v>
      </c>
      <c r="H1639" s="69" t="s">
        <v>1055</v>
      </c>
      <c r="I1639" s="68" t="s">
        <v>726</v>
      </c>
      <c r="J1639" s="70" t="s">
        <v>727</v>
      </c>
      <c r="K1639" s="71" t="s">
        <v>1056</v>
      </c>
      <c r="L1639" s="72">
        <v>42101</v>
      </c>
      <c r="M1639" s="73" t="s">
        <v>729</v>
      </c>
      <c r="N1639" s="74">
        <v>42110</v>
      </c>
      <c r="O1639" s="75">
        <f t="shared" si="414"/>
        <v>42110</v>
      </c>
      <c r="P1639" s="2765" t="s">
        <v>1057</v>
      </c>
      <c r="Q1639" s="2954"/>
      <c r="R1639" s="76">
        <v>254.24</v>
      </c>
      <c r="S1639" s="1945" t="s">
        <v>731</v>
      </c>
      <c r="T1639" s="77"/>
      <c r="U1639" s="1893" t="s">
        <v>693</v>
      </c>
      <c r="V1639" s="2079">
        <f t="shared" si="412"/>
        <v>0</v>
      </c>
      <c r="W1639" s="78">
        <f t="shared" si="413"/>
        <v>300.00319999999999</v>
      </c>
      <c r="X1639" s="1878" t="str">
        <f t="shared" si="411"/>
        <v xml:space="preserve">1.- C Goodyear 0330302-OT_000674  Reencauche 0001-002885 </v>
      </c>
      <c r="Z1639" s="19" t="str">
        <f t="shared" si="415"/>
        <v>ReencaucheReencauchadora RENOVA</v>
      </c>
    </row>
    <row r="1640" spans="2:26" ht="15.2" customHeight="1">
      <c r="B1640" s="37"/>
      <c r="E1640" s="66">
        <v>2</v>
      </c>
      <c r="F1640" s="67" t="s">
        <v>732</v>
      </c>
      <c r="G1640" s="68" t="s">
        <v>733</v>
      </c>
      <c r="H1640" s="69" t="s">
        <v>1058</v>
      </c>
      <c r="I1640" s="68" t="s">
        <v>726</v>
      </c>
      <c r="J1640" s="70" t="s">
        <v>727</v>
      </c>
      <c r="K1640" s="71" t="s">
        <v>1056</v>
      </c>
      <c r="L1640" s="72">
        <v>42101</v>
      </c>
      <c r="M1640" s="73" t="s">
        <v>729</v>
      </c>
      <c r="N1640" s="74">
        <v>42110</v>
      </c>
      <c r="O1640" s="75">
        <f t="shared" si="414"/>
        <v>42110</v>
      </c>
      <c r="P1640" s="2765" t="s">
        <v>1057</v>
      </c>
      <c r="Q1640" s="2954"/>
      <c r="R1640" s="76">
        <v>254.24</v>
      </c>
      <c r="S1640" s="1945" t="s">
        <v>731</v>
      </c>
      <c r="T1640" s="77"/>
      <c r="U1640" s="1893" t="s">
        <v>693</v>
      </c>
      <c r="V1640" s="2079">
        <f t="shared" si="412"/>
        <v>0</v>
      </c>
      <c r="W1640" s="78">
        <f t="shared" si="413"/>
        <v>300.00319999999999</v>
      </c>
      <c r="X1640" s="1878" t="str">
        <f t="shared" si="411"/>
        <v xml:space="preserve">2.- C Lima Caucho 050805208-OT_000674  Reencauche 0001-002885 </v>
      </c>
      <c r="Z1640" s="19" t="str">
        <f t="shared" si="415"/>
        <v>ReencaucheReencauchadora RENOVA</v>
      </c>
    </row>
    <row r="1641" spans="2:26" ht="15.2" customHeight="1">
      <c r="B1641" s="37"/>
      <c r="E1641" s="79">
        <v>3</v>
      </c>
      <c r="F1641" s="80" t="s">
        <v>732</v>
      </c>
      <c r="G1641" s="150" t="s">
        <v>733</v>
      </c>
      <c r="H1641" s="151" t="s">
        <v>1059</v>
      </c>
      <c r="I1641" s="150" t="s">
        <v>811</v>
      </c>
      <c r="J1641" s="152" t="s">
        <v>727</v>
      </c>
      <c r="K1641" s="84" t="s">
        <v>1056</v>
      </c>
      <c r="L1641" s="85">
        <v>42101</v>
      </c>
      <c r="M1641" s="86" t="s">
        <v>729</v>
      </c>
      <c r="N1641" s="87">
        <v>42110</v>
      </c>
      <c r="O1641" s="88">
        <f t="shared" si="414"/>
        <v>42110</v>
      </c>
      <c r="P1641" s="2766" t="s">
        <v>1057</v>
      </c>
      <c r="Q1641" s="2955"/>
      <c r="R1641" s="89">
        <v>105.93</v>
      </c>
      <c r="S1641" s="1946" t="s">
        <v>731</v>
      </c>
      <c r="T1641" s="77"/>
      <c r="U1641" s="1893" t="s">
        <v>693</v>
      </c>
      <c r="V1641" s="2079">
        <f t="shared" si="412"/>
        <v>0</v>
      </c>
      <c r="W1641" s="78">
        <f t="shared" si="413"/>
        <v>124.9974</v>
      </c>
      <c r="X1641" s="1878" t="str">
        <f t="shared" si="411"/>
        <v xml:space="preserve">3.- C Lima Caucho 0750910-OT_000674  Vulcanizado (curación) 0001-002885 </v>
      </c>
      <c r="Z1641" s="19" t="str">
        <f t="shared" si="415"/>
        <v>ReencaucheReencauchadora RENOVA</v>
      </c>
    </row>
    <row r="1642" spans="2:26" ht="15.2" customHeight="1">
      <c r="B1642" s="37"/>
      <c r="E1642" s="66">
        <v>1</v>
      </c>
      <c r="F1642" s="67" t="s">
        <v>732</v>
      </c>
      <c r="G1642" s="68" t="s">
        <v>737</v>
      </c>
      <c r="H1642" s="69" t="s">
        <v>1060</v>
      </c>
      <c r="I1642" s="68" t="s">
        <v>726</v>
      </c>
      <c r="J1642" s="70" t="s">
        <v>760</v>
      </c>
      <c r="K1642" s="71" t="s">
        <v>1061</v>
      </c>
      <c r="L1642" s="72">
        <v>42091</v>
      </c>
      <c r="M1642" s="73" t="s">
        <v>729</v>
      </c>
      <c r="N1642" s="74">
        <v>42098</v>
      </c>
      <c r="O1642" s="75">
        <v>42098</v>
      </c>
      <c r="P1642" s="2765" t="s">
        <v>1062</v>
      </c>
      <c r="Q1642" s="2954"/>
      <c r="R1642" s="76">
        <v>281.49</v>
      </c>
      <c r="S1642" s="1945" t="s">
        <v>731</v>
      </c>
      <c r="T1642" s="77"/>
      <c r="U1642" s="1893" t="s">
        <v>693</v>
      </c>
      <c r="V1642" s="2079">
        <f t="shared" si="412"/>
        <v>0</v>
      </c>
      <c r="W1642" s="78">
        <f t="shared" si="413"/>
        <v>332.15819999999997</v>
      </c>
      <c r="X1642" s="1878" t="str">
        <f t="shared" si="411"/>
        <v xml:space="preserve">1.- C Vikrant 0801009-OT_209279  Reencauche 030-0040007 </v>
      </c>
      <c r="Z1642" s="19" t="str">
        <f t="shared" si="415"/>
        <v>ReencaucheReencauchadora RENOVA</v>
      </c>
    </row>
    <row r="1643" spans="2:26" ht="15.2" customHeight="1">
      <c r="B1643" s="37"/>
      <c r="E1643" s="66">
        <v>2</v>
      </c>
      <c r="F1643" s="67" t="s">
        <v>732</v>
      </c>
      <c r="G1643" s="68" t="s">
        <v>737</v>
      </c>
      <c r="H1643" s="69" t="s">
        <v>1063</v>
      </c>
      <c r="I1643" s="68" t="s">
        <v>726</v>
      </c>
      <c r="J1643" s="70" t="s">
        <v>760</v>
      </c>
      <c r="K1643" s="71" t="s">
        <v>1061</v>
      </c>
      <c r="L1643" s="72">
        <v>42091</v>
      </c>
      <c r="M1643" s="73" t="s">
        <v>729</v>
      </c>
      <c r="N1643" s="74">
        <v>42098</v>
      </c>
      <c r="O1643" s="75">
        <v>42098</v>
      </c>
      <c r="P1643" s="2765" t="s">
        <v>1062</v>
      </c>
      <c r="Q1643" s="2954"/>
      <c r="R1643" s="76">
        <v>281.49</v>
      </c>
      <c r="S1643" s="1945" t="s">
        <v>731</v>
      </c>
      <c r="T1643" s="77"/>
      <c r="U1643" s="1893" t="s">
        <v>693</v>
      </c>
      <c r="V1643" s="2079">
        <f t="shared" si="412"/>
        <v>0</v>
      </c>
      <c r="W1643" s="78">
        <f t="shared" si="413"/>
        <v>332.15819999999997</v>
      </c>
      <c r="X1643" s="1878" t="str">
        <f t="shared" si="411"/>
        <v xml:space="preserve">2.- C Vikrant 0230211-OT_209279  Reencauche 030-0040007 </v>
      </c>
      <c r="Z1643" s="19" t="str">
        <f t="shared" si="415"/>
        <v>ReencaucheReencauchadora RENOVA</v>
      </c>
    </row>
    <row r="1644" spans="2:26" ht="15.2" customHeight="1">
      <c r="B1644" s="37"/>
      <c r="E1644" s="66">
        <v>3</v>
      </c>
      <c r="F1644" s="67" t="s">
        <v>732</v>
      </c>
      <c r="G1644" s="68" t="s">
        <v>733</v>
      </c>
      <c r="H1644" s="69" t="s">
        <v>1064</v>
      </c>
      <c r="I1644" s="68" t="s">
        <v>726</v>
      </c>
      <c r="J1644" s="70" t="s">
        <v>760</v>
      </c>
      <c r="K1644" s="71" t="s">
        <v>1065</v>
      </c>
      <c r="L1644" s="72">
        <v>42091</v>
      </c>
      <c r="M1644" s="73" t="s">
        <v>729</v>
      </c>
      <c r="N1644" s="74">
        <v>42098</v>
      </c>
      <c r="O1644" s="75">
        <f>+N1644</f>
        <v>42098</v>
      </c>
      <c r="P1644" s="2765" t="s">
        <v>1062</v>
      </c>
      <c r="Q1644" s="2954"/>
      <c r="R1644" s="76">
        <v>281.49</v>
      </c>
      <c r="S1644" s="1945" t="s">
        <v>731</v>
      </c>
      <c r="T1644" s="77"/>
      <c r="U1644" s="1893" t="s">
        <v>693</v>
      </c>
      <c r="V1644" s="2079">
        <f t="shared" si="412"/>
        <v>0</v>
      </c>
      <c r="W1644" s="78">
        <f t="shared" si="413"/>
        <v>332.15819999999997</v>
      </c>
      <c r="X1644" s="1878" t="str">
        <f t="shared" si="411"/>
        <v xml:space="preserve">3.- C Lima Caucho 0920908-OT_209278  Reencauche 030-0040007 </v>
      </c>
      <c r="Z1644" s="19" t="str">
        <f t="shared" si="415"/>
        <v>ReencaucheReencauchadora RENOVA</v>
      </c>
    </row>
    <row r="1645" spans="2:26" ht="15.2" customHeight="1">
      <c r="B1645" s="37"/>
      <c r="E1645" s="66">
        <v>4</v>
      </c>
      <c r="F1645" s="67" t="s">
        <v>732</v>
      </c>
      <c r="G1645" s="68" t="s">
        <v>737</v>
      </c>
      <c r="H1645" s="69" t="s">
        <v>1066</v>
      </c>
      <c r="I1645" s="68" t="s">
        <v>726</v>
      </c>
      <c r="J1645" s="70" t="s">
        <v>760</v>
      </c>
      <c r="K1645" s="71" t="s">
        <v>1065</v>
      </c>
      <c r="L1645" s="72">
        <v>42091</v>
      </c>
      <c r="M1645" s="73" t="s">
        <v>729</v>
      </c>
      <c r="N1645" s="74">
        <v>42098</v>
      </c>
      <c r="O1645" s="75">
        <v>42098</v>
      </c>
      <c r="P1645" s="2765" t="s">
        <v>1062</v>
      </c>
      <c r="Q1645" s="2954"/>
      <c r="R1645" s="76">
        <v>281.49</v>
      </c>
      <c r="S1645" s="1945" t="s">
        <v>731</v>
      </c>
      <c r="T1645" s="77"/>
      <c r="U1645" s="1893" t="s">
        <v>693</v>
      </c>
      <c r="V1645" s="2079">
        <f t="shared" si="412"/>
        <v>0</v>
      </c>
      <c r="W1645" s="78">
        <f t="shared" si="413"/>
        <v>332.15819999999997</v>
      </c>
      <c r="X1645" s="1878" t="str">
        <f t="shared" si="411"/>
        <v xml:space="preserve">4.- C Vikrant 0670809-OT_209278  Reencauche 030-0040007 </v>
      </c>
      <c r="Z1645" s="19" t="str">
        <f t="shared" si="415"/>
        <v>ReencaucheReencauchadora RENOVA</v>
      </c>
    </row>
    <row r="1646" spans="2:26" ht="15.2" customHeight="1">
      <c r="B1646" s="37"/>
      <c r="E1646" s="66">
        <v>5</v>
      </c>
      <c r="F1646" s="67" t="s">
        <v>732</v>
      </c>
      <c r="G1646" s="68" t="s">
        <v>778</v>
      </c>
      <c r="H1646" s="69" t="s">
        <v>1067</v>
      </c>
      <c r="I1646" s="68" t="s">
        <v>726</v>
      </c>
      <c r="J1646" s="70" t="s">
        <v>760</v>
      </c>
      <c r="K1646" s="71" t="s">
        <v>1065</v>
      </c>
      <c r="L1646" s="72">
        <v>42091</v>
      </c>
      <c r="M1646" s="73" t="s">
        <v>729</v>
      </c>
      <c r="N1646" s="74">
        <v>42098</v>
      </c>
      <c r="O1646" s="75">
        <v>42098</v>
      </c>
      <c r="P1646" s="2765" t="s">
        <v>1062</v>
      </c>
      <c r="Q1646" s="2954"/>
      <c r="R1646" s="76">
        <v>281.49</v>
      </c>
      <c r="S1646" s="1945" t="s">
        <v>731</v>
      </c>
      <c r="T1646" s="77"/>
      <c r="U1646" s="1893" t="s">
        <v>693</v>
      </c>
      <c r="V1646" s="2079">
        <f t="shared" si="412"/>
        <v>0</v>
      </c>
      <c r="W1646" s="78">
        <f t="shared" si="413"/>
        <v>332.15819999999997</v>
      </c>
      <c r="X1646" s="1878" t="str">
        <f t="shared" si="411"/>
        <v xml:space="preserve">5.- C Riverstone 1300904-OT_209278  Reencauche 030-0040007 </v>
      </c>
      <c r="Z1646" s="19" t="str">
        <f t="shared" si="415"/>
        <v>ReencaucheReencauchadora RENOVA</v>
      </c>
    </row>
    <row r="1647" spans="2:26" ht="15.2" customHeight="1">
      <c r="B1647" s="37"/>
      <c r="E1647" s="66">
        <v>6</v>
      </c>
      <c r="F1647" s="67" t="s">
        <v>732</v>
      </c>
      <c r="G1647" s="68" t="s">
        <v>737</v>
      </c>
      <c r="H1647" s="69" t="s">
        <v>1068</v>
      </c>
      <c r="I1647" s="68" t="s">
        <v>726</v>
      </c>
      <c r="J1647" s="70" t="s">
        <v>760</v>
      </c>
      <c r="K1647" s="71" t="s">
        <v>1065</v>
      </c>
      <c r="L1647" s="72">
        <v>42091</v>
      </c>
      <c r="M1647" s="73" t="s">
        <v>729</v>
      </c>
      <c r="N1647" s="74">
        <v>42098</v>
      </c>
      <c r="O1647" s="75">
        <v>42098</v>
      </c>
      <c r="P1647" s="2765" t="s">
        <v>1062</v>
      </c>
      <c r="Q1647" s="2954"/>
      <c r="R1647" s="76">
        <v>281.49</v>
      </c>
      <c r="S1647" s="1945" t="s">
        <v>731</v>
      </c>
      <c r="T1647" s="77"/>
      <c r="U1647" s="1893" t="s">
        <v>693</v>
      </c>
      <c r="V1647" s="2079">
        <f t="shared" si="412"/>
        <v>0</v>
      </c>
      <c r="W1647" s="78">
        <f t="shared" si="413"/>
        <v>332.15819999999997</v>
      </c>
      <c r="X1647" s="1878" t="str">
        <f t="shared" si="411"/>
        <v xml:space="preserve">6.- C Vikrant 010022010-OT_209278  Reencauche 030-0040007 </v>
      </c>
      <c r="Z1647" s="19" t="str">
        <f t="shared" si="415"/>
        <v>ReencaucheReencauchadora RENOVA</v>
      </c>
    </row>
    <row r="1648" spans="2:26" ht="15.2" customHeight="1">
      <c r="B1648" s="37"/>
      <c r="E1648" s="66">
        <v>7</v>
      </c>
      <c r="F1648" s="67" t="s">
        <v>732</v>
      </c>
      <c r="G1648" s="68" t="s">
        <v>733</v>
      </c>
      <c r="H1648" s="69" t="s">
        <v>1069</v>
      </c>
      <c r="I1648" s="68" t="s">
        <v>726</v>
      </c>
      <c r="J1648" s="70" t="s">
        <v>760</v>
      </c>
      <c r="K1648" s="71" t="s">
        <v>1065</v>
      </c>
      <c r="L1648" s="72">
        <v>42091</v>
      </c>
      <c r="M1648" s="73" t="s">
        <v>729</v>
      </c>
      <c r="N1648" s="74">
        <v>42098</v>
      </c>
      <c r="O1648" s="75">
        <v>42098</v>
      </c>
      <c r="P1648" s="2765" t="s">
        <v>1062</v>
      </c>
      <c r="Q1648" s="2954"/>
      <c r="R1648" s="76">
        <v>281.49</v>
      </c>
      <c r="S1648" s="1945" t="s">
        <v>731</v>
      </c>
      <c r="T1648" s="77"/>
      <c r="U1648" s="1893" t="s">
        <v>693</v>
      </c>
      <c r="V1648" s="2079">
        <f t="shared" si="412"/>
        <v>0</v>
      </c>
      <c r="W1648" s="78">
        <f t="shared" si="413"/>
        <v>332.15819999999997</v>
      </c>
      <c r="X1648" s="1878" t="str">
        <f t="shared" si="411"/>
        <v xml:space="preserve">7.- C Lima Caucho 1131210-OT_209278  Reencauche 030-0040007 </v>
      </c>
      <c r="Z1648" s="19" t="str">
        <f t="shared" si="415"/>
        <v>ReencaucheReencauchadora RENOVA</v>
      </c>
    </row>
    <row r="1649" spans="2:26" ht="15.2" customHeight="1">
      <c r="B1649" s="37"/>
      <c r="E1649" s="66">
        <v>8</v>
      </c>
      <c r="F1649" s="67" t="s">
        <v>732</v>
      </c>
      <c r="G1649" s="68" t="s">
        <v>757</v>
      </c>
      <c r="H1649" s="69" t="s">
        <v>1070</v>
      </c>
      <c r="I1649" s="68" t="s">
        <v>726</v>
      </c>
      <c r="J1649" s="70" t="s">
        <v>760</v>
      </c>
      <c r="K1649" s="71" t="s">
        <v>1065</v>
      </c>
      <c r="L1649" s="72">
        <v>42091</v>
      </c>
      <c r="M1649" s="73" t="s">
        <v>729</v>
      </c>
      <c r="N1649" s="74">
        <v>42098</v>
      </c>
      <c r="O1649" s="75">
        <v>42098</v>
      </c>
      <c r="P1649" s="2765" t="s">
        <v>1062</v>
      </c>
      <c r="Q1649" s="2954"/>
      <c r="R1649" s="76">
        <v>281.49</v>
      </c>
      <c r="S1649" s="1945" t="s">
        <v>731</v>
      </c>
      <c r="T1649" s="77"/>
      <c r="U1649" s="1893" t="s">
        <v>693</v>
      </c>
      <c r="V1649" s="2079">
        <f t="shared" si="412"/>
        <v>0</v>
      </c>
      <c r="W1649" s="78">
        <f t="shared" si="413"/>
        <v>332.15819999999997</v>
      </c>
      <c r="X1649" s="1878" t="str">
        <f t="shared" si="411"/>
        <v xml:space="preserve">8.- C Goodyear 0700404-OT_209278  Reencauche 030-0040007 </v>
      </c>
      <c r="Z1649" s="19" t="str">
        <f t="shared" si="415"/>
        <v>ReencaucheReencauchadora RENOVA</v>
      </c>
    </row>
    <row r="1650" spans="2:26" ht="15.2" customHeight="1">
      <c r="B1650" s="37"/>
      <c r="E1650" s="66">
        <v>9</v>
      </c>
      <c r="F1650" s="67" t="s">
        <v>732</v>
      </c>
      <c r="G1650" s="68" t="s">
        <v>814</v>
      </c>
      <c r="H1650" s="69" t="s">
        <v>1071</v>
      </c>
      <c r="I1650" s="68" t="s">
        <v>726</v>
      </c>
      <c r="J1650" s="70" t="s">
        <v>760</v>
      </c>
      <c r="K1650" s="71" t="s">
        <v>1065</v>
      </c>
      <c r="L1650" s="72">
        <v>42091</v>
      </c>
      <c r="M1650" s="73" t="s">
        <v>729</v>
      </c>
      <c r="N1650" s="74">
        <v>42098</v>
      </c>
      <c r="O1650" s="75">
        <v>42098</v>
      </c>
      <c r="P1650" s="2765" t="s">
        <v>1062</v>
      </c>
      <c r="Q1650" s="2954"/>
      <c r="R1650" s="76">
        <v>281.49</v>
      </c>
      <c r="S1650" s="1945" t="s">
        <v>731</v>
      </c>
      <c r="T1650" s="77"/>
      <c r="U1650" s="1893" t="s">
        <v>693</v>
      </c>
      <c r="V1650" s="2079">
        <f t="shared" si="412"/>
        <v>0</v>
      </c>
      <c r="W1650" s="78">
        <f t="shared" si="413"/>
        <v>332.15819999999997</v>
      </c>
      <c r="X1650" s="1878" t="str">
        <f t="shared" si="411"/>
        <v xml:space="preserve">9.- C Birla 0540706-OT_209278  Reencauche 030-0040007 </v>
      </c>
      <c r="Z1650" s="19" t="str">
        <f t="shared" si="415"/>
        <v>ReencaucheReencauchadora RENOVA</v>
      </c>
    </row>
    <row r="1651" spans="2:26" ht="15.2" customHeight="1">
      <c r="B1651" s="37"/>
      <c r="E1651" s="66">
        <v>10</v>
      </c>
      <c r="F1651" s="67" t="s">
        <v>732</v>
      </c>
      <c r="G1651" s="68" t="s">
        <v>757</v>
      </c>
      <c r="H1651" s="69" t="s">
        <v>1055</v>
      </c>
      <c r="I1651" s="68" t="s">
        <v>726</v>
      </c>
      <c r="J1651" s="70" t="s">
        <v>760</v>
      </c>
      <c r="K1651" s="71" t="s">
        <v>1065</v>
      </c>
      <c r="L1651" s="72">
        <v>42091</v>
      </c>
      <c r="M1651" s="73" t="s">
        <v>729</v>
      </c>
      <c r="N1651" s="74">
        <v>42098</v>
      </c>
      <c r="O1651" s="75">
        <v>42098</v>
      </c>
      <c r="P1651" s="2765"/>
      <c r="Q1651" s="2954"/>
      <c r="R1651" s="76">
        <v>0</v>
      </c>
      <c r="S1651" s="1945" t="s">
        <v>731</v>
      </c>
      <c r="T1651" s="1875" t="s">
        <v>1072</v>
      </c>
      <c r="U1651" s="1920" t="s">
        <v>693</v>
      </c>
      <c r="V1651" s="2079">
        <f t="shared" si="412"/>
        <v>0</v>
      </c>
      <c r="W1651" s="78">
        <f t="shared" si="413"/>
        <v>0</v>
      </c>
      <c r="X1651" s="1878" t="str">
        <f t="shared" si="411"/>
        <v>10.- C Goodyear 0330302-OT_209278  Reencauche  Rechazada, Guia 030-0047146</v>
      </c>
      <c r="Z1651" s="19" t="str">
        <f t="shared" si="415"/>
        <v>ReencaucheReenc. MASTERCAUCHO</v>
      </c>
    </row>
    <row r="1652" spans="2:26" ht="15.2" customHeight="1">
      <c r="B1652" s="37"/>
      <c r="E1652" s="66">
        <v>11</v>
      </c>
      <c r="F1652" s="67" t="s">
        <v>732</v>
      </c>
      <c r="G1652" s="68" t="s">
        <v>733</v>
      </c>
      <c r="H1652" s="69" t="s">
        <v>1058</v>
      </c>
      <c r="I1652" s="68" t="s">
        <v>726</v>
      </c>
      <c r="J1652" s="70" t="s">
        <v>760</v>
      </c>
      <c r="K1652" s="71" t="s">
        <v>1065</v>
      </c>
      <c r="L1652" s="72">
        <v>42091</v>
      </c>
      <c r="M1652" s="100" t="s">
        <v>729</v>
      </c>
      <c r="N1652" s="153">
        <v>42098</v>
      </c>
      <c r="O1652" s="154">
        <v>42098</v>
      </c>
      <c r="P1652" s="344"/>
      <c r="Q1652" s="2959"/>
      <c r="R1652" s="103">
        <v>0</v>
      </c>
      <c r="S1652" s="1945" t="s">
        <v>731</v>
      </c>
      <c r="T1652" s="1875" t="s">
        <v>1072</v>
      </c>
      <c r="U1652" s="1920" t="s">
        <v>693</v>
      </c>
      <c r="V1652" s="2079">
        <f t="shared" si="412"/>
        <v>0</v>
      </c>
      <c r="W1652" s="78">
        <f t="shared" si="413"/>
        <v>0</v>
      </c>
      <c r="X1652" s="1878" t="str">
        <f t="shared" si="411"/>
        <v>11.- C Lima Caucho 050805208-OT_209278  Reencauche  Rechazada, Guia 030-0047146</v>
      </c>
      <c r="Z1652" s="19" t="str">
        <f t="shared" si="415"/>
        <v>ReencaucheReenc. MASTERCAUCHO</v>
      </c>
    </row>
    <row r="1653" spans="2:26" ht="15.2" customHeight="1">
      <c r="B1653" s="37"/>
      <c r="E1653" s="79">
        <v>12</v>
      </c>
      <c r="F1653" s="80" t="s">
        <v>732</v>
      </c>
      <c r="G1653" s="81" t="s">
        <v>737</v>
      </c>
      <c r="H1653" s="82" t="s">
        <v>916</v>
      </c>
      <c r="I1653" s="81" t="s">
        <v>726</v>
      </c>
      <c r="J1653" s="83" t="s">
        <v>760</v>
      </c>
      <c r="K1653" s="84" t="s">
        <v>1065</v>
      </c>
      <c r="L1653" s="143">
        <v>42091</v>
      </c>
      <c r="M1653" s="116" t="s">
        <v>729</v>
      </c>
      <c r="N1653" s="117">
        <v>42130</v>
      </c>
      <c r="O1653" s="118">
        <v>42130</v>
      </c>
      <c r="P1653" s="2779" t="s">
        <v>1043</v>
      </c>
      <c r="Q1653" s="2968"/>
      <c r="R1653" s="119">
        <v>281.49</v>
      </c>
      <c r="S1653" s="1949" t="s">
        <v>731</v>
      </c>
      <c r="T1653" s="77"/>
      <c r="U1653" s="1893" t="s">
        <v>693</v>
      </c>
      <c r="V1653" s="2079">
        <f t="shared" si="412"/>
        <v>0</v>
      </c>
      <c r="W1653" s="78">
        <f t="shared" si="413"/>
        <v>332.15819999999997</v>
      </c>
      <c r="X1653" s="1878" t="str">
        <f t="shared" si="411"/>
        <v xml:space="preserve">12.- C Vikrant 0821007-OT_209278  Reencauche 030-0040614 </v>
      </c>
      <c r="Z1653" s="19" t="str">
        <f t="shared" si="415"/>
        <v>Transpl BandaReenc. MASTERCAUCHO</v>
      </c>
    </row>
    <row r="1654" spans="2:26" ht="15.2" customHeight="1">
      <c r="B1654" s="37"/>
      <c r="E1654" s="66">
        <v>1</v>
      </c>
      <c r="F1654" s="67" t="s">
        <v>732</v>
      </c>
      <c r="G1654" s="68" t="s">
        <v>733</v>
      </c>
      <c r="H1654" s="69" t="s">
        <v>1073</v>
      </c>
      <c r="I1654" s="68" t="s">
        <v>726</v>
      </c>
      <c r="J1654" s="70" t="s">
        <v>727</v>
      </c>
      <c r="K1654" s="71" t="s">
        <v>1074</v>
      </c>
      <c r="L1654" s="72">
        <v>42079</v>
      </c>
      <c r="M1654" s="73" t="s">
        <v>729</v>
      </c>
      <c r="N1654" s="74">
        <v>42088</v>
      </c>
      <c r="O1654" s="75">
        <f t="shared" ref="O1654:O1660" si="416">+N1654</f>
        <v>42088</v>
      </c>
      <c r="P1654" s="2765" t="s">
        <v>1075</v>
      </c>
      <c r="Q1654" s="2954"/>
      <c r="R1654" s="76">
        <v>254.24</v>
      </c>
      <c r="S1654" s="1945" t="s">
        <v>731</v>
      </c>
      <c r="T1654" s="77"/>
      <c r="U1654" s="1893" t="s">
        <v>693</v>
      </c>
      <c r="V1654" s="2079">
        <f t="shared" si="412"/>
        <v>0</v>
      </c>
      <c r="W1654" s="78">
        <f t="shared" si="413"/>
        <v>300.00319999999999</v>
      </c>
      <c r="X1654" s="1878" t="str">
        <f t="shared" si="411"/>
        <v xml:space="preserve">1.- C Lima Caucho 0220108-OT_000472  Reencauche 0001-002735 </v>
      </c>
      <c r="Z1654" s="19" t="str">
        <f t="shared" si="415"/>
        <v>ReencaucheReenc. MASTERCAUCHO</v>
      </c>
    </row>
    <row r="1655" spans="2:26" ht="15.2" customHeight="1">
      <c r="B1655" s="37"/>
      <c r="E1655" s="66">
        <v>2</v>
      </c>
      <c r="F1655" s="67" t="s">
        <v>732</v>
      </c>
      <c r="G1655" s="68" t="s">
        <v>733</v>
      </c>
      <c r="H1655" s="69" t="s">
        <v>1076</v>
      </c>
      <c r="I1655" s="68" t="s">
        <v>726</v>
      </c>
      <c r="J1655" s="70" t="s">
        <v>727</v>
      </c>
      <c r="K1655" s="71" t="s">
        <v>1074</v>
      </c>
      <c r="L1655" s="72">
        <v>42079</v>
      </c>
      <c r="M1655" s="73" t="s">
        <v>729</v>
      </c>
      <c r="N1655" s="74">
        <v>42088</v>
      </c>
      <c r="O1655" s="75">
        <f t="shared" si="416"/>
        <v>42088</v>
      </c>
      <c r="P1655" s="2765" t="s">
        <v>1075</v>
      </c>
      <c r="Q1655" s="2954"/>
      <c r="R1655" s="76">
        <v>254.24</v>
      </c>
      <c r="S1655" s="1945" t="s">
        <v>731</v>
      </c>
      <c r="T1655" s="77"/>
      <c r="U1655" s="1893" t="s">
        <v>693</v>
      </c>
      <c r="V1655" s="2079">
        <f t="shared" si="412"/>
        <v>0</v>
      </c>
      <c r="W1655" s="78">
        <f t="shared" si="413"/>
        <v>300.00319999999999</v>
      </c>
      <c r="X1655" s="1878" t="str">
        <f t="shared" si="411"/>
        <v xml:space="preserve">2.- C Lima Caucho 0861010-OT_000472  Reencauche 0001-002735 </v>
      </c>
      <c r="Z1655" s="19" t="str">
        <f t="shared" si="415"/>
        <v>ReencaucheReenc. MASTERCAUCHO</v>
      </c>
    </row>
    <row r="1656" spans="2:26" ht="15.2" customHeight="1">
      <c r="B1656" s="37"/>
      <c r="E1656" s="79">
        <v>3</v>
      </c>
      <c r="F1656" s="80" t="s">
        <v>732</v>
      </c>
      <c r="G1656" s="81" t="s">
        <v>733</v>
      </c>
      <c r="H1656" s="82" t="s">
        <v>1026</v>
      </c>
      <c r="I1656" s="81" t="s">
        <v>740</v>
      </c>
      <c r="J1656" s="83" t="s">
        <v>727</v>
      </c>
      <c r="K1656" s="84" t="s">
        <v>1074</v>
      </c>
      <c r="L1656" s="85">
        <v>42079</v>
      </c>
      <c r="M1656" s="86" t="s">
        <v>729</v>
      </c>
      <c r="N1656" s="87">
        <v>42088</v>
      </c>
      <c r="O1656" s="88">
        <f t="shared" si="416"/>
        <v>42088</v>
      </c>
      <c r="P1656" s="2766" t="s">
        <v>1075</v>
      </c>
      <c r="Q1656" s="2955"/>
      <c r="R1656" s="89">
        <v>127.12</v>
      </c>
      <c r="S1656" s="1946" t="s">
        <v>731</v>
      </c>
      <c r="T1656" s="77"/>
      <c r="U1656" s="1893" t="s">
        <v>693</v>
      </c>
      <c r="V1656" s="2079">
        <f t="shared" si="412"/>
        <v>0</v>
      </c>
      <c r="W1656" s="78">
        <f t="shared" si="413"/>
        <v>150.0016</v>
      </c>
      <c r="X1656" s="1878" t="str">
        <f t="shared" si="411"/>
        <v xml:space="preserve">3.- C Lima Caucho 0250508-OT_000472  Transpl Banda 0001-002735 </v>
      </c>
      <c r="Z1656" s="19" t="str">
        <f t="shared" si="415"/>
        <v>Transpl BandaReenc. MASTERCAUCHO</v>
      </c>
    </row>
    <row r="1657" spans="2:26" ht="15.2" customHeight="1">
      <c r="B1657" s="37"/>
      <c r="E1657" s="66">
        <v>1</v>
      </c>
      <c r="F1657" s="67" t="s">
        <v>732</v>
      </c>
      <c r="G1657" s="68" t="s">
        <v>737</v>
      </c>
      <c r="H1657" s="69" t="s">
        <v>1077</v>
      </c>
      <c r="I1657" s="68" t="s">
        <v>726</v>
      </c>
      <c r="J1657" s="70" t="s">
        <v>727</v>
      </c>
      <c r="K1657" s="71" t="s">
        <v>1078</v>
      </c>
      <c r="L1657" s="72">
        <v>42075</v>
      </c>
      <c r="M1657" s="73" t="s">
        <v>729</v>
      </c>
      <c r="N1657" s="74">
        <v>42081</v>
      </c>
      <c r="O1657" s="75">
        <f t="shared" si="416"/>
        <v>42081</v>
      </c>
      <c r="P1657" s="2765" t="s">
        <v>1079</v>
      </c>
      <c r="Q1657" s="2954"/>
      <c r="R1657" s="76">
        <v>254.24</v>
      </c>
      <c r="S1657" s="1945" t="s">
        <v>731</v>
      </c>
      <c r="U1657" s="1912" t="s">
        <v>693</v>
      </c>
      <c r="V1657" s="2079">
        <f t="shared" si="412"/>
        <v>0</v>
      </c>
      <c r="W1657" s="78">
        <f t="shared" si="413"/>
        <v>300.00319999999999</v>
      </c>
      <c r="X1657" s="1878" t="str">
        <f t="shared" si="411"/>
        <v xml:space="preserve">1.- C Vikrant 0360410-OT_000470  Reencauche 0001-002685 </v>
      </c>
      <c r="Z1657" s="19" t="str">
        <f t="shared" si="415"/>
        <v>Sacar_BandaReenc. MASTERCAUCHO</v>
      </c>
    </row>
    <row r="1658" spans="2:26" ht="15.2" customHeight="1">
      <c r="B1658" s="37"/>
      <c r="E1658" s="66">
        <v>2</v>
      </c>
      <c r="F1658" s="67" t="s">
        <v>732</v>
      </c>
      <c r="G1658" s="68" t="s">
        <v>757</v>
      </c>
      <c r="H1658" s="69" t="s">
        <v>1080</v>
      </c>
      <c r="I1658" s="68" t="s">
        <v>726</v>
      </c>
      <c r="J1658" s="70" t="s">
        <v>727</v>
      </c>
      <c r="K1658" s="71" t="s">
        <v>1078</v>
      </c>
      <c r="L1658" s="72">
        <v>42075</v>
      </c>
      <c r="M1658" s="73" t="s">
        <v>729</v>
      </c>
      <c r="N1658" s="74">
        <v>42081</v>
      </c>
      <c r="O1658" s="75">
        <f t="shared" si="416"/>
        <v>42081</v>
      </c>
      <c r="P1658" s="2765" t="s">
        <v>1079</v>
      </c>
      <c r="Q1658" s="2954"/>
      <c r="R1658" s="76">
        <v>254.24</v>
      </c>
      <c r="S1658" s="1945" t="s">
        <v>731</v>
      </c>
      <c r="T1658" s="77"/>
      <c r="U1658" s="1893" t="s">
        <v>693</v>
      </c>
      <c r="V1658" s="2079">
        <f t="shared" si="412"/>
        <v>0</v>
      </c>
      <c r="W1658" s="78">
        <f t="shared" si="413"/>
        <v>300.00319999999999</v>
      </c>
      <c r="X1658" s="1878" t="str">
        <f t="shared" si="411"/>
        <v xml:space="preserve">2.- C Goodyear 1180704-OT_000470  Reencauche 0001-002685 </v>
      </c>
      <c r="Z1658" s="19" t="str">
        <f t="shared" si="415"/>
        <v>ReencaucheReencauchadora RENOVA</v>
      </c>
    </row>
    <row r="1659" spans="2:26" ht="15.2" customHeight="1">
      <c r="B1659" s="37"/>
      <c r="E1659" s="66">
        <v>3</v>
      </c>
      <c r="F1659" s="67" t="s">
        <v>732</v>
      </c>
      <c r="G1659" s="90" t="s">
        <v>737</v>
      </c>
      <c r="H1659" s="91" t="s">
        <v>1081</v>
      </c>
      <c r="I1659" s="90" t="s">
        <v>740</v>
      </c>
      <c r="J1659" s="92" t="s">
        <v>727</v>
      </c>
      <c r="K1659" s="71" t="s">
        <v>1078</v>
      </c>
      <c r="L1659" s="72">
        <v>42075</v>
      </c>
      <c r="M1659" s="73" t="s">
        <v>729</v>
      </c>
      <c r="N1659" s="74">
        <v>42081</v>
      </c>
      <c r="O1659" s="75">
        <f t="shared" si="416"/>
        <v>42081</v>
      </c>
      <c r="P1659" s="2765"/>
      <c r="Q1659" s="2954"/>
      <c r="R1659" s="76">
        <v>0</v>
      </c>
      <c r="S1659" s="1945" t="s">
        <v>731</v>
      </c>
      <c r="T1659" s="1875" t="s">
        <v>1082</v>
      </c>
      <c r="U1659" s="1920" t="s">
        <v>693</v>
      </c>
      <c r="V1659" s="2079">
        <f t="shared" si="412"/>
        <v>0</v>
      </c>
      <c r="W1659" s="78">
        <f t="shared" si="413"/>
        <v>0</v>
      </c>
      <c r="X1659" s="1878" t="str">
        <f t="shared" si="411"/>
        <v>3.- C Vikrant 0941206-OT_000470  Transpl Banda  Rechazada, F 0001-002685</v>
      </c>
      <c r="Z1659" s="19" t="str">
        <f t="shared" si="415"/>
        <v>ReencaucheReencauchadora RENOVA</v>
      </c>
    </row>
    <row r="1660" spans="2:26" ht="15.2" customHeight="1">
      <c r="B1660" s="37"/>
      <c r="E1660" s="79">
        <v>4</v>
      </c>
      <c r="F1660" s="80" t="s">
        <v>732</v>
      </c>
      <c r="G1660" s="155" t="s">
        <v>733</v>
      </c>
      <c r="H1660" s="156" t="s">
        <v>1083</v>
      </c>
      <c r="I1660" s="155" t="s">
        <v>744</v>
      </c>
      <c r="J1660" s="93" t="s">
        <v>727</v>
      </c>
      <c r="K1660" s="84" t="s">
        <v>1078</v>
      </c>
      <c r="L1660" s="85">
        <v>42075</v>
      </c>
      <c r="M1660" s="86" t="s">
        <v>729</v>
      </c>
      <c r="N1660" s="87">
        <v>42088</v>
      </c>
      <c r="O1660" s="88">
        <f t="shared" si="416"/>
        <v>42088</v>
      </c>
      <c r="P1660" s="2766"/>
      <c r="Q1660" s="2955"/>
      <c r="R1660" s="89">
        <v>0</v>
      </c>
      <c r="S1660" s="1946" t="s">
        <v>731</v>
      </c>
      <c r="T1660" s="77"/>
      <c r="U1660" s="1893" t="s">
        <v>693</v>
      </c>
      <c r="V1660" s="2079">
        <f t="shared" si="412"/>
        <v>0</v>
      </c>
      <c r="W1660" s="78">
        <f t="shared" si="413"/>
        <v>0</v>
      </c>
      <c r="X1660" s="1878" t="str">
        <f t="shared" si="411"/>
        <v xml:space="preserve">4.- C Lima Caucho 1271207-OT_000470  Sacar_Banda  </v>
      </c>
      <c r="Z1660" s="19" t="str">
        <f t="shared" si="415"/>
        <v>ReencaucheReencauchadora RENOVA</v>
      </c>
    </row>
    <row r="1661" spans="2:26" ht="15.2" customHeight="1">
      <c r="B1661" s="37"/>
      <c r="E1661" s="66">
        <v>1</v>
      </c>
      <c r="F1661" s="67" t="s">
        <v>732</v>
      </c>
      <c r="G1661" s="68" t="s">
        <v>737</v>
      </c>
      <c r="H1661" s="69" t="s">
        <v>1084</v>
      </c>
      <c r="I1661" s="68" t="s">
        <v>726</v>
      </c>
      <c r="J1661" s="70" t="s">
        <v>760</v>
      </c>
      <c r="K1661" s="71" t="s">
        <v>1085</v>
      </c>
      <c r="L1661" s="148">
        <v>42072</v>
      </c>
      <c r="M1661" s="157" t="s">
        <v>729</v>
      </c>
      <c r="N1661" s="158">
        <v>42098</v>
      </c>
      <c r="O1661" s="159">
        <v>42098</v>
      </c>
      <c r="P1661" s="2781" t="s">
        <v>1062</v>
      </c>
      <c r="Q1661" s="2970"/>
      <c r="R1661" s="160">
        <v>281.49</v>
      </c>
      <c r="S1661" s="1950" t="s">
        <v>731</v>
      </c>
      <c r="T1661" s="77"/>
      <c r="U1661" s="1893" t="s">
        <v>693</v>
      </c>
      <c r="V1661" s="2079">
        <f t="shared" si="412"/>
        <v>0</v>
      </c>
      <c r="W1661" s="78">
        <f t="shared" si="413"/>
        <v>332.15819999999997</v>
      </c>
      <c r="X1661" s="1878" t="str">
        <f t="shared" si="411"/>
        <v xml:space="preserve">1.- C Vikrant 0480411-OT_209767  Reencauche 030-0040007 </v>
      </c>
      <c r="Z1661" s="19" t="str">
        <f t="shared" si="415"/>
        <v>ReencaucheReencauchadora RENOVA</v>
      </c>
    </row>
    <row r="1662" spans="2:26" ht="15.2" customHeight="1">
      <c r="B1662" s="37"/>
      <c r="E1662" s="66">
        <v>2</v>
      </c>
      <c r="F1662" s="67" t="s">
        <v>732</v>
      </c>
      <c r="G1662" s="68" t="s">
        <v>733</v>
      </c>
      <c r="H1662" s="69" t="s">
        <v>799</v>
      </c>
      <c r="I1662" s="68" t="s">
        <v>726</v>
      </c>
      <c r="J1662" s="70" t="s">
        <v>760</v>
      </c>
      <c r="K1662" s="71" t="s">
        <v>1085</v>
      </c>
      <c r="L1662" s="148">
        <v>42072</v>
      </c>
      <c r="M1662" s="157" t="s">
        <v>729</v>
      </c>
      <c r="N1662" s="158">
        <v>42098</v>
      </c>
      <c r="O1662" s="159">
        <v>42098</v>
      </c>
      <c r="P1662" s="2781" t="s">
        <v>1062</v>
      </c>
      <c r="Q1662" s="2970"/>
      <c r="R1662" s="160">
        <v>281.49</v>
      </c>
      <c r="S1662" s="1950" t="s">
        <v>731</v>
      </c>
      <c r="T1662" s="77"/>
      <c r="U1662" s="1893" t="s">
        <v>693</v>
      </c>
      <c r="V1662" s="2079">
        <f t="shared" si="412"/>
        <v>0</v>
      </c>
      <c r="W1662" s="78">
        <f t="shared" si="413"/>
        <v>332.15819999999997</v>
      </c>
      <c r="X1662" s="1878" t="str">
        <f t="shared" si="411"/>
        <v xml:space="preserve">2.- C Lima Caucho 0740908-OT_209767  Reencauche 030-0040007 </v>
      </c>
      <c r="Z1662" s="19" t="str">
        <f t="shared" si="415"/>
        <v>ReencaucheReencauchadora RENOVA</v>
      </c>
    </row>
    <row r="1663" spans="2:26" ht="15.2" customHeight="1">
      <c r="B1663" s="37"/>
      <c r="E1663" s="66">
        <v>3</v>
      </c>
      <c r="F1663" s="67" t="s">
        <v>732</v>
      </c>
      <c r="G1663" s="68" t="s">
        <v>733</v>
      </c>
      <c r="H1663" s="69" t="s">
        <v>888</v>
      </c>
      <c r="I1663" s="68" t="s">
        <v>726</v>
      </c>
      <c r="J1663" s="70" t="s">
        <v>760</v>
      </c>
      <c r="K1663" s="71" t="s">
        <v>1086</v>
      </c>
      <c r="L1663" s="72">
        <v>42072</v>
      </c>
      <c r="M1663" s="73" t="s">
        <v>729</v>
      </c>
      <c r="N1663" s="74">
        <v>42077</v>
      </c>
      <c r="O1663" s="75">
        <f>+N1663</f>
        <v>42077</v>
      </c>
      <c r="P1663" s="2765" t="s">
        <v>1087</v>
      </c>
      <c r="Q1663" s="2954"/>
      <c r="R1663" s="76">
        <v>281.49</v>
      </c>
      <c r="S1663" s="1945" t="s">
        <v>731</v>
      </c>
      <c r="T1663" s="77"/>
      <c r="U1663" s="1893" t="s">
        <v>693</v>
      </c>
      <c r="V1663" s="2079">
        <f t="shared" si="412"/>
        <v>0</v>
      </c>
      <c r="W1663" s="78">
        <f t="shared" si="413"/>
        <v>332.15819999999997</v>
      </c>
      <c r="X1663" s="1878" t="str">
        <f t="shared" si="411"/>
        <v xml:space="preserve">3.- C Lima Caucho 0780908-OT_209768  Reencauche 030-0039705 </v>
      </c>
      <c r="Z1663" s="19" t="str">
        <f t="shared" si="415"/>
        <v>ReencaucheReencauchadora RENOVA</v>
      </c>
    </row>
    <row r="1664" spans="2:26" ht="15.2" customHeight="1">
      <c r="B1664" s="37"/>
      <c r="E1664" s="66">
        <v>4</v>
      </c>
      <c r="F1664" s="67" t="s">
        <v>732</v>
      </c>
      <c r="G1664" s="68" t="s">
        <v>737</v>
      </c>
      <c r="H1664" s="69" t="s">
        <v>1088</v>
      </c>
      <c r="I1664" s="68" t="s">
        <v>726</v>
      </c>
      <c r="J1664" s="70" t="s">
        <v>760</v>
      </c>
      <c r="K1664" s="71" t="s">
        <v>1085</v>
      </c>
      <c r="L1664" s="72">
        <v>42072</v>
      </c>
      <c r="M1664" s="73" t="s">
        <v>729</v>
      </c>
      <c r="N1664" s="74">
        <v>42077</v>
      </c>
      <c r="O1664" s="75">
        <f>+N1664</f>
        <v>42077</v>
      </c>
      <c r="P1664" s="2765" t="s">
        <v>1087</v>
      </c>
      <c r="Q1664" s="2954"/>
      <c r="R1664" s="76">
        <v>281.49</v>
      </c>
      <c r="S1664" s="1945" t="s">
        <v>731</v>
      </c>
      <c r="T1664" s="77"/>
      <c r="U1664" s="1893" t="s">
        <v>693</v>
      </c>
      <c r="V1664" s="2079">
        <f t="shared" si="412"/>
        <v>0</v>
      </c>
      <c r="W1664" s="78">
        <f t="shared" si="413"/>
        <v>332.15819999999997</v>
      </c>
      <c r="X1664" s="1878" t="str">
        <f t="shared" si="411"/>
        <v xml:space="preserve">4.- C Vikrant 0480510-OT_209767  Reencauche 030-0039705 </v>
      </c>
      <c r="Z1664" s="19" t="str">
        <f t="shared" si="415"/>
        <v>ReencaucheReencauchadora RENOVA</v>
      </c>
    </row>
    <row r="1665" spans="2:26" ht="15.2" customHeight="1">
      <c r="B1665" s="37"/>
      <c r="E1665" s="66">
        <v>5</v>
      </c>
      <c r="F1665" s="67" t="s">
        <v>732</v>
      </c>
      <c r="G1665" s="68" t="s">
        <v>737</v>
      </c>
      <c r="H1665" s="69" t="s">
        <v>1089</v>
      </c>
      <c r="I1665" s="68" t="s">
        <v>726</v>
      </c>
      <c r="J1665" s="70" t="s">
        <v>760</v>
      </c>
      <c r="K1665" s="71" t="s">
        <v>1085</v>
      </c>
      <c r="L1665" s="72">
        <v>42072</v>
      </c>
      <c r="M1665" s="73" t="s">
        <v>729</v>
      </c>
      <c r="N1665" s="74">
        <v>42077</v>
      </c>
      <c r="O1665" s="75">
        <v>42077</v>
      </c>
      <c r="P1665" s="2765" t="s">
        <v>1087</v>
      </c>
      <c r="Q1665" s="2954"/>
      <c r="R1665" s="76">
        <v>281.49</v>
      </c>
      <c r="S1665" s="1945" t="s">
        <v>731</v>
      </c>
      <c r="T1665" s="77"/>
      <c r="U1665" s="1893" t="s">
        <v>693</v>
      </c>
      <c r="V1665" s="2079">
        <f t="shared" si="412"/>
        <v>0</v>
      </c>
      <c r="W1665" s="78">
        <f t="shared" si="413"/>
        <v>332.15819999999997</v>
      </c>
      <c r="X1665" s="1878" t="str">
        <f t="shared" si="411"/>
        <v xml:space="preserve">5.- C Vikrant 0160111-OT_209767  Reencauche 030-0039705 </v>
      </c>
      <c r="Z1665" s="19" t="str">
        <f t="shared" si="415"/>
        <v>ReencaucheReencauchadora RENOVA</v>
      </c>
    </row>
    <row r="1666" spans="2:26" ht="15.2" customHeight="1">
      <c r="B1666" s="37"/>
      <c r="E1666" s="66">
        <v>6</v>
      </c>
      <c r="F1666" s="67" t="s">
        <v>732</v>
      </c>
      <c r="G1666" s="68" t="s">
        <v>737</v>
      </c>
      <c r="H1666" s="69" t="s">
        <v>1090</v>
      </c>
      <c r="I1666" s="68" t="s">
        <v>726</v>
      </c>
      <c r="J1666" s="70" t="s">
        <v>760</v>
      </c>
      <c r="K1666" s="71" t="s">
        <v>1085</v>
      </c>
      <c r="L1666" s="72">
        <v>42072</v>
      </c>
      <c r="M1666" s="73" t="s">
        <v>729</v>
      </c>
      <c r="N1666" s="74">
        <v>42077</v>
      </c>
      <c r="O1666" s="75">
        <v>42077</v>
      </c>
      <c r="P1666" s="2765" t="s">
        <v>1087</v>
      </c>
      <c r="Q1666" s="2954"/>
      <c r="R1666" s="76">
        <v>281.49</v>
      </c>
      <c r="S1666" s="1945" t="s">
        <v>731</v>
      </c>
      <c r="T1666" s="77"/>
      <c r="U1666" s="1893" t="s">
        <v>693</v>
      </c>
      <c r="V1666" s="2079">
        <f t="shared" si="412"/>
        <v>0</v>
      </c>
      <c r="W1666" s="78">
        <f t="shared" si="413"/>
        <v>332.15819999999997</v>
      </c>
      <c r="X1666" s="1878" t="str">
        <f t="shared" si="411"/>
        <v xml:space="preserve">6.- C Vikrant 0680809-OT_209767  Reencauche 030-0039705 </v>
      </c>
      <c r="Z1666" s="19" t="str">
        <f t="shared" si="415"/>
        <v>ReencaucheReencauchadora RENOVA</v>
      </c>
    </row>
    <row r="1667" spans="2:26" ht="15.2" customHeight="1">
      <c r="B1667" s="37"/>
      <c r="E1667" s="66">
        <v>7</v>
      </c>
      <c r="F1667" s="67" t="s">
        <v>732</v>
      </c>
      <c r="G1667" s="68" t="s">
        <v>757</v>
      </c>
      <c r="H1667" s="69" t="s">
        <v>1091</v>
      </c>
      <c r="I1667" s="68" t="s">
        <v>726</v>
      </c>
      <c r="J1667" s="70" t="s">
        <v>760</v>
      </c>
      <c r="K1667" s="71" t="s">
        <v>1085</v>
      </c>
      <c r="L1667" s="72">
        <v>42072</v>
      </c>
      <c r="M1667" s="73" t="s">
        <v>729</v>
      </c>
      <c r="N1667" s="74">
        <v>42077</v>
      </c>
      <c r="O1667" s="75">
        <f>+N1667</f>
        <v>42077</v>
      </c>
      <c r="P1667" s="2765" t="s">
        <v>1087</v>
      </c>
      <c r="Q1667" s="2954"/>
      <c r="R1667" s="76">
        <v>281.49</v>
      </c>
      <c r="S1667" s="1945" t="s">
        <v>731</v>
      </c>
      <c r="T1667" s="77"/>
      <c r="U1667" s="1893" t="s">
        <v>693</v>
      </c>
      <c r="V1667" s="2079">
        <f t="shared" si="412"/>
        <v>0</v>
      </c>
      <c r="W1667" s="78">
        <f t="shared" si="413"/>
        <v>332.15819999999997</v>
      </c>
      <c r="X1667" s="1878" t="str">
        <f t="shared" si="411"/>
        <v xml:space="preserve">7.- C Goodyear 1160704-OT_209767  Reencauche 030-0039705 </v>
      </c>
      <c r="Z1667" s="19" t="str">
        <f t="shared" si="415"/>
        <v>ReencaucheReencauchadora RENOVA</v>
      </c>
    </row>
    <row r="1668" spans="2:26" ht="15.2" customHeight="1">
      <c r="B1668" s="37"/>
      <c r="E1668" s="66">
        <v>8</v>
      </c>
      <c r="F1668" s="67" t="s">
        <v>732</v>
      </c>
      <c r="G1668" s="68" t="s">
        <v>733</v>
      </c>
      <c r="H1668" s="69" t="s">
        <v>1092</v>
      </c>
      <c r="I1668" s="68" t="s">
        <v>726</v>
      </c>
      <c r="J1668" s="70" t="s">
        <v>760</v>
      </c>
      <c r="K1668" s="71" t="s">
        <v>1085</v>
      </c>
      <c r="L1668" s="72">
        <v>42072</v>
      </c>
      <c r="M1668" s="73" t="s">
        <v>729</v>
      </c>
      <c r="N1668" s="74">
        <v>42077</v>
      </c>
      <c r="O1668" s="75">
        <v>42077</v>
      </c>
      <c r="P1668" s="2765" t="s">
        <v>1087</v>
      </c>
      <c r="Q1668" s="2954"/>
      <c r="R1668" s="76">
        <v>281.49</v>
      </c>
      <c r="S1668" s="1945" t="s">
        <v>731</v>
      </c>
      <c r="T1668" s="77"/>
      <c r="U1668" s="1893" t="s">
        <v>693</v>
      </c>
      <c r="V1668" s="2079">
        <f t="shared" si="412"/>
        <v>0</v>
      </c>
      <c r="W1668" s="78">
        <f t="shared" si="413"/>
        <v>332.15819999999997</v>
      </c>
      <c r="X1668" s="1878" t="str">
        <f t="shared" si="411"/>
        <v xml:space="preserve">8.- C Lima Caucho 0500610-OT_209767  Reencauche 030-0039705 </v>
      </c>
      <c r="Z1668" s="19" t="str">
        <f t="shared" si="415"/>
        <v>ReencaucheReencauchadora RENOVA</v>
      </c>
    </row>
    <row r="1669" spans="2:26" ht="15.2" customHeight="1">
      <c r="B1669" s="37"/>
      <c r="E1669" s="66">
        <v>9</v>
      </c>
      <c r="F1669" s="67" t="s">
        <v>732</v>
      </c>
      <c r="G1669" s="68" t="s">
        <v>733</v>
      </c>
      <c r="H1669" s="69" t="s">
        <v>1093</v>
      </c>
      <c r="I1669" s="68" t="s">
        <v>726</v>
      </c>
      <c r="J1669" s="70" t="s">
        <v>760</v>
      </c>
      <c r="K1669" s="71" t="s">
        <v>1085</v>
      </c>
      <c r="L1669" s="72">
        <v>42072</v>
      </c>
      <c r="M1669" s="73" t="s">
        <v>729</v>
      </c>
      <c r="N1669" s="74">
        <v>42077</v>
      </c>
      <c r="O1669" s="75">
        <v>42077</v>
      </c>
      <c r="P1669" s="2765" t="s">
        <v>1087</v>
      </c>
      <c r="Q1669" s="2954"/>
      <c r="R1669" s="76">
        <v>281.49</v>
      </c>
      <c r="S1669" s="1945" t="s">
        <v>731</v>
      </c>
      <c r="T1669" s="77"/>
      <c r="U1669" s="1893" t="s">
        <v>693</v>
      </c>
      <c r="V1669" s="2079">
        <f t="shared" si="412"/>
        <v>0</v>
      </c>
      <c r="W1669" s="78">
        <f t="shared" si="413"/>
        <v>332.15819999999997</v>
      </c>
      <c r="X1669" s="1878" t="str">
        <f t="shared" si="411"/>
        <v xml:space="preserve">9.- C Lima Caucho 1021210-OT_209767  Reencauche 030-0039705 </v>
      </c>
      <c r="Z1669" s="19" t="str">
        <f t="shared" si="415"/>
        <v>ReencaucheReencauchadora RENOVA</v>
      </c>
    </row>
    <row r="1670" spans="2:26" ht="15.2" customHeight="1">
      <c r="B1670" s="37"/>
      <c r="E1670" s="66">
        <v>10</v>
      </c>
      <c r="F1670" s="67" t="s">
        <v>732</v>
      </c>
      <c r="G1670" s="68" t="s">
        <v>733</v>
      </c>
      <c r="H1670" s="69" t="s">
        <v>985</v>
      </c>
      <c r="I1670" s="68" t="s">
        <v>726</v>
      </c>
      <c r="J1670" s="70" t="s">
        <v>760</v>
      </c>
      <c r="K1670" s="71" t="s">
        <v>1086</v>
      </c>
      <c r="L1670" s="72">
        <v>42072</v>
      </c>
      <c r="M1670" s="73" t="s">
        <v>729</v>
      </c>
      <c r="N1670" s="74">
        <v>42077</v>
      </c>
      <c r="O1670" s="75">
        <f>+N1670</f>
        <v>42077</v>
      </c>
      <c r="P1670" s="2765"/>
      <c r="Q1670" s="2954"/>
      <c r="R1670" s="76">
        <v>0</v>
      </c>
      <c r="S1670" s="1945" t="s">
        <v>731</v>
      </c>
      <c r="T1670" s="1875" t="s">
        <v>1094</v>
      </c>
      <c r="U1670" s="1920" t="s">
        <v>693</v>
      </c>
      <c r="V1670" s="2079">
        <f t="shared" si="412"/>
        <v>0</v>
      </c>
      <c r="W1670" s="78">
        <f t="shared" si="413"/>
        <v>0</v>
      </c>
      <c r="X1670" s="1878" t="str">
        <f t="shared" si="411"/>
        <v>10.- C Lima Caucho 0890908-OT_209768  Reencauche  Rechazada, Guia 030-0046746</v>
      </c>
      <c r="Z1670" s="19" t="str">
        <f t="shared" si="415"/>
        <v>ReencaucheReencauchadora RENOVA</v>
      </c>
    </row>
    <row r="1671" spans="2:26" ht="15.2" customHeight="1">
      <c r="B1671" s="37"/>
      <c r="E1671" s="66">
        <v>11</v>
      </c>
      <c r="F1671" s="67" t="s">
        <v>732</v>
      </c>
      <c r="G1671" s="68" t="s">
        <v>733</v>
      </c>
      <c r="H1671" s="69" t="s">
        <v>1103</v>
      </c>
      <c r="I1671" s="68" t="s">
        <v>726</v>
      </c>
      <c r="J1671" s="70" t="s">
        <v>760</v>
      </c>
      <c r="K1671" s="71" t="s">
        <v>1086</v>
      </c>
      <c r="L1671" s="72">
        <v>42072</v>
      </c>
      <c r="M1671" s="73" t="s">
        <v>729</v>
      </c>
      <c r="N1671" s="74">
        <v>42077</v>
      </c>
      <c r="O1671" s="75">
        <f>+N1671</f>
        <v>42077</v>
      </c>
      <c r="P1671" s="2765"/>
      <c r="Q1671" s="2954"/>
      <c r="R1671" s="76">
        <v>0</v>
      </c>
      <c r="S1671" s="1945" t="s">
        <v>731</v>
      </c>
      <c r="T1671" s="1875" t="s">
        <v>1094</v>
      </c>
      <c r="U1671" s="1920" t="s">
        <v>693</v>
      </c>
      <c r="V1671" s="2079">
        <f t="shared" si="412"/>
        <v>0</v>
      </c>
      <c r="W1671" s="78">
        <f t="shared" si="413"/>
        <v>0</v>
      </c>
      <c r="X1671" s="1878" t="str">
        <f t="shared" si="411"/>
        <v>11.- C Lima Caucho 0700907-OT_209768  Reencauche  Rechazada, Guia 030-0046746</v>
      </c>
      <c r="Z1671" s="19" t="str">
        <f t="shared" si="415"/>
        <v>ReencaucheReencauchadora RENOVA</v>
      </c>
    </row>
    <row r="1672" spans="2:26" ht="15.2" customHeight="1">
      <c r="B1672" s="37"/>
      <c r="E1672" s="66">
        <v>12</v>
      </c>
      <c r="F1672" s="67" t="s">
        <v>732</v>
      </c>
      <c r="G1672" s="68" t="s">
        <v>733</v>
      </c>
      <c r="H1672" s="69" t="s">
        <v>1026</v>
      </c>
      <c r="I1672" s="68" t="s">
        <v>726</v>
      </c>
      <c r="J1672" s="70" t="s">
        <v>760</v>
      </c>
      <c r="K1672" s="71" t="s">
        <v>1086</v>
      </c>
      <c r="L1672" s="72">
        <v>42072</v>
      </c>
      <c r="M1672" s="73" t="s">
        <v>729</v>
      </c>
      <c r="N1672" s="74">
        <v>42077</v>
      </c>
      <c r="O1672" s="75">
        <v>42077</v>
      </c>
      <c r="P1672" s="2765"/>
      <c r="Q1672" s="2954"/>
      <c r="R1672" s="76">
        <v>0</v>
      </c>
      <c r="S1672" s="1945" t="s">
        <v>731</v>
      </c>
      <c r="T1672" s="1875" t="s">
        <v>1094</v>
      </c>
      <c r="U1672" s="1920" t="s">
        <v>693</v>
      </c>
      <c r="V1672" s="2079">
        <f t="shared" si="412"/>
        <v>0</v>
      </c>
      <c r="W1672" s="78">
        <f t="shared" si="413"/>
        <v>0</v>
      </c>
      <c r="X1672" s="1878" t="str">
        <f t="shared" si="411"/>
        <v>12.- C Lima Caucho 0250508-OT_209768  Reencauche  Rechazada, Guia 030-0046746</v>
      </c>
      <c r="Z1672" s="19" t="str">
        <f t="shared" si="415"/>
        <v>ReencaucheReenc. MASTERCAUCHO</v>
      </c>
    </row>
    <row r="1673" spans="2:26" ht="15.2" customHeight="1">
      <c r="B1673" s="37"/>
      <c r="E1673" s="66">
        <v>13</v>
      </c>
      <c r="F1673" s="67" t="s">
        <v>732</v>
      </c>
      <c r="G1673" s="68" t="s">
        <v>733</v>
      </c>
      <c r="H1673" s="69" t="s">
        <v>1073</v>
      </c>
      <c r="I1673" s="68" t="s">
        <v>726</v>
      </c>
      <c r="J1673" s="70" t="s">
        <v>760</v>
      </c>
      <c r="K1673" s="71" t="s">
        <v>1085</v>
      </c>
      <c r="L1673" s="72">
        <v>42072</v>
      </c>
      <c r="M1673" s="73" t="s">
        <v>729</v>
      </c>
      <c r="N1673" s="74">
        <v>42077</v>
      </c>
      <c r="O1673" s="75">
        <f t="shared" ref="O1673:O1679" si="417">+N1673</f>
        <v>42077</v>
      </c>
      <c r="P1673" s="2765"/>
      <c r="Q1673" s="2954"/>
      <c r="R1673" s="76">
        <v>0</v>
      </c>
      <c r="S1673" s="1945" t="s">
        <v>731</v>
      </c>
      <c r="T1673" s="1875" t="s">
        <v>1094</v>
      </c>
      <c r="U1673" s="1920" t="s">
        <v>693</v>
      </c>
      <c r="V1673" s="2079">
        <f t="shared" si="412"/>
        <v>0</v>
      </c>
      <c r="W1673" s="78">
        <f t="shared" si="413"/>
        <v>0</v>
      </c>
      <c r="X1673" s="1878" t="str">
        <f t="shared" si="411"/>
        <v>13.- C Lima Caucho 0220108-OT_209767  Reencauche  Rechazada, Guia 030-0046746</v>
      </c>
      <c r="Z1673" s="19" t="str">
        <f t="shared" si="415"/>
        <v>Banda de 2ª usadaReenc. MASTERCAUCHO</v>
      </c>
    </row>
    <row r="1674" spans="2:26" ht="15.2" customHeight="1">
      <c r="B1674" s="37"/>
      <c r="E1674" s="79">
        <v>14</v>
      </c>
      <c r="F1674" s="80" t="s">
        <v>732</v>
      </c>
      <c r="G1674" s="81" t="s">
        <v>733</v>
      </c>
      <c r="H1674" s="82" t="s">
        <v>1076</v>
      </c>
      <c r="I1674" s="81" t="s">
        <v>726</v>
      </c>
      <c r="J1674" s="83" t="s">
        <v>760</v>
      </c>
      <c r="K1674" s="84" t="s">
        <v>1085</v>
      </c>
      <c r="L1674" s="85">
        <v>42072</v>
      </c>
      <c r="M1674" s="86" t="s">
        <v>729</v>
      </c>
      <c r="N1674" s="87">
        <v>42077</v>
      </c>
      <c r="O1674" s="88">
        <f t="shared" si="417"/>
        <v>42077</v>
      </c>
      <c r="P1674" s="2766"/>
      <c r="Q1674" s="2955"/>
      <c r="R1674" s="89">
        <v>0</v>
      </c>
      <c r="S1674" s="1946" t="s">
        <v>731</v>
      </c>
      <c r="T1674" s="1875" t="s">
        <v>1094</v>
      </c>
      <c r="U1674" s="1920" t="s">
        <v>693</v>
      </c>
      <c r="V1674" s="2079">
        <f t="shared" si="412"/>
        <v>0</v>
      </c>
      <c r="W1674" s="78">
        <f t="shared" si="413"/>
        <v>0</v>
      </c>
      <c r="X1674" s="1878" t="str">
        <f t="shared" si="411"/>
        <v>14.- C Lima Caucho 0861010-OT_209767  Reencauche  Rechazada, Guia 030-0046746</v>
      </c>
      <c r="Z1674" s="19" t="str">
        <f t="shared" si="415"/>
        <v>Transpl BandaReenc. MASTERCAUCHO</v>
      </c>
    </row>
    <row r="1675" spans="2:26" ht="15.2" customHeight="1">
      <c r="B1675" s="37"/>
      <c r="E1675" s="66">
        <v>1</v>
      </c>
      <c r="F1675" s="67" t="s">
        <v>732</v>
      </c>
      <c r="G1675" s="68" t="s">
        <v>757</v>
      </c>
      <c r="H1675" s="69" t="s">
        <v>1104</v>
      </c>
      <c r="I1675" s="68" t="s">
        <v>726</v>
      </c>
      <c r="J1675" s="70" t="s">
        <v>727</v>
      </c>
      <c r="K1675" s="71" t="s">
        <v>1105</v>
      </c>
      <c r="L1675" s="72">
        <v>42061</v>
      </c>
      <c r="M1675" s="73" t="s">
        <v>729</v>
      </c>
      <c r="N1675" s="74">
        <v>42067</v>
      </c>
      <c r="O1675" s="75">
        <f t="shared" si="417"/>
        <v>42067</v>
      </c>
      <c r="P1675" s="2765" t="s">
        <v>1106</v>
      </c>
      <c r="Q1675" s="2954"/>
      <c r="R1675" s="76">
        <v>254.24</v>
      </c>
      <c r="S1675" s="1945" t="s">
        <v>731</v>
      </c>
      <c r="T1675" s="77"/>
      <c r="U1675" s="1893" t="s">
        <v>693</v>
      </c>
      <c r="V1675" s="2079">
        <f t="shared" si="412"/>
        <v>0</v>
      </c>
      <c r="W1675" s="78">
        <f t="shared" si="413"/>
        <v>300.00319999999999</v>
      </c>
      <c r="X1675" s="1878" t="str">
        <f t="shared" si="411"/>
        <v xml:space="preserve">1.- C Goodyear 1901204-OT_000546  Reencauche 0001-002589 </v>
      </c>
      <c r="Z1675" s="19" t="str">
        <f t="shared" si="415"/>
        <v>Sacar_BandaReenc. MASTERCAUCHO</v>
      </c>
    </row>
    <row r="1676" spans="2:26" ht="15.2" customHeight="1">
      <c r="B1676" s="37"/>
      <c r="E1676" s="66">
        <v>2</v>
      </c>
      <c r="F1676" s="67" t="s">
        <v>732</v>
      </c>
      <c r="G1676" s="68" t="s">
        <v>737</v>
      </c>
      <c r="H1676" s="69" t="s">
        <v>1107</v>
      </c>
      <c r="I1676" s="68" t="s">
        <v>742</v>
      </c>
      <c r="J1676" s="70" t="s">
        <v>727</v>
      </c>
      <c r="K1676" s="71" t="s">
        <v>1105</v>
      </c>
      <c r="L1676" s="72">
        <v>42061</v>
      </c>
      <c r="M1676" s="73" t="s">
        <v>729</v>
      </c>
      <c r="N1676" s="74">
        <v>42067</v>
      </c>
      <c r="O1676" s="75">
        <f t="shared" si="417"/>
        <v>42067</v>
      </c>
      <c r="P1676" s="2765" t="s">
        <v>1106</v>
      </c>
      <c r="Q1676" s="2954"/>
      <c r="R1676" s="76">
        <v>211.86439999999999</v>
      </c>
      <c r="S1676" s="1945" t="s">
        <v>731</v>
      </c>
      <c r="T1676" s="77"/>
      <c r="U1676" s="1893" t="s">
        <v>693</v>
      </c>
      <c r="V1676" s="2079">
        <f t="shared" si="412"/>
        <v>0</v>
      </c>
      <c r="W1676" s="78">
        <f t="shared" si="413"/>
        <v>249.99999199999996</v>
      </c>
      <c r="X1676" s="1878" t="str">
        <f t="shared" si="411"/>
        <v xml:space="preserve">2.- C Vikrant 0740505-OT_000546  Banda de 2ª usada 0001-002589 </v>
      </c>
      <c r="Z1676" s="19" t="str">
        <f t="shared" si="415"/>
        <v>ReencaucheReencauchadora RENOVA</v>
      </c>
    </row>
    <row r="1677" spans="2:26" ht="15.2" customHeight="1">
      <c r="B1677" s="37"/>
      <c r="E1677" s="66">
        <v>3</v>
      </c>
      <c r="F1677" s="67" t="s">
        <v>732</v>
      </c>
      <c r="G1677" s="90" t="s">
        <v>1108</v>
      </c>
      <c r="H1677" s="91" t="s">
        <v>1109</v>
      </c>
      <c r="I1677" s="90" t="s">
        <v>740</v>
      </c>
      <c r="J1677" s="92" t="s">
        <v>727</v>
      </c>
      <c r="K1677" s="71" t="s">
        <v>1105</v>
      </c>
      <c r="L1677" s="72">
        <v>42061</v>
      </c>
      <c r="M1677" s="73" t="s">
        <v>729</v>
      </c>
      <c r="N1677" s="74">
        <v>42067</v>
      </c>
      <c r="O1677" s="75">
        <f t="shared" si="417"/>
        <v>42067</v>
      </c>
      <c r="P1677" s="2765" t="s">
        <v>1106</v>
      </c>
      <c r="Q1677" s="2954"/>
      <c r="R1677" s="76">
        <v>127.12</v>
      </c>
      <c r="S1677" s="1945" t="s">
        <v>731</v>
      </c>
      <c r="T1677" s="77"/>
      <c r="U1677" s="1893" t="s">
        <v>693</v>
      </c>
      <c r="V1677" s="2079">
        <f t="shared" si="412"/>
        <v>0</v>
      </c>
      <c r="W1677" s="78">
        <f t="shared" si="413"/>
        <v>150.0016</v>
      </c>
      <c r="X1677" s="1878" t="str">
        <f t="shared" si="411"/>
        <v xml:space="preserve">3.- C Hankook 0380305-OT_000546  Transpl Banda 0001-002589 </v>
      </c>
      <c r="Z1677" s="19" t="str">
        <f t="shared" si="415"/>
        <v>ReencaucheReencauchadora RENOVA</v>
      </c>
    </row>
    <row r="1678" spans="2:26" ht="15.2" customHeight="1">
      <c r="B1678" s="37"/>
      <c r="E1678" s="79">
        <v>4</v>
      </c>
      <c r="F1678" s="80" t="s">
        <v>732</v>
      </c>
      <c r="G1678" s="114" t="s">
        <v>733</v>
      </c>
      <c r="H1678" s="115" t="s">
        <v>1110</v>
      </c>
      <c r="I1678" s="114" t="s">
        <v>744</v>
      </c>
      <c r="J1678" s="93" t="s">
        <v>727</v>
      </c>
      <c r="K1678" s="84" t="s">
        <v>1105</v>
      </c>
      <c r="L1678" s="85">
        <v>42061</v>
      </c>
      <c r="M1678" s="86" t="s">
        <v>729</v>
      </c>
      <c r="N1678" s="87">
        <v>42067</v>
      </c>
      <c r="O1678" s="88">
        <f t="shared" si="417"/>
        <v>42067</v>
      </c>
      <c r="P1678" s="2766" t="s">
        <v>1106</v>
      </c>
      <c r="Q1678" s="2955"/>
      <c r="R1678" s="89"/>
      <c r="S1678" s="1946" t="s">
        <v>731</v>
      </c>
      <c r="T1678" s="77"/>
      <c r="U1678" s="1893" t="s">
        <v>693</v>
      </c>
      <c r="V1678" s="2079">
        <f t="shared" si="412"/>
        <v>0</v>
      </c>
      <c r="W1678" s="78">
        <f t="shared" si="413"/>
        <v>0</v>
      </c>
      <c r="X1678" s="1878" t="str">
        <f t="shared" si="411"/>
        <v xml:space="preserve">4.- C Lima Caucho 020107-OT_000546  Sacar_Banda 0001-002589 </v>
      </c>
      <c r="Z1678" s="19" t="str">
        <f t="shared" si="415"/>
        <v>ReencaucheReencauchadora RENOVA</v>
      </c>
    </row>
    <row r="1679" spans="2:26" ht="15.2" customHeight="1">
      <c r="B1679" s="37"/>
      <c r="E1679" s="66">
        <v>1</v>
      </c>
      <c r="F1679" s="67" t="s">
        <v>732</v>
      </c>
      <c r="G1679" s="68" t="s">
        <v>737</v>
      </c>
      <c r="H1679" s="69" t="s">
        <v>1111</v>
      </c>
      <c r="I1679" s="68" t="s">
        <v>726</v>
      </c>
      <c r="J1679" s="70" t="s">
        <v>760</v>
      </c>
      <c r="K1679" s="71" t="s">
        <v>1112</v>
      </c>
      <c r="L1679" s="148">
        <v>42054</v>
      </c>
      <c r="M1679" s="157" t="s">
        <v>729</v>
      </c>
      <c r="N1679" s="158">
        <v>42110</v>
      </c>
      <c r="O1679" s="159">
        <f t="shared" si="417"/>
        <v>42110</v>
      </c>
      <c r="P1679" s="2781"/>
      <c r="Q1679" s="2970"/>
      <c r="R1679" s="160">
        <v>0</v>
      </c>
      <c r="S1679" s="1950" t="s">
        <v>731</v>
      </c>
      <c r="T1679" s="161" t="s">
        <v>1113</v>
      </c>
      <c r="U1679" s="1921" t="s">
        <v>693</v>
      </c>
      <c r="V1679" s="2079">
        <f t="shared" si="412"/>
        <v>0</v>
      </c>
      <c r="W1679" s="78">
        <f t="shared" si="413"/>
        <v>0</v>
      </c>
      <c r="X1679" s="1878" t="str">
        <f t="shared" si="411"/>
        <v>1.- C Vikrant 0660906-OT_208864  Reencauche  Rechazada, Guia 030-0047466  al 16/04/15</v>
      </c>
    </row>
    <row r="1680" spans="2:26" ht="15.2" customHeight="1" outlineLevel="1">
      <c r="B1680" s="37"/>
      <c r="E1680" s="66">
        <v>2</v>
      </c>
      <c r="F1680" s="67" t="s">
        <v>732</v>
      </c>
      <c r="G1680" s="68" t="s">
        <v>737</v>
      </c>
      <c r="H1680" s="69" t="s">
        <v>1114</v>
      </c>
      <c r="I1680" s="68" t="s">
        <v>726</v>
      </c>
      <c r="J1680" s="70" t="s">
        <v>760</v>
      </c>
      <c r="K1680" s="71" t="s">
        <v>1112</v>
      </c>
      <c r="L1680" s="72">
        <v>42054</v>
      </c>
      <c r="M1680" s="73" t="s">
        <v>729</v>
      </c>
      <c r="N1680" s="74">
        <v>42077</v>
      </c>
      <c r="O1680" s="75">
        <v>42077</v>
      </c>
      <c r="P1680" s="2765" t="s">
        <v>1087</v>
      </c>
      <c r="Q1680" s="2954"/>
      <c r="R1680" s="76">
        <v>281.49</v>
      </c>
      <c r="S1680" s="1945" t="s">
        <v>731</v>
      </c>
      <c r="T1680" s="77"/>
      <c r="U1680" s="1893" t="s">
        <v>693</v>
      </c>
      <c r="V1680" s="2079">
        <f t="shared" si="412"/>
        <v>0</v>
      </c>
      <c r="W1680" s="78">
        <f t="shared" si="413"/>
        <v>332.15819999999997</v>
      </c>
      <c r="X1680" s="1878" t="str">
        <f t="shared" si="411"/>
        <v xml:space="preserve">2.- C Vikrant 0070109-OT_208864  Reencauche 030-0039705 </v>
      </c>
      <c r="Z1680" s="19" t="str">
        <f t="shared" ref="Z1680:Z1714" si="418">CONCATENATE(I1683,J1683)</f>
        <v>ReencaucheReencauchadora RENOVA</v>
      </c>
    </row>
    <row r="1681" spans="2:26" ht="15.2" customHeight="1" outlineLevel="1">
      <c r="B1681" s="37"/>
      <c r="E1681" s="66">
        <v>3</v>
      </c>
      <c r="F1681" s="162" t="s">
        <v>732</v>
      </c>
      <c r="G1681" s="163" t="s">
        <v>733</v>
      </c>
      <c r="H1681" s="164" t="s">
        <v>1115</v>
      </c>
      <c r="I1681" s="163" t="s">
        <v>726</v>
      </c>
      <c r="J1681" s="165" t="s">
        <v>760</v>
      </c>
      <c r="K1681" s="166" t="s">
        <v>1116</v>
      </c>
      <c r="L1681" s="167">
        <v>42054</v>
      </c>
      <c r="M1681" s="168" t="s">
        <v>729</v>
      </c>
      <c r="N1681" s="169">
        <v>42077</v>
      </c>
      <c r="O1681" s="170">
        <v>42077</v>
      </c>
      <c r="P1681" s="2780" t="s">
        <v>1087</v>
      </c>
      <c r="Q1681" s="2969"/>
      <c r="R1681" s="171">
        <v>281.49</v>
      </c>
      <c r="S1681" s="1951" t="s">
        <v>731</v>
      </c>
      <c r="T1681" s="77"/>
      <c r="U1681" s="1893" t="s">
        <v>693</v>
      </c>
      <c r="V1681" s="2079">
        <f t="shared" si="412"/>
        <v>0</v>
      </c>
      <c r="W1681" s="78">
        <f t="shared" si="413"/>
        <v>332.15819999999997</v>
      </c>
      <c r="X1681" s="1878" t="str">
        <f t="shared" si="411"/>
        <v xml:space="preserve">3.- C Lima Caucho 1031208-OT_208865  Reencauche 030-0039705 </v>
      </c>
      <c r="Z1681" s="19" t="str">
        <f t="shared" si="418"/>
        <v>ReencaucheReencauchadora RENOVA</v>
      </c>
    </row>
    <row r="1682" spans="2:26" ht="15.2" customHeight="1" outlineLevel="1">
      <c r="B1682" s="1">
        <v>42036</v>
      </c>
      <c r="C1682" s="1"/>
      <c r="D1682" s="173">
        <f>+D1683</f>
        <v>28</v>
      </c>
      <c r="E1682" s="66"/>
      <c r="F1682" s="67"/>
      <c r="G1682" s="68"/>
      <c r="H1682" s="69"/>
      <c r="I1682" s="68"/>
      <c r="J1682" s="70"/>
      <c r="K1682" s="71"/>
      <c r="L1682" s="72"/>
      <c r="M1682" s="73"/>
      <c r="N1682" s="74"/>
      <c r="O1682" s="75"/>
      <c r="P1682" s="2765"/>
      <c r="Q1682" s="2954"/>
      <c r="R1682" s="76"/>
      <c r="S1682" s="1945"/>
      <c r="T1682" s="77"/>
      <c r="U1682" s="1893" t="s">
        <v>693</v>
      </c>
      <c r="V1682" s="2079">
        <f t="shared" si="412"/>
        <v>0</v>
      </c>
      <c r="W1682" s="78">
        <f t="shared" si="413"/>
        <v>0</v>
      </c>
      <c r="X1682" s="1878" t="str">
        <f t="shared" si="411"/>
        <v xml:space="preserve">.-   -OT_    </v>
      </c>
      <c r="Z1682" s="19" t="str">
        <f t="shared" si="418"/>
        <v>ReencaucheReencauchadora RENOVA</v>
      </c>
    </row>
    <row r="1683" spans="2:26" ht="15.2" customHeight="1" outlineLevel="1">
      <c r="B1683" s="37"/>
      <c r="C1683" s="2">
        <f t="shared" ref="C1683:C1694" si="419">1+C1684</f>
        <v>28</v>
      </c>
      <c r="D1683" s="3">
        <f t="shared" ref="D1683:D1694" si="420">1+D1684</f>
        <v>28</v>
      </c>
      <c r="E1683" s="66">
        <v>4</v>
      </c>
      <c r="F1683" s="67" t="s">
        <v>732</v>
      </c>
      <c r="G1683" s="68" t="s">
        <v>737</v>
      </c>
      <c r="H1683" s="69" t="s">
        <v>800</v>
      </c>
      <c r="I1683" s="68" t="s">
        <v>726</v>
      </c>
      <c r="J1683" s="70" t="s">
        <v>760</v>
      </c>
      <c r="K1683" s="71" t="s">
        <v>1112</v>
      </c>
      <c r="L1683" s="72">
        <v>42054</v>
      </c>
      <c r="M1683" s="73" t="s">
        <v>729</v>
      </c>
      <c r="N1683" s="74">
        <v>42062</v>
      </c>
      <c r="O1683" s="75">
        <f>+N1683</f>
        <v>42062</v>
      </c>
      <c r="P1683" s="2765" t="s">
        <v>1117</v>
      </c>
      <c r="Q1683" s="2954"/>
      <c r="R1683" s="76">
        <v>281.49</v>
      </c>
      <c r="S1683" s="1945" t="s">
        <v>731</v>
      </c>
      <c r="T1683" s="77"/>
      <c r="U1683" s="1893" t="s">
        <v>693</v>
      </c>
      <c r="V1683" s="2079">
        <f t="shared" si="412"/>
        <v>0</v>
      </c>
      <c r="W1683" s="78">
        <f t="shared" si="413"/>
        <v>332.15819999999997</v>
      </c>
      <c r="X1683" s="1878" t="str">
        <f t="shared" si="411"/>
        <v xml:space="preserve">4.- C Vikrant 0450411-OT_208864  Reencauche 030-0039372 </v>
      </c>
      <c r="Z1683" s="19" t="str">
        <f t="shared" si="418"/>
        <v>ReencaucheReencauchadora RENOVA</v>
      </c>
    </row>
    <row r="1684" spans="2:26" ht="15.2" customHeight="1" outlineLevel="1">
      <c r="B1684" s="37"/>
      <c r="C1684" s="2">
        <f t="shared" si="419"/>
        <v>27</v>
      </c>
      <c r="D1684" s="3">
        <f t="shared" si="420"/>
        <v>27</v>
      </c>
      <c r="E1684" s="66">
        <v>5</v>
      </c>
      <c r="F1684" s="67" t="s">
        <v>732</v>
      </c>
      <c r="G1684" s="68" t="s">
        <v>737</v>
      </c>
      <c r="H1684" s="69" t="s">
        <v>1118</v>
      </c>
      <c r="I1684" s="68" t="s">
        <v>726</v>
      </c>
      <c r="J1684" s="70" t="s">
        <v>760</v>
      </c>
      <c r="K1684" s="71" t="s">
        <v>1112</v>
      </c>
      <c r="L1684" s="72">
        <v>42054</v>
      </c>
      <c r="M1684" s="73" t="s">
        <v>729</v>
      </c>
      <c r="N1684" s="74">
        <v>42062</v>
      </c>
      <c r="O1684" s="75">
        <v>42062</v>
      </c>
      <c r="P1684" s="2765" t="s">
        <v>1117</v>
      </c>
      <c r="Q1684" s="2954"/>
      <c r="R1684" s="76">
        <v>281.49</v>
      </c>
      <c r="S1684" s="1945" t="s">
        <v>731</v>
      </c>
      <c r="T1684" s="77"/>
      <c r="U1684" s="1893" t="s">
        <v>693</v>
      </c>
      <c r="V1684" s="2079">
        <f t="shared" si="412"/>
        <v>0</v>
      </c>
      <c r="W1684" s="78">
        <f t="shared" si="413"/>
        <v>332.15819999999997</v>
      </c>
      <c r="X1684" s="1878" t="str">
        <f t="shared" si="411"/>
        <v xml:space="preserve">5.- C Vikrant 012022010-OT_208864  Reencauche 030-0039372 </v>
      </c>
      <c r="Z1684" s="19" t="str">
        <f t="shared" si="418"/>
        <v>ReencaucheReencauchadora RENOVA</v>
      </c>
    </row>
    <row r="1685" spans="2:26" ht="15.2" customHeight="1" outlineLevel="1">
      <c r="B1685" s="37"/>
      <c r="C1685" s="2">
        <f t="shared" si="419"/>
        <v>26</v>
      </c>
      <c r="D1685" s="3">
        <f t="shared" si="420"/>
        <v>26</v>
      </c>
      <c r="E1685" s="66">
        <v>6</v>
      </c>
      <c r="F1685" s="67" t="s">
        <v>732</v>
      </c>
      <c r="G1685" s="68" t="s">
        <v>737</v>
      </c>
      <c r="H1685" s="69" t="s">
        <v>1119</v>
      </c>
      <c r="I1685" s="68" t="s">
        <v>726</v>
      </c>
      <c r="J1685" s="70" t="s">
        <v>760</v>
      </c>
      <c r="K1685" s="71" t="s">
        <v>1112</v>
      </c>
      <c r="L1685" s="72">
        <v>42054</v>
      </c>
      <c r="M1685" s="73" t="s">
        <v>729</v>
      </c>
      <c r="N1685" s="74">
        <v>42062</v>
      </c>
      <c r="O1685" s="75">
        <v>42062</v>
      </c>
      <c r="P1685" s="2765" t="s">
        <v>1117</v>
      </c>
      <c r="Q1685" s="2954"/>
      <c r="R1685" s="76">
        <v>281.49</v>
      </c>
      <c r="S1685" s="1945" t="s">
        <v>731</v>
      </c>
      <c r="T1685" s="77"/>
      <c r="U1685" s="1893" t="s">
        <v>693</v>
      </c>
      <c r="V1685" s="2079">
        <f t="shared" si="412"/>
        <v>0</v>
      </c>
      <c r="W1685" s="78">
        <f t="shared" si="413"/>
        <v>332.15819999999997</v>
      </c>
      <c r="X1685" s="1878" t="str">
        <f t="shared" si="411"/>
        <v xml:space="preserve">6.- C Vikrant 0340211-OT_208864  Reencauche 030-0039372 </v>
      </c>
      <c r="Z1685" s="19" t="str">
        <f t="shared" si="418"/>
        <v>ReencaucheReencauchadora RENOVA</v>
      </c>
    </row>
    <row r="1686" spans="2:26" ht="15.2" customHeight="1" outlineLevel="1">
      <c r="B1686" s="37"/>
      <c r="C1686" s="2">
        <f t="shared" si="419"/>
        <v>25</v>
      </c>
      <c r="D1686" s="3">
        <f t="shared" si="420"/>
        <v>25</v>
      </c>
      <c r="E1686" s="66">
        <v>7</v>
      </c>
      <c r="F1686" s="67" t="s">
        <v>732</v>
      </c>
      <c r="G1686" s="68" t="s">
        <v>737</v>
      </c>
      <c r="H1686" s="69" t="s">
        <v>1040</v>
      </c>
      <c r="I1686" s="68" t="s">
        <v>726</v>
      </c>
      <c r="J1686" s="70" t="s">
        <v>760</v>
      </c>
      <c r="K1686" s="71" t="s">
        <v>1112</v>
      </c>
      <c r="L1686" s="72">
        <v>42054</v>
      </c>
      <c r="M1686" s="73" t="s">
        <v>729</v>
      </c>
      <c r="N1686" s="74">
        <v>42062</v>
      </c>
      <c r="O1686" s="75">
        <v>42062</v>
      </c>
      <c r="P1686" s="2765" t="s">
        <v>1117</v>
      </c>
      <c r="Q1686" s="2954"/>
      <c r="R1686" s="76">
        <v>281.49</v>
      </c>
      <c r="S1686" s="1945" t="s">
        <v>731</v>
      </c>
      <c r="T1686" s="77"/>
      <c r="U1686" s="1893" t="s">
        <v>693</v>
      </c>
      <c r="V1686" s="2079">
        <f t="shared" si="412"/>
        <v>0</v>
      </c>
      <c r="W1686" s="78">
        <f t="shared" si="413"/>
        <v>332.15819999999997</v>
      </c>
      <c r="X1686" s="1878" t="str">
        <f t="shared" si="411"/>
        <v xml:space="preserve">7.- C Vikrant 0320211-OT_208864  Reencauche 030-0039372 </v>
      </c>
      <c r="Z1686" s="19" t="str">
        <f t="shared" si="418"/>
        <v>ReencaucheReencauchadora RENOVA</v>
      </c>
    </row>
    <row r="1687" spans="2:26" ht="15.2" customHeight="1" outlineLevel="1">
      <c r="B1687" s="37"/>
      <c r="C1687" s="2">
        <f t="shared" si="419"/>
        <v>24</v>
      </c>
      <c r="D1687" s="3">
        <f t="shared" si="420"/>
        <v>24</v>
      </c>
      <c r="E1687" s="66">
        <v>8</v>
      </c>
      <c r="F1687" s="67" t="s">
        <v>732</v>
      </c>
      <c r="G1687" s="68" t="s">
        <v>737</v>
      </c>
      <c r="H1687" s="69" t="s">
        <v>1120</v>
      </c>
      <c r="I1687" s="68" t="s">
        <v>726</v>
      </c>
      <c r="J1687" s="70" t="s">
        <v>760</v>
      </c>
      <c r="K1687" s="71" t="s">
        <v>1112</v>
      </c>
      <c r="L1687" s="72">
        <v>42054</v>
      </c>
      <c r="M1687" s="73" t="s">
        <v>729</v>
      </c>
      <c r="N1687" s="74">
        <v>42062</v>
      </c>
      <c r="O1687" s="75">
        <v>42062</v>
      </c>
      <c r="P1687" s="2765" t="s">
        <v>1117</v>
      </c>
      <c r="Q1687" s="2954"/>
      <c r="R1687" s="76">
        <v>281.49</v>
      </c>
      <c r="S1687" s="1945" t="s">
        <v>731</v>
      </c>
      <c r="T1687" s="77"/>
      <c r="U1687" s="1893" t="s">
        <v>693</v>
      </c>
      <c r="V1687" s="2079">
        <f t="shared" si="412"/>
        <v>0</v>
      </c>
      <c r="W1687" s="78">
        <f t="shared" si="413"/>
        <v>332.15819999999997</v>
      </c>
      <c r="X1687" s="1878" t="str">
        <f t="shared" si="411"/>
        <v xml:space="preserve">8.- C Vikrant 05022010-OT_208864  Reencauche 030-0039372 </v>
      </c>
      <c r="Z1687" s="19" t="str">
        <f t="shared" si="418"/>
        <v>ReencaucheReencauchadora RENOVA</v>
      </c>
    </row>
    <row r="1688" spans="2:26" ht="15.2" customHeight="1" outlineLevel="1">
      <c r="B1688" s="37"/>
      <c r="C1688" s="2">
        <f t="shared" si="419"/>
        <v>23</v>
      </c>
      <c r="D1688" s="3">
        <f t="shared" si="420"/>
        <v>23</v>
      </c>
      <c r="E1688" s="66">
        <v>9</v>
      </c>
      <c r="F1688" s="67" t="s">
        <v>732</v>
      </c>
      <c r="G1688" s="68" t="s">
        <v>737</v>
      </c>
      <c r="H1688" s="69" t="s">
        <v>1121</v>
      </c>
      <c r="I1688" s="68" t="s">
        <v>726</v>
      </c>
      <c r="J1688" s="70" t="s">
        <v>760</v>
      </c>
      <c r="K1688" s="71" t="s">
        <v>1112</v>
      </c>
      <c r="L1688" s="72">
        <v>42054</v>
      </c>
      <c r="M1688" s="73" t="s">
        <v>729</v>
      </c>
      <c r="N1688" s="74">
        <v>42062</v>
      </c>
      <c r="O1688" s="75">
        <v>42062</v>
      </c>
      <c r="P1688" s="2765" t="s">
        <v>1117</v>
      </c>
      <c r="Q1688" s="2954"/>
      <c r="R1688" s="76">
        <v>281.49</v>
      </c>
      <c r="S1688" s="1945" t="s">
        <v>731</v>
      </c>
      <c r="T1688" s="77"/>
      <c r="U1688" s="1893" t="s">
        <v>693</v>
      </c>
      <c r="V1688" s="2079">
        <f t="shared" si="412"/>
        <v>0</v>
      </c>
      <c r="W1688" s="78">
        <f t="shared" si="413"/>
        <v>332.15819999999997</v>
      </c>
      <c r="X1688" s="1878" t="str">
        <f t="shared" si="411"/>
        <v xml:space="preserve">9.- C Vikrant 0280211-OT_208864  Reencauche 030-0039372 </v>
      </c>
      <c r="Z1688" s="19" t="str">
        <f t="shared" si="418"/>
        <v>ReencaucheReencauchadora RENOVA</v>
      </c>
    </row>
    <row r="1689" spans="2:26" ht="15.2" customHeight="1" outlineLevel="1">
      <c r="B1689" s="37"/>
      <c r="C1689" s="2">
        <f t="shared" si="419"/>
        <v>22</v>
      </c>
      <c r="D1689" s="3">
        <f t="shared" si="420"/>
        <v>22</v>
      </c>
      <c r="E1689" s="66">
        <v>10</v>
      </c>
      <c r="F1689" s="67" t="s">
        <v>732</v>
      </c>
      <c r="G1689" s="68" t="s">
        <v>733</v>
      </c>
      <c r="H1689" s="69" t="s">
        <v>1122</v>
      </c>
      <c r="I1689" s="68" t="s">
        <v>726</v>
      </c>
      <c r="J1689" s="70" t="s">
        <v>760</v>
      </c>
      <c r="K1689" s="71" t="s">
        <v>1112</v>
      </c>
      <c r="L1689" s="72">
        <v>42054</v>
      </c>
      <c r="M1689" s="73" t="s">
        <v>729</v>
      </c>
      <c r="N1689" s="74">
        <v>42062</v>
      </c>
      <c r="O1689" s="75">
        <v>42062</v>
      </c>
      <c r="P1689" s="2765" t="s">
        <v>1117</v>
      </c>
      <c r="Q1689" s="2954"/>
      <c r="R1689" s="76">
        <v>281.49</v>
      </c>
      <c r="S1689" s="1945" t="s">
        <v>731</v>
      </c>
      <c r="T1689" s="77"/>
      <c r="U1689" s="1893" t="s">
        <v>693</v>
      </c>
      <c r="V1689" s="2079">
        <f t="shared" si="412"/>
        <v>0</v>
      </c>
      <c r="W1689" s="78">
        <f t="shared" si="413"/>
        <v>332.15819999999997</v>
      </c>
      <c r="X1689" s="1878" t="str">
        <f t="shared" si="411"/>
        <v xml:space="preserve">10.- C Lima Caucho 0210108-OT_208864  Reencauche 030-0039372 </v>
      </c>
      <c r="Z1689" s="19" t="str">
        <f t="shared" si="418"/>
        <v>ReencaucheReencauchadora RENOVA</v>
      </c>
    </row>
    <row r="1690" spans="2:26" ht="15.2" customHeight="1" outlineLevel="1">
      <c r="B1690" s="37"/>
      <c r="C1690" s="2">
        <f t="shared" si="419"/>
        <v>21</v>
      </c>
      <c r="D1690" s="3">
        <f t="shared" si="420"/>
        <v>21</v>
      </c>
      <c r="E1690" s="66">
        <v>11</v>
      </c>
      <c r="F1690" s="67" t="s">
        <v>732</v>
      </c>
      <c r="G1690" s="68" t="s">
        <v>733</v>
      </c>
      <c r="H1690" s="69" t="s">
        <v>1123</v>
      </c>
      <c r="I1690" s="68" t="s">
        <v>726</v>
      </c>
      <c r="J1690" s="70" t="s">
        <v>760</v>
      </c>
      <c r="K1690" s="71" t="s">
        <v>1112</v>
      </c>
      <c r="L1690" s="72">
        <v>42054</v>
      </c>
      <c r="M1690" s="73" t="s">
        <v>729</v>
      </c>
      <c r="N1690" s="74">
        <v>42062</v>
      </c>
      <c r="O1690" s="75">
        <v>42062</v>
      </c>
      <c r="P1690" s="2765" t="s">
        <v>1117</v>
      </c>
      <c r="Q1690" s="2954"/>
      <c r="R1690" s="76">
        <v>281.49</v>
      </c>
      <c r="S1690" s="1945" t="s">
        <v>731</v>
      </c>
      <c r="T1690" s="77"/>
      <c r="U1690" s="1893" t="s">
        <v>693</v>
      </c>
      <c r="V1690" s="2079">
        <f t="shared" si="412"/>
        <v>0</v>
      </c>
      <c r="W1690" s="78">
        <f t="shared" si="413"/>
        <v>332.15819999999997</v>
      </c>
      <c r="X1690" s="1878" t="str">
        <f t="shared" si="411"/>
        <v xml:space="preserve">11.- C Lima Caucho 0411112-OT_208864  Reencauche 030-0039372 </v>
      </c>
      <c r="Z1690" s="19" t="str">
        <f t="shared" si="418"/>
        <v>ReencaucheReenc. MASTERCAUCHO</v>
      </c>
    </row>
    <row r="1691" spans="2:26" ht="15.2" customHeight="1" outlineLevel="1">
      <c r="B1691" s="37"/>
      <c r="C1691" s="2">
        <f t="shared" si="419"/>
        <v>20</v>
      </c>
      <c r="D1691" s="3">
        <f t="shared" si="420"/>
        <v>20</v>
      </c>
      <c r="E1691" s="66">
        <v>12</v>
      </c>
      <c r="F1691" s="67" t="s">
        <v>732</v>
      </c>
      <c r="G1691" s="68" t="s">
        <v>733</v>
      </c>
      <c r="H1691" s="69" t="s">
        <v>782</v>
      </c>
      <c r="I1691" s="68" t="s">
        <v>726</v>
      </c>
      <c r="J1691" s="70" t="s">
        <v>760</v>
      </c>
      <c r="K1691" s="71" t="s">
        <v>1116</v>
      </c>
      <c r="L1691" s="72">
        <v>42054</v>
      </c>
      <c r="M1691" s="73" t="s">
        <v>729</v>
      </c>
      <c r="N1691" s="74">
        <v>42062</v>
      </c>
      <c r="O1691" s="75">
        <v>42062</v>
      </c>
      <c r="P1691" s="2765" t="s">
        <v>1117</v>
      </c>
      <c r="Q1691" s="2954"/>
      <c r="R1691" s="76">
        <v>281.49</v>
      </c>
      <c r="S1691" s="1945" t="s">
        <v>731</v>
      </c>
      <c r="T1691" s="77"/>
      <c r="U1691" s="1893" t="s">
        <v>693</v>
      </c>
      <c r="V1691" s="2079">
        <f t="shared" si="412"/>
        <v>0</v>
      </c>
      <c r="W1691" s="78">
        <f t="shared" si="413"/>
        <v>332.15819999999997</v>
      </c>
      <c r="X1691" s="1878" t="str">
        <f t="shared" si="411"/>
        <v xml:space="preserve">12.- C Lima Caucho 1011210-OT_208865  Reencauche 030-0039372 </v>
      </c>
      <c r="Z1691" s="19" t="str">
        <f t="shared" si="418"/>
        <v>ReencaucheReenc. MASTERCAUCHO</v>
      </c>
    </row>
    <row r="1692" spans="2:26" ht="15.2" customHeight="1" outlineLevel="1">
      <c r="B1692" s="37"/>
      <c r="C1692" s="2">
        <f t="shared" si="419"/>
        <v>19</v>
      </c>
      <c r="D1692" s="3">
        <f t="shared" si="420"/>
        <v>19</v>
      </c>
      <c r="E1692" s="79">
        <v>13</v>
      </c>
      <c r="F1692" s="80" t="s">
        <v>732</v>
      </c>
      <c r="G1692" s="81" t="s">
        <v>733</v>
      </c>
      <c r="H1692" s="82" t="s">
        <v>1124</v>
      </c>
      <c r="I1692" s="81" t="s">
        <v>726</v>
      </c>
      <c r="J1692" s="83" t="s">
        <v>760</v>
      </c>
      <c r="K1692" s="84" t="s">
        <v>1116</v>
      </c>
      <c r="L1692" s="85">
        <v>42054</v>
      </c>
      <c r="M1692" s="86" t="s">
        <v>729</v>
      </c>
      <c r="N1692" s="87">
        <v>42062</v>
      </c>
      <c r="O1692" s="88">
        <v>42062</v>
      </c>
      <c r="P1692" s="2766" t="s">
        <v>1117</v>
      </c>
      <c r="Q1692" s="2955"/>
      <c r="R1692" s="89">
        <v>281.49</v>
      </c>
      <c r="S1692" s="1946" t="s">
        <v>731</v>
      </c>
      <c r="T1692" s="77"/>
      <c r="U1692" s="1893" t="s">
        <v>693</v>
      </c>
      <c r="V1692" s="2079">
        <f t="shared" si="412"/>
        <v>0</v>
      </c>
      <c r="W1692" s="78">
        <f t="shared" si="413"/>
        <v>332.15819999999997</v>
      </c>
      <c r="X1692" s="1878" t="str">
        <f t="shared" si="411"/>
        <v xml:space="preserve">13.- C Lima Caucho 1000908-OT_208865  Reencauche 030-0039372 </v>
      </c>
      <c r="Z1692" s="19" t="str">
        <f t="shared" si="418"/>
        <v>Transpl BandaReenc. MASTERCAUCHO</v>
      </c>
    </row>
    <row r="1693" spans="2:26" ht="15.2" customHeight="1" outlineLevel="1">
      <c r="B1693" s="37"/>
      <c r="C1693" s="2">
        <f t="shared" si="419"/>
        <v>18</v>
      </c>
      <c r="D1693" s="3">
        <f t="shared" si="420"/>
        <v>18</v>
      </c>
      <c r="E1693" s="66">
        <v>1</v>
      </c>
      <c r="F1693" s="67" t="s">
        <v>732</v>
      </c>
      <c r="G1693" s="68" t="s">
        <v>733</v>
      </c>
      <c r="H1693" s="69" t="s">
        <v>790</v>
      </c>
      <c r="I1693" s="68" t="s">
        <v>726</v>
      </c>
      <c r="J1693" s="70" t="s">
        <v>727</v>
      </c>
      <c r="K1693" s="71" t="s">
        <v>1125</v>
      </c>
      <c r="L1693" s="72">
        <v>42051</v>
      </c>
      <c r="M1693" s="73" t="s">
        <v>729</v>
      </c>
      <c r="N1693" s="74">
        <v>42061</v>
      </c>
      <c r="O1693" s="75">
        <f>+N1693</f>
        <v>42061</v>
      </c>
      <c r="P1693" s="2765" t="s">
        <v>1126</v>
      </c>
      <c r="Q1693" s="2954"/>
      <c r="R1693" s="76">
        <v>254.2372</v>
      </c>
      <c r="S1693" s="1945" t="s">
        <v>731</v>
      </c>
      <c r="T1693" s="77"/>
      <c r="U1693" s="1893" t="s">
        <v>693</v>
      </c>
      <c r="V1693" s="2079">
        <f t="shared" si="412"/>
        <v>0</v>
      </c>
      <c r="W1693" s="78">
        <f t="shared" si="413"/>
        <v>299.99989599999998</v>
      </c>
      <c r="X1693" s="1878" t="str">
        <f t="shared" si="411"/>
        <v xml:space="preserve">1.- C Lima Caucho 1011107-OT_000246  Reencauche 0001-002559 </v>
      </c>
      <c r="Z1693" s="19" t="str">
        <f t="shared" si="418"/>
        <v>Sacar_BandaReenc. MASTERCAUCHO</v>
      </c>
    </row>
    <row r="1694" spans="2:26" ht="15.2" customHeight="1" outlineLevel="1">
      <c r="B1694" s="37"/>
      <c r="C1694" s="2">
        <f t="shared" si="419"/>
        <v>17</v>
      </c>
      <c r="D1694" s="3">
        <f t="shared" si="420"/>
        <v>17</v>
      </c>
      <c r="E1694" s="66">
        <v>2</v>
      </c>
      <c r="F1694" s="67" t="s">
        <v>732</v>
      </c>
      <c r="G1694" s="68" t="s">
        <v>737</v>
      </c>
      <c r="H1694" s="69" t="s">
        <v>755</v>
      </c>
      <c r="I1694" s="68" t="s">
        <v>726</v>
      </c>
      <c r="J1694" s="70" t="s">
        <v>727</v>
      </c>
      <c r="K1694" s="71" t="s">
        <v>1125</v>
      </c>
      <c r="L1694" s="72">
        <v>42051</v>
      </c>
      <c r="M1694" s="73" t="s">
        <v>729</v>
      </c>
      <c r="N1694" s="74">
        <v>42061</v>
      </c>
      <c r="O1694" s="75">
        <f>+N1694</f>
        <v>42061</v>
      </c>
      <c r="P1694" s="2765" t="s">
        <v>1126</v>
      </c>
      <c r="Q1694" s="2954"/>
      <c r="R1694" s="76">
        <v>254.24</v>
      </c>
      <c r="S1694" s="1945" t="s">
        <v>731</v>
      </c>
      <c r="T1694" s="77"/>
      <c r="U1694" s="1893" t="s">
        <v>693</v>
      </c>
      <c r="V1694" s="2079">
        <f t="shared" si="412"/>
        <v>0</v>
      </c>
      <c r="W1694" s="78">
        <f t="shared" si="413"/>
        <v>300.00319999999999</v>
      </c>
      <c r="X1694" s="1878" t="str">
        <f t="shared" si="411"/>
        <v xml:space="preserve">2.- C Vikrant 0771007-OT_000246  Reencauche 0001-002559 </v>
      </c>
      <c r="Z1694" s="19" t="str">
        <f t="shared" si="418"/>
        <v>Vulcanizado (curación)Reenc. MASTERCAUCHO</v>
      </c>
    </row>
    <row r="1695" spans="2:26" ht="15.2" customHeight="1" outlineLevel="1">
      <c r="B1695" s="37"/>
      <c r="C1695" s="2">
        <f>1+C1697</f>
        <v>16</v>
      </c>
      <c r="D1695" s="3">
        <f>1+D1697</f>
        <v>16</v>
      </c>
      <c r="E1695" s="66">
        <v>3</v>
      </c>
      <c r="F1695" s="67" t="s">
        <v>732</v>
      </c>
      <c r="G1695" s="90" t="s">
        <v>733</v>
      </c>
      <c r="H1695" s="91" t="s">
        <v>1127</v>
      </c>
      <c r="I1695" s="90" t="s">
        <v>740</v>
      </c>
      <c r="J1695" s="92" t="s">
        <v>727</v>
      </c>
      <c r="K1695" s="71" t="s">
        <v>1125</v>
      </c>
      <c r="L1695" s="72">
        <v>42051</v>
      </c>
      <c r="M1695" s="73" t="s">
        <v>729</v>
      </c>
      <c r="N1695" s="74">
        <v>42061</v>
      </c>
      <c r="O1695" s="75">
        <f>+N1695</f>
        <v>42061</v>
      </c>
      <c r="P1695" s="2765" t="s">
        <v>1126</v>
      </c>
      <c r="Q1695" s="2954"/>
      <c r="R1695" s="76">
        <v>127.12</v>
      </c>
      <c r="S1695" s="1945" t="s">
        <v>731</v>
      </c>
      <c r="T1695" s="77"/>
      <c r="U1695" s="1893" t="s">
        <v>693</v>
      </c>
      <c r="V1695" s="2079">
        <f t="shared" si="412"/>
        <v>0</v>
      </c>
      <c r="W1695" s="78">
        <f t="shared" si="413"/>
        <v>150.0016</v>
      </c>
      <c r="X1695" s="1878" t="str">
        <f t="shared" si="411"/>
        <v xml:space="preserve">3.- C Lima Caucho 0280508-OT_000246  Transpl Banda 0001-002559 </v>
      </c>
      <c r="Z1695" s="19" t="str">
        <f t="shared" si="418"/>
        <v>Banda de 2ª usadaReenc. MASTERCAUCHO</v>
      </c>
    </row>
    <row r="1696" spans="2:26" ht="15.2" customHeight="1" outlineLevel="1">
      <c r="B1696" s="37"/>
      <c r="E1696" s="79">
        <v>4</v>
      </c>
      <c r="F1696" s="80" t="s">
        <v>732</v>
      </c>
      <c r="G1696" s="114" t="s">
        <v>733</v>
      </c>
      <c r="H1696" s="115" t="s">
        <v>1128</v>
      </c>
      <c r="I1696" s="114" t="s">
        <v>744</v>
      </c>
      <c r="J1696" s="93" t="s">
        <v>727</v>
      </c>
      <c r="K1696" s="84" t="s">
        <v>1125</v>
      </c>
      <c r="L1696" s="85">
        <v>42051</v>
      </c>
      <c r="M1696" s="86" t="s">
        <v>729</v>
      </c>
      <c r="N1696" s="87">
        <v>42061</v>
      </c>
      <c r="O1696" s="88">
        <f>+N1696</f>
        <v>42061</v>
      </c>
      <c r="P1696" s="2766" t="s">
        <v>1126</v>
      </c>
      <c r="Q1696" s="2955"/>
      <c r="R1696" s="89">
        <v>0</v>
      </c>
      <c r="S1696" s="1946" t="s">
        <v>731</v>
      </c>
      <c r="T1696" s="77"/>
      <c r="U1696" s="1893" t="s">
        <v>693</v>
      </c>
      <c r="V1696" s="2079">
        <f t="shared" si="412"/>
        <v>0</v>
      </c>
      <c r="W1696" s="78">
        <f t="shared" si="413"/>
        <v>0</v>
      </c>
      <c r="X1696" s="1878" t="str">
        <f t="shared" si="411"/>
        <v xml:space="preserve">4.- C Lima Caucho 1361207-OT_000246  Sacar_Banda 0001-002559 </v>
      </c>
      <c r="Z1696" s="19" t="str">
        <f t="shared" si="418"/>
        <v>Banda de 2ª usadaReenc. MASTERCAUCHO</v>
      </c>
    </row>
    <row r="1697" spans="2:26" ht="15.2" customHeight="1" outlineLevel="1">
      <c r="B1697" s="37"/>
      <c r="C1697" s="2">
        <f t="shared" ref="C1697:D1704" si="421">1+C1698</f>
        <v>15</v>
      </c>
      <c r="D1697" s="3">
        <f t="shared" si="421"/>
        <v>15</v>
      </c>
      <c r="E1697" s="66">
        <v>1</v>
      </c>
      <c r="F1697" s="67" t="s">
        <v>732</v>
      </c>
      <c r="G1697" s="174" t="s">
        <v>733</v>
      </c>
      <c r="H1697" s="175" t="s">
        <v>1129</v>
      </c>
      <c r="I1697" s="174" t="s">
        <v>811</v>
      </c>
      <c r="J1697" s="176" t="s">
        <v>727</v>
      </c>
      <c r="K1697" s="71" t="s">
        <v>1130</v>
      </c>
      <c r="L1697" s="72">
        <v>42044</v>
      </c>
      <c r="M1697" s="73" t="s">
        <v>729</v>
      </c>
      <c r="N1697" s="74">
        <v>42051</v>
      </c>
      <c r="O1697" s="75">
        <f>+N1697</f>
        <v>42051</v>
      </c>
      <c r="P1697" s="2765" t="s">
        <v>1131</v>
      </c>
      <c r="Q1697" s="2954"/>
      <c r="R1697" s="76">
        <v>105.33</v>
      </c>
      <c r="S1697" s="1945" t="s">
        <v>731</v>
      </c>
      <c r="T1697" s="77"/>
      <c r="U1697" s="1893" t="s">
        <v>693</v>
      </c>
      <c r="V1697" s="2079">
        <f t="shared" si="412"/>
        <v>0</v>
      </c>
      <c r="W1697" s="78">
        <f t="shared" si="413"/>
        <v>124.28939999999999</v>
      </c>
      <c r="X1697" s="1878" t="str">
        <f t="shared" si="411"/>
        <v xml:space="preserve">1.- C Lima Caucho 0630407-OT_000239  Vulcanizado (curación) 0001-002480 </v>
      </c>
      <c r="Z1697" s="19" t="str">
        <f t="shared" si="418"/>
        <v>Banda de 2ª usadaReenc. MASTERCAUCHO</v>
      </c>
    </row>
    <row r="1698" spans="2:26" ht="15.2" customHeight="1" outlineLevel="1">
      <c r="B1698" s="37"/>
      <c r="C1698" s="2">
        <f t="shared" si="421"/>
        <v>14</v>
      </c>
      <c r="D1698" s="3">
        <f t="shared" si="421"/>
        <v>14</v>
      </c>
      <c r="E1698" s="66">
        <v>2</v>
      </c>
      <c r="F1698" s="67" t="s">
        <v>732</v>
      </c>
      <c r="G1698" s="90" t="s">
        <v>733</v>
      </c>
      <c r="H1698" s="91" t="s">
        <v>1132</v>
      </c>
      <c r="I1698" s="90" t="s">
        <v>742</v>
      </c>
      <c r="J1698" s="92" t="s">
        <v>727</v>
      </c>
      <c r="K1698" s="71" t="s">
        <v>1130</v>
      </c>
      <c r="L1698" s="72">
        <v>42044</v>
      </c>
      <c r="M1698" s="73" t="s">
        <v>729</v>
      </c>
      <c r="N1698" s="74">
        <v>42051</v>
      </c>
      <c r="O1698" s="75">
        <v>42051</v>
      </c>
      <c r="P1698" s="2765" t="s">
        <v>1131</v>
      </c>
      <c r="Q1698" s="2954"/>
      <c r="R1698" s="76">
        <v>211.86</v>
      </c>
      <c r="S1698" s="1945" t="s">
        <v>731</v>
      </c>
      <c r="T1698" s="77"/>
      <c r="U1698" s="1893" t="s">
        <v>693</v>
      </c>
      <c r="V1698" s="2079">
        <f t="shared" si="412"/>
        <v>0</v>
      </c>
      <c r="W1698" s="78">
        <f t="shared" si="413"/>
        <v>249.9948</v>
      </c>
      <c r="X1698" s="1878" t="str">
        <f t="shared" ref="X1698:X1761" si="422">CONCATENATE(E1698,".- ",F1698," ",G1698," ",H1698,"-OT_",K1698," "," ",I1698," ",P1698," ",T1698)</f>
        <v xml:space="preserve">2.- C Lima Caucho 0620808-OT_000239  Banda de 2ª usada 0001-002480 </v>
      </c>
      <c r="Z1698" s="19" t="str">
        <f t="shared" si="418"/>
        <v>Vulcanizado (curación)Reenc. MASTERCAUCHO</v>
      </c>
    </row>
    <row r="1699" spans="2:26" ht="15.2" customHeight="1" outlineLevel="1">
      <c r="B1699" s="37"/>
      <c r="C1699" s="2">
        <f t="shared" si="421"/>
        <v>13</v>
      </c>
      <c r="D1699" s="3">
        <f t="shared" si="421"/>
        <v>13</v>
      </c>
      <c r="E1699" s="66">
        <v>3</v>
      </c>
      <c r="F1699" s="67" t="s">
        <v>732</v>
      </c>
      <c r="G1699" s="90" t="s">
        <v>733</v>
      </c>
      <c r="H1699" s="91" t="s">
        <v>1133</v>
      </c>
      <c r="I1699" s="90" t="s">
        <v>742</v>
      </c>
      <c r="J1699" s="92" t="s">
        <v>727</v>
      </c>
      <c r="K1699" s="71" t="s">
        <v>1130</v>
      </c>
      <c r="L1699" s="72">
        <v>42044</v>
      </c>
      <c r="M1699" s="73" t="s">
        <v>729</v>
      </c>
      <c r="N1699" s="74">
        <v>42051</v>
      </c>
      <c r="O1699" s="75">
        <v>42051</v>
      </c>
      <c r="P1699" s="2765" t="s">
        <v>1131</v>
      </c>
      <c r="Q1699" s="2954"/>
      <c r="R1699" s="76">
        <v>211.86</v>
      </c>
      <c r="S1699" s="1945" t="s">
        <v>731</v>
      </c>
      <c r="T1699" s="77"/>
      <c r="U1699" s="1893" t="s">
        <v>693</v>
      </c>
      <c r="V1699" s="2079">
        <f t="shared" ref="V1699:V1762" si="423">+Q1699*(1.18)</f>
        <v>0</v>
      </c>
      <c r="W1699" s="78">
        <f t="shared" ref="W1699:W1762" si="424">+R1699*(1.18)</f>
        <v>249.9948</v>
      </c>
      <c r="X1699" s="1878" t="str">
        <f t="shared" si="422"/>
        <v xml:space="preserve">3.- C Lima Caucho 0110107-OT_000239  Banda de 2ª usada 0001-002480 </v>
      </c>
      <c r="Z1699" s="19" t="str">
        <f t="shared" si="418"/>
        <v>Vulcanizado (curación)Reenc. MASTERCAUCHO</v>
      </c>
    </row>
    <row r="1700" spans="2:26" ht="15.2" customHeight="1" outlineLevel="1">
      <c r="B1700" s="37"/>
      <c r="C1700" s="2">
        <f t="shared" si="421"/>
        <v>12</v>
      </c>
      <c r="D1700" s="3">
        <f t="shared" si="421"/>
        <v>12</v>
      </c>
      <c r="E1700" s="79">
        <v>4</v>
      </c>
      <c r="F1700" s="80" t="s">
        <v>732</v>
      </c>
      <c r="G1700" s="114" t="s">
        <v>733</v>
      </c>
      <c r="H1700" s="115" t="s">
        <v>851</v>
      </c>
      <c r="I1700" s="114" t="s">
        <v>742</v>
      </c>
      <c r="J1700" s="93" t="s">
        <v>727</v>
      </c>
      <c r="K1700" s="84" t="s">
        <v>1130</v>
      </c>
      <c r="L1700" s="85">
        <v>42044</v>
      </c>
      <c r="M1700" s="86" t="s">
        <v>729</v>
      </c>
      <c r="N1700" s="87">
        <v>42051</v>
      </c>
      <c r="O1700" s="88">
        <v>42051</v>
      </c>
      <c r="P1700" s="2766" t="s">
        <v>1131</v>
      </c>
      <c r="Q1700" s="2955"/>
      <c r="R1700" s="89">
        <v>211.86</v>
      </c>
      <c r="S1700" s="1946" t="s">
        <v>731</v>
      </c>
      <c r="T1700" s="77"/>
      <c r="U1700" s="1893" t="s">
        <v>693</v>
      </c>
      <c r="V1700" s="2079">
        <f t="shared" si="423"/>
        <v>0</v>
      </c>
      <c r="W1700" s="78">
        <f t="shared" si="424"/>
        <v>249.9948</v>
      </c>
      <c r="X1700" s="1878" t="str">
        <f t="shared" si="422"/>
        <v xml:space="preserve">4.- C Lima Caucho 1211207-OT_000239  Banda de 2ª usada 0001-002480 </v>
      </c>
      <c r="Z1700" s="19" t="str">
        <f t="shared" si="418"/>
        <v>Transpl BandaReenc. MASTERCAUCHO</v>
      </c>
    </row>
    <row r="1701" spans="2:26" ht="15.2" customHeight="1" outlineLevel="1">
      <c r="B1701" s="37"/>
      <c r="C1701" s="2">
        <f t="shared" si="421"/>
        <v>11</v>
      </c>
      <c r="D1701" s="3">
        <f t="shared" si="421"/>
        <v>11</v>
      </c>
      <c r="E1701" s="66">
        <v>1</v>
      </c>
      <c r="F1701" s="67" t="s">
        <v>732</v>
      </c>
      <c r="G1701" s="174" t="s">
        <v>733</v>
      </c>
      <c r="H1701" s="175" t="s">
        <v>1134</v>
      </c>
      <c r="I1701" s="174" t="s">
        <v>811</v>
      </c>
      <c r="J1701" s="176" t="s">
        <v>727</v>
      </c>
      <c r="K1701" s="71" t="s">
        <v>1144</v>
      </c>
      <c r="L1701" s="72">
        <v>42033</v>
      </c>
      <c r="M1701" s="73" t="s">
        <v>729</v>
      </c>
      <c r="N1701" s="74">
        <v>42042</v>
      </c>
      <c r="O1701" s="75">
        <f t="shared" ref="O1701:O1717" si="425">+N1701</f>
        <v>42042</v>
      </c>
      <c r="P1701" s="2765"/>
      <c r="Q1701" s="2954"/>
      <c r="R1701" s="76">
        <v>109.53</v>
      </c>
      <c r="S1701" s="1945" t="s">
        <v>731</v>
      </c>
      <c r="T1701" s="77"/>
      <c r="U1701" s="1893" t="s">
        <v>693</v>
      </c>
      <c r="V1701" s="2079">
        <f t="shared" si="423"/>
        <v>0</v>
      </c>
      <c r="W1701" s="78">
        <f t="shared" si="424"/>
        <v>129.24539999999999</v>
      </c>
      <c r="X1701" s="1878" t="str">
        <f t="shared" si="422"/>
        <v xml:space="preserve">1.- C Lima Caucho 0380608-OT_000234  Vulcanizado (curación)  </v>
      </c>
      <c r="Z1701" s="19" t="str">
        <f t="shared" si="418"/>
        <v>Transpl BandaReenc. MASTERCAUCHO</v>
      </c>
    </row>
    <row r="1702" spans="2:26" ht="15.2" customHeight="1" outlineLevel="1">
      <c r="B1702" s="37"/>
      <c r="C1702" s="2">
        <f t="shared" si="421"/>
        <v>10</v>
      </c>
      <c r="D1702" s="3">
        <f t="shared" si="421"/>
        <v>10</v>
      </c>
      <c r="E1702" s="66">
        <v>2</v>
      </c>
      <c r="F1702" s="67" t="s">
        <v>732</v>
      </c>
      <c r="G1702" s="174" t="s">
        <v>733</v>
      </c>
      <c r="H1702" s="175" t="s">
        <v>1128</v>
      </c>
      <c r="I1702" s="174" t="s">
        <v>811</v>
      </c>
      <c r="J1702" s="176" t="s">
        <v>727</v>
      </c>
      <c r="K1702" s="71" t="s">
        <v>1144</v>
      </c>
      <c r="L1702" s="72">
        <v>42033</v>
      </c>
      <c r="M1702" s="73" t="s">
        <v>729</v>
      </c>
      <c r="N1702" s="74">
        <v>42042</v>
      </c>
      <c r="O1702" s="75">
        <f t="shared" si="425"/>
        <v>42042</v>
      </c>
      <c r="P1702" s="2765"/>
      <c r="Q1702" s="2954"/>
      <c r="R1702" s="76">
        <v>109.53</v>
      </c>
      <c r="S1702" s="1945" t="s">
        <v>731</v>
      </c>
      <c r="T1702" s="77"/>
      <c r="U1702" s="1893" t="s">
        <v>693</v>
      </c>
      <c r="V1702" s="2079">
        <f t="shared" si="423"/>
        <v>0</v>
      </c>
      <c r="W1702" s="78">
        <f t="shared" si="424"/>
        <v>129.24539999999999</v>
      </c>
      <c r="X1702" s="1878" t="str">
        <f t="shared" si="422"/>
        <v xml:space="preserve">2.- C Lima Caucho 1361207-OT_000234  Vulcanizado (curación)  </v>
      </c>
      <c r="Z1702" s="19" t="str">
        <f t="shared" si="418"/>
        <v>Transpl BandaReenc. MASTERCAUCHO</v>
      </c>
    </row>
    <row r="1703" spans="2:26" ht="15.2" customHeight="1" outlineLevel="1">
      <c r="B1703" s="37"/>
      <c r="C1703" s="2">
        <f t="shared" si="421"/>
        <v>9</v>
      </c>
      <c r="D1703" s="3">
        <f t="shared" si="421"/>
        <v>9</v>
      </c>
      <c r="E1703" s="66">
        <v>3</v>
      </c>
      <c r="F1703" s="67" t="s">
        <v>732</v>
      </c>
      <c r="G1703" s="68" t="s">
        <v>737</v>
      </c>
      <c r="H1703" s="91" t="s">
        <v>915</v>
      </c>
      <c r="I1703" s="90" t="s">
        <v>740</v>
      </c>
      <c r="J1703" s="92" t="s">
        <v>727</v>
      </c>
      <c r="K1703" s="71" t="s">
        <v>1144</v>
      </c>
      <c r="L1703" s="72">
        <v>42033</v>
      </c>
      <c r="M1703" s="73" t="s">
        <v>729</v>
      </c>
      <c r="N1703" s="74">
        <v>42042</v>
      </c>
      <c r="O1703" s="75">
        <f t="shared" si="425"/>
        <v>42042</v>
      </c>
      <c r="P1703" s="2765"/>
      <c r="Q1703" s="2954"/>
      <c r="R1703" s="76">
        <v>127.12</v>
      </c>
      <c r="S1703" s="1945" t="s">
        <v>731</v>
      </c>
      <c r="T1703" s="77"/>
      <c r="U1703" s="1893" t="s">
        <v>693</v>
      </c>
      <c r="V1703" s="2079">
        <f t="shared" si="423"/>
        <v>0</v>
      </c>
      <c r="W1703" s="78">
        <f t="shared" si="424"/>
        <v>150.0016</v>
      </c>
      <c r="X1703" s="1878" t="str">
        <f t="shared" si="422"/>
        <v xml:space="preserve">3.- C Vikrant 0720906-OT_000234  Transpl Banda  </v>
      </c>
      <c r="Z1703" s="19" t="str">
        <f t="shared" si="418"/>
        <v>Sacar_BandaReenc. MASTERCAUCHO</v>
      </c>
    </row>
    <row r="1704" spans="2:26" ht="15.2" customHeight="1" outlineLevel="1">
      <c r="B1704" s="37"/>
      <c r="C1704" s="2">
        <f t="shared" si="421"/>
        <v>8</v>
      </c>
      <c r="D1704" s="3">
        <f t="shared" si="421"/>
        <v>8</v>
      </c>
      <c r="E1704" s="66">
        <v>4</v>
      </c>
      <c r="F1704" s="67" t="s">
        <v>732</v>
      </c>
      <c r="G1704" s="68" t="s">
        <v>769</v>
      </c>
      <c r="H1704" s="91" t="s">
        <v>1145</v>
      </c>
      <c r="I1704" s="90" t="s">
        <v>740</v>
      </c>
      <c r="J1704" s="92" t="s">
        <v>727</v>
      </c>
      <c r="K1704" s="71" t="s">
        <v>1144</v>
      </c>
      <c r="L1704" s="72">
        <v>42033</v>
      </c>
      <c r="M1704" s="73" t="s">
        <v>729</v>
      </c>
      <c r="N1704" s="74">
        <v>42042</v>
      </c>
      <c r="O1704" s="75">
        <f t="shared" si="425"/>
        <v>42042</v>
      </c>
      <c r="P1704" s="2765"/>
      <c r="Q1704" s="2954"/>
      <c r="R1704" s="76">
        <v>127.12</v>
      </c>
      <c r="S1704" s="1945" t="s">
        <v>731</v>
      </c>
      <c r="T1704" s="77"/>
      <c r="U1704" s="1893" t="s">
        <v>693</v>
      </c>
      <c r="V1704" s="2079">
        <f t="shared" si="423"/>
        <v>0</v>
      </c>
      <c r="W1704" s="78">
        <f t="shared" si="424"/>
        <v>150.0016</v>
      </c>
      <c r="X1704" s="1878" t="str">
        <f t="shared" si="422"/>
        <v xml:space="preserve">4.- C Lu He 0410509-OT_000234  Transpl Banda  </v>
      </c>
      <c r="Z1704" s="19" t="str">
        <f t="shared" si="418"/>
        <v>Sacar_BandaReenc. MASTERCAUCHO</v>
      </c>
    </row>
    <row r="1705" spans="2:26" ht="15.2" customHeight="1" outlineLevel="1">
      <c r="B1705" s="37"/>
      <c r="C1705" s="2">
        <f>1+C1709</f>
        <v>7</v>
      </c>
      <c r="D1705" s="3">
        <f>1+D1709</f>
        <v>7</v>
      </c>
      <c r="E1705" s="66">
        <v>5</v>
      </c>
      <c r="F1705" s="67" t="s">
        <v>732</v>
      </c>
      <c r="G1705" s="68" t="s">
        <v>737</v>
      </c>
      <c r="H1705" s="91" t="s">
        <v>1146</v>
      </c>
      <c r="I1705" s="90" t="s">
        <v>740</v>
      </c>
      <c r="J1705" s="92" t="s">
        <v>727</v>
      </c>
      <c r="K1705" s="71" t="s">
        <v>1144</v>
      </c>
      <c r="L1705" s="72">
        <v>42033</v>
      </c>
      <c r="M1705" s="73" t="s">
        <v>729</v>
      </c>
      <c r="N1705" s="74">
        <v>42042</v>
      </c>
      <c r="O1705" s="75">
        <f t="shared" si="425"/>
        <v>42042</v>
      </c>
      <c r="P1705" s="2765"/>
      <c r="Q1705" s="2954"/>
      <c r="R1705" s="76">
        <v>27.12</v>
      </c>
      <c r="S1705" s="1945" t="s">
        <v>731</v>
      </c>
      <c r="T1705" s="77"/>
      <c r="U1705" s="1893" t="s">
        <v>693</v>
      </c>
      <c r="V1705" s="2079">
        <f t="shared" si="423"/>
        <v>0</v>
      </c>
      <c r="W1705" s="78">
        <f t="shared" si="424"/>
        <v>32.001599999999996</v>
      </c>
      <c r="X1705" s="1878" t="str">
        <f t="shared" si="422"/>
        <v xml:space="preserve">5.- C Vikrant 1441105-OT_000234  Transpl Banda  </v>
      </c>
      <c r="Z1705" s="19" t="str">
        <f t="shared" si="418"/>
        <v>Sacar_BandaReenc. MASTERCAUCHO</v>
      </c>
    </row>
    <row r="1706" spans="2:26" ht="15.2" customHeight="1" outlineLevel="1">
      <c r="B1706" s="37"/>
      <c r="E1706" s="66">
        <v>6</v>
      </c>
      <c r="F1706" s="67" t="s">
        <v>732</v>
      </c>
      <c r="G1706" s="68" t="s">
        <v>737</v>
      </c>
      <c r="H1706" s="91" t="s">
        <v>1147</v>
      </c>
      <c r="I1706" s="90" t="s">
        <v>744</v>
      </c>
      <c r="J1706" s="92" t="s">
        <v>727</v>
      </c>
      <c r="K1706" s="71" t="s">
        <v>1144</v>
      </c>
      <c r="L1706" s="72">
        <v>42033</v>
      </c>
      <c r="M1706" s="73" t="s">
        <v>729</v>
      </c>
      <c r="N1706" s="74">
        <v>42042</v>
      </c>
      <c r="O1706" s="75">
        <f t="shared" si="425"/>
        <v>42042</v>
      </c>
      <c r="P1706" s="2765"/>
      <c r="Q1706" s="2954"/>
      <c r="R1706" s="76">
        <v>0</v>
      </c>
      <c r="S1706" s="1945" t="s">
        <v>731</v>
      </c>
      <c r="T1706" s="77"/>
      <c r="U1706" s="1893" t="s">
        <v>693</v>
      </c>
      <c r="V1706" s="2079">
        <f t="shared" si="423"/>
        <v>0</v>
      </c>
      <c r="W1706" s="78">
        <f t="shared" si="424"/>
        <v>0</v>
      </c>
      <c r="X1706" s="1878" t="str">
        <f t="shared" si="422"/>
        <v xml:space="preserve">6.- C Vikrant 0160310-OT_000234  Sacar_Banda  </v>
      </c>
      <c r="Z1706" s="19" t="str">
        <f t="shared" si="418"/>
        <v>ReencaucheReencauchadora RENOVA</v>
      </c>
    </row>
    <row r="1707" spans="2:26" ht="15.2" customHeight="1" outlineLevel="1">
      <c r="B1707" s="37"/>
      <c r="E1707" s="66">
        <v>7</v>
      </c>
      <c r="F1707" s="67" t="s">
        <v>732</v>
      </c>
      <c r="G1707" s="68" t="s">
        <v>733</v>
      </c>
      <c r="H1707" s="91" t="s">
        <v>1148</v>
      </c>
      <c r="I1707" s="90" t="s">
        <v>744</v>
      </c>
      <c r="J1707" s="92" t="s">
        <v>727</v>
      </c>
      <c r="K1707" s="71" t="s">
        <v>1144</v>
      </c>
      <c r="L1707" s="72">
        <v>42033</v>
      </c>
      <c r="M1707" s="73" t="s">
        <v>729</v>
      </c>
      <c r="N1707" s="74">
        <v>42042</v>
      </c>
      <c r="O1707" s="75">
        <f t="shared" si="425"/>
        <v>42042</v>
      </c>
      <c r="P1707" s="2765"/>
      <c r="Q1707" s="2954"/>
      <c r="R1707" s="76">
        <v>0</v>
      </c>
      <c r="S1707" s="1945" t="s">
        <v>731</v>
      </c>
      <c r="T1707" s="77"/>
      <c r="U1707" s="1893" t="s">
        <v>693</v>
      </c>
      <c r="V1707" s="2079">
        <f t="shared" si="423"/>
        <v>0</v>
      </c>
      <c r="W1707" s="78">
        <f t="shared" si="424"/>
        <v>0</v>
      </c>
      <c r="X1707" s="1878" t="str">
        <f t="shared" si="422"/>
        <v xml:space="preserve">7.- C Lima Caucho 1051107-OT_000234  Sacar_Banda  </v>
      </c>
      <c r="Z1707" s="19" t="str">
        <f t="shared" si="418"/>
        <v>ReencaucheReencauchadora RENOVA</v>
      </c>
    </row>
    <row r="1708" spans="2:26" ht="15.2" customHeight="1" outlineLevel="1">
      <c r="B1708" s="37"/>
      <c r="E1708" s="79">
        <v>8</v>
      </c>
      <c r="F1708" s="80" t="s">
        <v>732</v>
      </c>
      <c r="G1708" s="81" t="s">
        <v>831</v>
      </c>
      <c r="H1708" s="115" t="s">
        <v>1149</v>
      </c>
      <c r="I1708" s="114" t="s">
        <v>744</v>
      </c>
      <c r="J1708" s="93" t="s">
        <v>727</v>
      </c>
      <c r="K1708" s="84" t="s">
        <v>1144</v>
      </c>
      <c r="L1708" s="85">
        <v>42033</v>
      </c>
      <c r="M1708" s="86" t="s">
        <v>729</v>
      </c>
      <c r="N1708" s="87">
        <v>42042</v>
      </c>
      <c r="O1708" s="88">
        <f t="shared" si="425"/>
        <v>42042</v>
      </c>
      <c r="P1708" s="2766"/>
      <c r="Q1708" s="2955"/>
      <c r="R1708" s="89">
        <v>0</v>
      </c>
      <c r="S1708" s="1946" t="s">
        <v>731</v>
      </c>
      <c r="T1708" s="77"/>
      <c r="U1708" s="1893" t="s">
        <v>693</v>
      </c>
      <c r="V1708" s="2079">
        <f t="shared" si="423"/>
        <v>0</v>
      </c>
      <c r="W1708" s="78">
        <f t="shared" si="424"/>
        <v>0</v>
      </c>
      <c r="X1708" s="1878" t="str">
        <f t="shared" si="422"/>
        <v xml:space="preserve">8.- C Kumho 1761004-OT_000234  Sacar_Banda  </v>
      </c>
      <c r="Z1708" s="19" t="str">
        <f t="shared" si="418"/>
        <v>ReencaucheReencauchadora RENOVA</v>
      </c>
    </row>
    <row r="1709" spans="2:26" ht="15.2" customHeight="1" outlineLevel="1">
      <c r="B1709" s="37"/>
      <c r="C1709" s="2">
        <f t="shared" ref="C1709:D1714" si="426">1+C1710</f>
        <v>6</v>
      </c>
      <c r="D1709" s="3">
        <f t="shared" si="426"/>
        <v>6</v>
      </c>
      <c r="E1709" s="66">
        <v>1</v>
      </c>
      <c r="F1709" s="67" t="s">
        <v>732</v>
      </c>
      <c r="G1709" s="68" t="s">
        <v>733</v>
      </c>
      <c r="H1709" s="69" t="s">
        <v>1150</v>
      </c>
      <c r="I1709" s="68" t="s">
        <v>726</v>
      </c>
      <c r="J1709" s="70" t="s">
        <v>760</v>
      </c>
      <c r="K1709" s="71" t="s">
        <v>1151</v>
      </c>
      <c r="L1709" s="72">
        <v>42028</v>
      </c>
      <c r="M1709" s="73" t="s">
        <v>729</v>
      </c>
      <c r="N1709" s="74">
        <v>42040</v>
      </c>
      <c r="O1709" s="75">
        <f t="shared" si="425"/>
        <v>42040</v>
      </c>
      <c r="P1709" s="2765" t="s">
        <v>1152</v>
      </c>
      <c r="Q1709" s="2954"/>
      <c r="R1709" s="76">
        <v>281.49</v>
      </c>
      <c r="S1709" s="1945" t="s">
        <v>731</v>
      </c>
      <c r="T1709" s="77"/>
      <c r="U1709" s="1893" t="s">
        <v>693</v>
      </c>
      <c r="V1709" s="2079">
        <f t="shared" si="423"/>
        <v>0</v>
      </c>
      <c r="W1709" s="78">
        <f t="shared" si="424"/>
        <v>332.15819999999997</v>
      </c>
      <c r="X1709" s="1878" t="str">
        <f t="shared" si="422"/>
        <v xml:space="preserve">1.- C Lima Caucho 0590807-OT_207192  Reencauche 030-038896 </v>
      </c>
      <c r="Z1709" s="19" t="str">
        <f t="shared" si="418"/>
        <v>ReencaucheReencauchadora RENOVA</v>
      </c>
    </row>
    <row r="1710" spans="2:26" ht="15.2" customHeight="1" outlineLevel="1">
      <c r="B1710" s="37"/>
      <c r="C1710" s="2">
        <f t="shared" si="426"/>
        <v>5</v>
      </c>
      <c r="D1710" s="3">
        <f t="shared" si="426"/>
        <v>5</v>
      </c>
      <c r="E1710" s="66">
        <v>2</v>
      </c>
      <c r="F1710" s="67" t="s">
        <v>732</v>
      </c>
      <c r="G1710" s="68" t="s">
        <v>733</v>
      </c>
      <c r="H1710" s="69" t="s">
        <v>1153</v>
      </c>
      <c r="I1710" s="68" t="s">
        <v>726</v>
      </c>
      <c r="J1710" s="70" t="s">
        <v>760</v>
      </c>
      <c r="K1710" s="71" t="s">
        <v>1151</v>
      </c>
      <c r="L1710" s="72">
        <v>42028</v>
      </c>
      <c r="M1710" s="73" t="s">
        <v>729</v>
      </c>
      <c r="N1710" s="74">
        <v>42040</v>
      </c>
      <c r="O1710" s="75">
        <f t="shared" si="425"/>
        <v>42040</v>
      </c>
      <c r="P1710" s="2765" t="s">
        <v>1152</v>
      </c>
      <c r="Q1710" s="2954"/>
      <c r="R1710" s="76">
        <v>281.49</v>
      </c>
      <c r="S1710" s="1945" t="s">
        <v>731</v>
      </c>
      <c r="T1710" s="77"/>
      <c r="U1710" s="1893" t="s">
        <v>693</v>
      </c>
      <c r="V1710" s="2079">
        <f t="shared" si="423"/>
        <v>0</v>
      </c>
      <c r="W1710" s="78">
        <f t="shared" si="424"/>
        <v>332.15819999999997</v>
      </c>
      <c r="X1710" s="1878" t="str">
        <f t="shared" si="422"/>
        <v xml:space="preserve">2.- C Lima Caucho 1031107-OT_207192  Reencauche 030-038896 </v>
      </c>
      <c r="Z1710" s="19" t="str">
        <f t="shared" si="418"/>
        <v>ReencaucheReencauchadora RENOVA</v>
      </c>
    </row>
    <row r="1711" spans="2:26" ht="15.2" customHeight="1" outlineLevel="1">
      <c r="B1711" s="37"/>
      <c r="C1711" s="2">
        <f t="shared" si="426"/>
        <v>4</v>
      </c>
      <c r="D1711" s="3">
        <f t="shared" si="426"/>
        <v>4</v>
      </c>
      <c r="E1711" s="66">
        <v>3</v>
      </c>
      <c r="F1711" s="67" t="s">
        <v>732</v>
      </c>
      <c r="G1711" s="68" t="s">
        <v>733</v>
      </c>
      <c r="H1711" s="69" t="s">
        <v>1154</v>
      </c>
      <c r="I1711" s="68" t="s">
        <v>726</v>
      </c>
      <c r="J1711" s="70" t="s">
        <v>760</v>
      </c>
      <c r="K1711" s="71" t="s">
        <v>1151</v>
      </c>
      <c r="L1711" s="72">
        <v>42028</v>
      </c>
      <c r="M1711" s="73" t="s">
        <v>729</v>
      </c>
      <c r="N1711" s="74">
        <v>42040</v>
      </c>
      <c r="O1711" s="75">
        <f t="shared" si="425"/>
        <v>42040</v>
      </c>
      <c r="P1711" s="2765" t="s">
        <v>1152</v>
      </c>
      <c r="Q1711" s="2954"/>
      <c r="R1711" s="76">
        <v>281.49</v>
      </c>
      <c r="S1711" s="1945" t="s">
        <v>731</v>
      </c>
      <c r="T1711" s="77"/>
      <c r="U1711" s="1893" t="s">
        <v>693</v>
      </c>
      <c r="V1711" s="2079">
        <f t="shared" si="423"/>
        <v>0</v>
      </c>
      <c r="W1711" s="78">
        <f t="shared" si="424"/>
        <v>332.15819999999997</v>
      </c>
      <c r="X1711" s="1878" t="str">
        <f t="shared" si="422"/>
        <v xml:space="preserve">3.- C Lima Caucho 0380411-OT_207192  Reencauche 030-038896 </v>
      </c>
      <c r="Z1711" s="19" t="str">
        <f t="shared" si="418"/>
        <v>ReencaucheReencauchadora RENOVA</v>
      </c>
    </row>
    <row r="1712" spans="2:26" ht="15.2" customHeight="1" outlineLevel="1">
      <c r="B1712" s="37"/>
      <c r="C1712" s="2">
        <f t="shared" si="426"/>
        <v>3</v>
      </c>
      <c r="D1712" s="3">
        <f t="shared" si="426"/>
        <v>3</v>
      </c>
      <c r="E1712" s="66">
        <v>4</v>
      </c>
      <c r="F1712" s="67" t="s">
        <v>732</v>
      </c>
      <c r="G1712" s="68" t="s">
        <v>757</v>
      </c>
      <c r="H1712" s="69" t="s">
        <v>1155</v>
      </c>
      <c r="I1712" s="68" t="s">
        <v>726</v>
      </c>
      <c r="J1712" s="70" t="s">
        <v>760</v>
      </c>
      <c r="K1712" s="71" t="s">
        <v>1156</v>
      </c>
      <c r="L1712" s="72">
        <v>42028</v>
      </c>
      <c r="M1712" s="73" t="s">
        <v>729</v>
      </c>
      <c r="N1712" s="74">
        <v>42040</v>
      </c>
      <c r="O1712" s="75">
        <f t="shared" si="425"/>
        <v>42040</v>
      </c>
      <c r="P1712" s="2765" t="s">
        <v>1152</v>
      </c>
      <c r="Q1712" s="2954"/>
      <c r="R1712" s="76">
        <v>281.49</v>
      </c>
      <c r="S1712" s="1945" t="s">
        <v>731</v>
      </c>
      <c r="T1712" s="77"/>
      <c r="U1712" s="1893" t="s">
        <v>693</v>
      </c>
      <c r="V1712" s="2079">
        <f t="shared" si="423"/>
        <v>0</v>
      </c>
      <c r="W1712" s="78">
        <f t="shared" si="424"/>
        <v>332.15819999999997</v>
      </c>
      <c r="X1712" s="1878" t="str">
        <f t="shared" si="422"/>
        <v xml:space="preserve">4.- C Goodyear 1140704-OT_207193  Reencauche 030-038896 </v>
      </c>
      <c r="Z1712" s="19" t="str">
        <f t="shared" si="418"/>
        <v>ReencaucheReencauchadora RENOVA</v>
      </c>
    </row>
    <row r="1713" spans="2:26" ht="15.2" customHeight="1" outlineLevel="1">
      <c r="B1713" s="37"/>
      <c r="C1713" s="2">
        <f t="shared" si="426"/>
        <v>2</v>
      </c>
      <c r="D1713" s="3">
        <f t="shared" si="426"/>
        <v>2</v>
      </c>
      <c r="E1713" s="66">
        <v>5</v>
      </c>
      <c r="F1713" s="67" t="s">
        <v>732</v>
      </c>
      <c r="G1713" s="68" t="s">
        <v>737</v>
      </c>
      <c r="H1713" s="69" t="s">
        <v>845</v>
      </c>
      <c r="I1713" s="68" t="s">
        <v>726</v>
      </c>
      <c r="J1713" s="70" t="s">
        <v>760</v>
      </c>
      <c r="K1713" s="71" t="s">
        <v>1156</v>
      </c>
      <c r="L1713" s="72">
        <v>42028</v>
      </c>
      <c r="M1713" s="73" t="s">
        <v>729</v>
      </c>
      <c r="N1713" s="74">
        <v>42040</v>
      </c>
      <c r="O1713" s="75">
        <f t="shared" si="425"/>
        <v>42040</v>
      </c>
      <c r="P1713" s="2765" t="s">
        <v>1152</v>
      </c>
      <c r="Q1713" s="2954"/>
      <c r="R1713" s="76">
        <v>281.49</v>
      </c>
      <c r="S1713" s="1945" t="s">
        <v>731</v>
      </c>
      <c r="T1713" s="77"/>
      <c r="U1713" s="1893" t="s">
        <v>693</v>
      </c>
      <c r="V1713" s="2079">
        <f t="shared" si="423"/>
        <v>0</v>
      </c>
      <c r="W1713" s="78">
        <f t="shared" si="424"/>
        <v>332.15819999999997</v>
      </c>
      <c r="X1713" s="1878" t="str">
        <f t="shared" si="422"/>
        <v xml:space="preserve">5.- C Vikrant 1010705-OT_207193  Reencauche 030-038896 </v>
      </c>
      <c r="Z1713" s="19" t="str">
        <f t="shared" si="418"/>
        <v>ReencaucheReencauchadora RENOVA</v>
      </c>
    </row>
    <row r="1714" spans="2:26" ht="15.2" customHeight="1" outlineLevel="1">
      <c r="B1714" s="37"/>
      <c r="C1714" s="2">
        <f t="shared" si="426"/>
        <v>1</v>
      </c>
      <c r="D1714" s="3">
        <f t="shared" si="426"/>
        <v>1</v>
      </c>
      <c r="E1714" s="66">
        <v>6</v>
      </c>
      <c r="F1714" s="67" t="s">
        <v>732</v>
      </c>
      <c r="G1714" s="68" t="s">
        <v>737</v>
      </c>
      <c r="H1714" s="69" t="s">
        <v>1157</v>
      </c>
      <c r="I1714" s="68" t="s">
        <v>726</v>
      </c>
      <c r="J1714" s="70" t="s">
        <v>760</v>
      </c>
      <c r="K1714" s="71" t="s">
        <v>1156</v>
      </c>
      <c r="L1714" s="72">
        <v>42028</v>
      </c>
      <c r="M1714" s="73" t="s">
        <v>729</v>
      </c>
      <c r="N1714" s="74">
        <v>42040</v>
      </c>
      <c r="O1714" s="75">
        <f t="shared" si="425"/>
        <v>42040</v>
      </c>
      <c r="P1714" s="2765" t="s">
        <v>1152</v>
      </c>
      <c r="Q1714" s="2954"/>
      <c r="R1714" s="76">
        <v>281.49</v>
      </c>
      <c r="S1714" s="1945" t="s">
        <v>731</v>
      </c>
      <c r="T1714" s="77"/>
      <c r="U1714" s="1893" t="s">
        <v>693</v>
      </c>
      <c r="V1714" s="2079">
        <f t="shared" si="423"/>
        <v>0</v>
      </c>
      <c r="W1714" s="78">
        <f t="shared" si="424"/>
        <v>332.15819999999997</v>
      </c>
      <c r="X1714" s="1878" t="str">
        <f t="shared" si="422"/>
        <v xml:space="preserve">6.- C Vikrant 0140111-OT_207193  Reencauche 030-038896 </v>
      </c>
      <c r="Z1714" s="19" t="str">
        <f t="shared" si="418"/>
        <v>ReencaucheReencauchadora RENOVA</v>
      </c>
    </row>
    <row r="1715" spans="2:26" ht="15.2" customHeight="1">
      <c r="B1715" s="37"/>
      <c r="E1715" s="66">
        <v>7</v>
      </c>
      <c r="F1715" s="67" t="s">
        <v>732</v>
      </c>
      <c r="G1715" s="68" t="s">
        <v>733</v>
      </c>
      <c r="H1715" s="69" t="s">
        <v>851</v>
      </c>
      <c r="I1715" s="68" t="s">
        <v>726</v>
      </c>
      <c r="J1715" s="70" t="s">
        <v>760</v>
      </c>
      <c r="K1715" s="71" t="s">
        <v>1151</v>
      </c>
      <c r="L1715" s="72">
        <v>42028</v>
      </c>
      <c r="M1715" s="73" t="s">
        <v>729</v>
      </c>
      <c r="N1715" s="74">
        <v>42040</v>
      </c>
      <c r="O1715" s="75">
        <f t="shared" si="425"/>
        <v>42040</v>
      </c>
      <c r="P1715" s="2765"/>
      <c r="Q1715" s="2954"/>
      <c r="R1715" s="76">
        <v>0</v>
      </c>
      <c r="S1715" s="1945" t="s">
        <v>731</v>
      </c>
      <c r="T1715" s="1875" t="s">
        <v>1158</v>
      </c>
      <c r="U1715" s="1920" t="s">
        <v>693</v>
      </c>
      <c r="V1715" s="2079">
        <f t="shared" si="423"/>
        <v>0</v>
      </c>
      <c r="W1715" s="78">
        <f t="shared" si="424"/>
        <v>0</v>
      </c>
      <c r="X1715" s="1878" t="str">
        <f t="shared" si="422"/>
        <v>7.- C Lima Caucho 1211207-OT_207192  Reencauche  Rechazada, Guia 030-0045543</v>
      </c>
    </row>
    <row r="1716" spans="2:26" ht="15.2" customHeight="1" outlineLevel="1">
      <c r="B1716" s="37"/>
      <c r="E1716" s="66">
        <v>8</v>
      </c>
      <c r="F1716" s="67" t="s">
        <v>732</v>
      </c>
      <c r="G1716" s="68" t="s">
        <v>733</v>
      </c>
      <c r="H1716" s="69" t="s">
        <v>1132</v>
      </c>
      <c r="I1716" s="68" t="s">
        <v>726</v>
      </c>
      <c r="J1716" s="70" t="s">
        <v>760</v>
      </c>
      <c r="K1716" s="71" t="s">
        <v>1151</v>
      </c>
      <c r="L1716" s="72">
        <v>42028</v>
      </c>
      <c r="M1716" s="73" t="s">
        <v>729</v>
      </c>
      <c r="N1716" s="74">
        <v>42040</v>
      </c>
      <c r="O1716" s="75">
        <f t="shared" si="425"/>
        <v>42040</v>
      </c>
      <c r="P1716" s="2765"/>
      <c r="Q1716" s="2954"/>
      <c r="R1716" s="76">
        <v>0</v>
      </c>
      <c r="S1716" s="1945" t="s">
        <v>731</v>
      </c>
      <c r="T1716" s="1875" t="s">
        <v>1158</v>
      </c>
      <c r="U1716" s="1920" t="s">
        <v>693</v>
      </c>
      <c r="V1716" s="2079">
        <f t="shared" si="423"/>
        <v>0</v>
      </c>
      <c r="W1716" s="78">
        <f t="shared" si="424"/>
        <v>0</v>
      </c>
      <c r="X1716" s="1878" t="str">
        <f t="shared" si="422"/>
        <v>8.- C Lima Caucho 0620808-OT_207192  Reencauche  Rechazada, Guia 030-0045543</v>
      </c>
      <c r="Z1716" s="19" t="str">
        <f t="shared" ref="Z1716:Z1754" si="427">CONCATENATE(I1719,J1719)</f>
        <v>ReencaucheReencauchadora RENOVA</v>
      </c>
    </row>
    <row r="1717" spans="2:26" ht="15.2" customHeight="1" outlineLevel="1">
      <c r="B1717" s="37"/>
      <c r="E1717" s="177">
        <v>9</v>
      </c>
      <c r="F1717" s="178" t="s">
        <v>732</v>
      </c>
      <c r="G1717" s="179" t="s">
        <v>733</v>
      </c>
      <c r="H1717" s="180" t="s">
        <v>1133</v>
      </c>
      <c r="I1717" s="179" t="s">
        <v>726</v>
      </c>
      <c r="J1717" s="181" t="s">
        <v>760</v>
      </c>
      <c r="K1717" s="182" t="s">
        <v>1151</v>
      </c>
      <c r="L1717" s="183">
        <v>42028</v>
      </c>
      <c r="M1717" s="184" t="s">
        <v>729</v>
      </c>
      <c r="N1717" s="185">
        <v>42040</v>
      </c>
      <c r="O1717" s="186">
        <f t="shared" si="425"/>
        <v>42040</v>
      </c>
      <c r="P1717" s="2772"/>
      <c r="Q1717" s="2964"/>
      <c r="R1717" s="187">
        <v>0</v>
      </c>
      <c r="S1717" s="1952" t="s">
        <v>731</v>
      </c>
      <c r="T1717" s="1875" t="s">
        <v>1158</v>
      </c>
      <c r="U1717" s="1920" t="s">
        <v>693</v>
      </c>
      <c r="V1717" s="2079">
        <f t="shared" si="423"/>
        <v>0</v>
      </c>
      <c r="W1717" s="78">
        <f t="shared" si="424"/>
        <v>0</v>
      </c>
      <c r="X1717" s="1878" t="str">
        <f t="shared" si="422"/>
        <v>9.- C Lima Caucho 0110107-OT_207192  Reencauche  Rechazada, Guia 030-0045543</v>
      </c>
      <c r="Z1717" s="19" t="str">
        <f t="shared" si="427"/>
        <v>ReencaucheReencauchadora RENOVA</v>
      </c>
    </row>
    <row r="1718" spans="2:26" ht="15.2" customHeight="1" outlineLevel="1">
      <c r="B1718" s="1">
        <v>42005</v>
      </c>
      <c r="C1718" s="1"/>
      <c r="D1718" s="173">
        <f>+D1719</f>
        <v>31</v>
      </c>
      <c r="E1718" s="66"/>
      <c r="F1718" s="67"/>
      <c r="G1718" s="68"/>
      <c r="H1718" s="69"/>
      <c r="I1718" s="68"/>
      <c r="J1718" s="70"/>
      <c r="K1718" s="71"/>
      <c r="L1718" s="72"/>
      <c r="M1718" s="73"/>
      <c r="N1718" s="74"/>
      <c r="O1718" s="75"/>
      <c r="P1718" s="2765"/>
      <c r="Q1718" s="2954"/>
      <c r="R1718" s="76"/>
      <c r="S1718" s="1945"/>
      <c r="T1718" s="77"/>
      <c r="U1718" s="1893" t="s">
        <v>693</v>
      </c>
      <c r="V1718" s="2079">
        <f t="shared" si="423"/>
        <v>0</v>
      </c>
      <c r="W1718" s="78">
        <f t="shared" si="424"/>
        <v>0</v>
      </c>
      <c r="X1718" s="1878" t="str">
        <f t="shared" si="422"/>
        <v xml:space="preserve">.-   -OT_    </v>
      </c>
      <c r="Z1718" s="19" t="str">
        <f t="shared" si="427"/>
        <v>ReencaucheReencauchadora RENOVA</v>
      </c>
    </row>
    <row r="1719" spans="2:26" ht="15.2" customHeight="1" outlineLevel="1">
      <c r="B1719" s="37"/>
      <c r="C1719" s="2">
        <f t="shared" ref="C1719:C1730" si="428">1+C1720</f>
        <v>31</v>
      </c>
      <c r="D1719" s="3">
        <f t="shared" ref="D1719:D1730" si="429">1+D1720</f>
        <v>31</v>
      </c>
      <c r="E1719" s="66">
        <v>10</v>
      </c>
      <c r="F1719" s="67" t="s">
        <v>732</v>
      </c>
      <c r="G1719" s="68" t="s">
        <v>733</v>
      </c>
      <c r="H1719" s="69" t="s">
        <v>971</v>
      </c>
      <c r="I1719" s="68" t="s">
        <v>726</v>
      </c>
      <c r="J1719" s="70" t="s">
        <v>760</v>
      </c>
      <c r="K1719" s="71" t="s">
        <v>1151</v>
      </c>
      <c r="L1719" s="72">
        <v>42028</v>
      </c>
      <c r="M1719" s="73" t="s">
        <v>729</v>
      </c>
      <c r="N1719" s="74">
        <v>42035</v>
      </c>
      <c r="O1719" s="75">
        <v>42035</v>
      </c>
      <c r="P1719" s="2765" t="s">
        <v>1159</v>
      </c>
      <c r="Q1719" s="2954"/>
      <c r="R1719" s="76">
        <v>281.49</v>
      </c>
      <c r="S1719" s="1945" t="s">
        <v>731</v>
      </c>
      <c r="T1719" s="77"/>
      <c r="U1719" s="1893" t="s">
        <v>693</v>
      </c>
      <c r="V1719" s="2079">
        <f t="shared" si="423"/>
        <v>0</v>
      </c>
      <c r="W1719" s="78">
        <f t="shared" si="424"/>
        <v>332.15819999999997</v>
      </c>
      <c r="X1719" s="1878" t="str">
        <f t="shared" si="422"/>
        <v xml:space="preserve">10.- C Lima Caucho 0790910-OT_207192  Reencauche 030-0038807 </v>
      </c>
      <c r="Z1719" s="19" t="str">
        <f t="shared" si="427"/>
        <v>ReencaucheReencauchadora RENOVA</v>
      </c>
    </row>
    <row r="1720" spans="2:26" ht="15.2" customHeight="1" outlineLevel="1">
      <c r="B1720" s="37"/>
      <c r="C1720" s="2">
        <f t="shared" si="428"/>
        <v>30</v>
      </c>
      <c r="D1720" s="3">
        <f t="shared" si="429"/>
        <v>30</v>
      </c>
      <c r="E1720" s="66">
        <v>11</v>
      </c>
      <c r="F1720" s="67" t="s">
        <v>732</v>
      </c>
      <c r="G1720" s="68" t="s">
        <v>733</v>
      </c>
      <c r="H1720" s="69" t="s">
        <v>759</v>
      </c>
      <c r="I1720" s="68" t="s">
        <v>726</v>
      </c>
      <c r="J1720" s="70" t="s">
        <v>760</v>
      </c>
      <c r="K1720" s="71" t="s">
        <v>1151</v>
      </c>
      <c r="L1720" s="72">
        <v>42028</v>
      </c>
      <c r="M1720" s="73" t="s">
        <v>729</v>
      </c>
      <c r="N1720" s="74">
        <v>42035</v>
      </c>
      <c r="O1720" s="75">
        <v>42035</v>
      </c>
      <c r="P1720" s="2765" t="s">
        <v>1159</v>
      </c>
      <c r="Q1720" s="2954"/>
      <c r="R1720" s="76">
        <v>281.49</v>
      </c>
      <c r="S1720" s="1945" t="s">
        <v>731</v>
      </c>
      <c r="T1720" s="77"/>
      <c r="U1720" s="1893" t="s">
        <v>693</v>
      </c>
      <c r="V1720" s="2079">
        <f t="shared" si="423"/>
        <v>0</v>
      </c>
      <c r="W1720" s="78">
        <f t="shared" si="424"/>
        <v>332.15819999999997</v>
      </c>
      <c r="X1720" s="1878" t="str">
        <f t="shared" si="422"/>
        <v xml:space="preserve">11.- C Lima Caucho 0460707-OT_207192  Reencauche 030-0038807 </v>
      </c>
      <c r="Z1720" s="19" t="str">
        <f t="shared" si="427"/>
        <v>ReencaucheReencauchadora RENOVA</v>
      </c>
    </row>
    <row r="1721" spans="2:26" ht="15.2" customHeight="1" outlineLevel="1">
      <c r="B1721" s="37"/>
      <c r="C1721" s="2">
        <f t="shared" si="428"/>
        <v>29</v>
      </c>
      <c r="D1721" s="3">
        <f t="shared" si="429"/>
        <v>29</v>
      </c>
      <c r="E1721" s="66">
        <v>12</v>
      </c>
      <c r="F1721" s="67" t="s">
        <v>732</v>
      </c>
      <c r="G1721" s="68" t="s">
        <v>733</v>
      </c>
      <c r="H1721" s="69" t="s">
        <v>1160</v>
      </c>
      <c r="I1721" s="68" t="s">
        <v>726</v>
      </c>
      <c r="J1721" s="70" t="s">
        <v>760</v>
      </c>
      <c r="K1721" s="71" t="s">
        <v>1151</v>
      </c>
      <c r="L1721" s="72">
        <v>42028</v>
      </c>
      <c r="M1721" s="73" t="s">
        <v>729</v>
      </c>
      <c r="N1721" s="74">
        <v>42035</v>
      </c>
      <c r="O1721" s="75">
        <v>42035</v>
      </c>
      <c r="P1721" s="2765" t="s">
        <v>1159</v>
      </c>
      <c r="Q1721" s="2954"/>
      <c r="R1721" s="76">
        <v>281.49</v>
      </c>
      <c r="S1721" s="1945" t="s">
        <v>731</v>
      </c>
      <c r="T1721" s="77"/>
      <c r="U1721" s="1893" t="s">
        <v>693</v>
      </c>
      <c r="V1721" s="2079">
        <f t="shared" si="423"/>
        <v>0</v>
      </c>
      <c r="W1721" s="78">
        <f t="shared" si="424"/>
        <v>332.15819999999997</v>
      </c>
      <c r="X1721" s="1878" t="str">
        <f t="shared" si="422"/>
        <v xml:space="preserve">12.- C Lima Caucho 0931010-OT_207192  Reencauche 030-0038807 </v>
      </c>
      <c r="Z1721" s="19" t="str">
        <f t="shared" si="427"/>
        <v>ReencaucheReencauchadora RENOVA</v>
      </c>
    </row>
    <row r="1722" spans="2:26" ht="15.2" customHeight="1" outlineLevel="1">
      <c r="B1722" s="37"/>
      <c r="C1722" s="2">
        <f t="shared" si="428"/>
        <v>28</v>
      </c>
      <c r="D1722" s="3">
        <f t="shared" si="429"/>
        <v>28</v>
      </c>
      <c r="E1722" s="66">
        <v>13</v>
      </c>
      <c r="F1722" s="67" t="s">
        <v>732</v>
      </c>
      <c r="G1722" s="68" t="s">
        <v>757</v>
      </c>
      <c r="H1722" s="69" t="s">
        <v>1161</v>
      </c>
      <c r="I1722" s="68" t="s">
        <v>726</v>
      </c>
      <c r="J1722" s="70" t="s">
        <v>760</v>
      </c>
      <c r="K1722" s="71" t="s">
        <v>1151</v>
      </c>
      <c r="L1722" s="72">
        <v>42028</v>
      </c>
      <c r="M1722" s="73" t="s">
        <v>729</v>
      </c>
      <c r="N1722" s="74">
        <v>42035</v>
      </c>
      <c r="O1722" s="75">
        <v>42035</v>
      </c>
      <c r="P1722" s="2765" t="s">
        <v>1159</v>
      </c>
      <c r="Q1722" s="2954"/>
      <c r="R1722" s="76">
        <v>281.49</v>
      </c>
      <c r="S1722" s="1945" t="s">
        <v>731</v>
      </c>
      <c r="T1722" s="77"/>
      <c r="U1722" s="1893" t="s">
        <v>693</v>
      </c>
      <c r="V1722" s="2079">
        <f t="shared" si="423"/>
        <v>0</v>
      </c>
      <c r="W1722" s="78">
        <f t="shared" si="424"/>
        <v>332.15819999999997</v>
      </c>
      <c r="X1722" s="1878" t="str">
        <f t="shared" si="422"/>
        <v xml:space="preserve">13.- C Goodyear 1110704-OT_207192  Reencauche 030-0038807 </v>
      </c>
      <c r="Z1722" s="19" t="str">
        <f t="shared" si="427"/>
        <v>ReencaucheReencauchadora RENOVA</v>
      </c>
    </row>
    <row r="1723" spans="2:26" ht="15.2" customHeight="1" outlineLevel="1">
      <c r="B1723" s="37"/>
      <c r="C1723" s="2">
        <f t="shared" si="428"/>
        <v>27</v>
      </c>
      <c r="D1723" s="3">
        <f t="shared" si="429"/>
        <v>27</v>
      </c>
      <c r="E1723" s="66">
        <v>14</v>
      </c>
      <c r="F1723" s="67" t="s">
        <v>732</v>
      </c>
      <c r="G1723" s="68" t="s">
        <v>757</v>
      </c>
      <c r="H1723" s="69" t="s">
        <v>1162</v>
      </c>
      <c r="I1723" s="68" t="s">
        <v>726</v>
      </c>
      <c r="J1723" s="70" t="s">
        <v>760</v>
      </c>
      <c r="K1723" s="71" t="s">
        <v>1156</v>
      </c>
      <c r="L1723" s="72">
        <v>42028</v>
      </c>
      <c r="M1723" s="73" t="s">
        <v>729</v>
      </c>
      <c r="N1723" s="74">
        <v>42035</v>
      </c>
      <c r="O1723" s="75">
        <v>42035</v>
      </c>
      <c r="P1723" s="2765" t="s">
        <v>1159</v>
      </c>
      <c r="Q1723" s="2954"/>
      <c r="R1723" s="76">
        <v>281.49</v>
      </c>
      <c r="S1723" s="1945" t="s">
        <v>731</v>
      </c>
      <c r="T1723" s="77"/>
      <c r="U1723" s="1893" t="s">
        <v>693</v>
      </c>
      <c r="V1723" s="2079">
        <f t="shared" si="423"/>
        <v>0</v>
      </c>
      <c r="W1723" s="78">
        <f t="shared" si="424"/>
        <v>332.15819999999997</v>
      </c>
      <c r="X1723" s="1878" t="str">
        <f t="shared" si="422"/>
        <v xml:space="preserve">14.- C Goodyear 1090704-OT_207193  Reencauche 030-0038807 </v>
      </c>
      <c r="Z1723" s="19" t="str">
        <f t="shared" si="427"/>
        <v>ReencaucheReencauchadora RENOVA</v>
      </c>
    </row>
    <row r="1724" spans="2:26" ht="15.2" customHeight="1" outlineLevel="1">
      <c r="B1724" s="37"/>
      <c r="C1724" s="2">
        <f t="shared" si="428"/>
        <v>26</v>
      </c>
      <c r="D1724" s="3">
        <f t="shared" si="429"/>
        <v>26</v>
      </c>
      <c r="E1724" s="66">
        <v>15</v>
      </c>
      <c r="F1724" s="67" t="s">
        <v>732</v>
      </c>
      <c r="G1724" s="68" t="s">
        <v>757</v>
      </c>
      <c r="H1724" s="69" t="s">
        <v>1163</v>
      </c>
      <c r="I1724" s="68" t="s">
        <v>726</v>
      </c>
      <c r="J1724" s="70" t="s">
        <v>760</v>
      </c>
      <c r="K1724" s="71" t="s">
        <v>1156</v>
      </c>
      <c r="L1724" s="72">
        <v>42028</v>
      </c>
      <c r="M1724" s="73" t="s">
        <v>729</v>
      </c>
      <c r="N1724" s="74">
        <v>42035</v>
      </c>
      <c r="O1724" s="75">
        <v>42035</v>
      </c>
      <c r="P1724" s="2765" t="s">
        <v>1159</v>
      </c>
      <c r="Q1724" s="2954"/>
      <c r="R1724" s="76">
        <v>281.49</v>
      </c>
      <c r="S1724" s="1945" t="s">
        <v>731</v>
      </c>
      <c r="T1724" s="77"/>
      <c r="U1724" s="1893" t="s">
        <v>693</v>
      </c>
      <c r="V1724" s="2079">
        <f t="shared" si="423"/>
        <v>0</v>
      </c>
      <c r="W1724" s="78">
        <f t="shared" si="424"/>
        <v>332.15819999999997</v>
      </c>
      <c r="X1724" s="1878" t="str">
        <f t="shared" si="422"/>
        <v xml:space="preserve">15.- C Goodyear 072112002-OT_207193  Reencauche 030-0038807 </v>
      </c>
      <c r="Z1724" s="19" t="str">
        <f t="shared" si="427"/>
        <v>ReencaucheReencauchadora RENOVA</v>
      </c>
    </row>
    <row r="1725" spans="2:26" ht="15.2" customHeight="1" outlineLevel="1">
      <c r="B1725" s="37"/>
      <c r="C1725" s="2">
        <f t="shared" si="428"/>
        <v>25</v>
      </c>
      <c r="D1725" s="3">
        <f t="shared" si="429"/>
        <v>25</v>
      </c>
      <c r="E1725" s="66">
        <v>16</v>
      </c>
      <c r="F1725" s="67" t="s">
        <v>732</v>
      </c>
      <c r="G1725" s="68" t="s">
        <v>737</v>
      </c>
      <c r="H1725" s="69" t="s">
        <v>1164</v>
      </c>
      <c r="I1725" s="68" t="s">
        <v>726</v>
      </c>
      <c r="J1725" s="70" t="s">
        <v>760</v>
      </c>
      <c r="K1725" s="71" t="s">
        <v>1156</v>
      </c>
      <c r="L1725" s="72">
        <v>42028</v>
      </c>
      <c r="M1725" s="73" t="s">
        <v>729</v>
      </c>
      <c r="N1725" s="74">
        <v>42035</v>
      </c>
      <c r="O1725" s="75">
        <v>42035</v>
      </c>
      <c r="P1725" s="2765" t="s">
        <v>1159</v>
      </c>
      <c r="Q1725" s="2954"/>
      <c r="R1725" s="76">
        <v>281.49</v>
      </c>
      <c r="S1725" s="1945" t="s">
        <v>731</v>
      </c>
      <c r="T1725" s="77"/>
      <c r="U1725" s="1893" t="s">
        <v>693</v>
      </c>
      <c r="V1725" s="2079">
        <f t="shared" si="423"/>
        <v>0</v>
      </c>
      <c r="W1725" s="78">
        <f t="shared" si="424"/>
        <v>332.15819999999997</v>
      </c>
      <c r="X1725" s="1878" t="str">
        <f t="shared" si="422"/>
        <v xml:space="preserve">16.- C Vikrant 1090705-OT_207193  Reencauche 030-0038807 </v>
      </c>
      <c r="Z1725" s="19" t="str">
        <f t="shared" si="427"/>
        <v>ReencaucheReencauchadora RENOVA</v>
      </c>
    </row>
    <row r="1726" spans="2:26" ht="15.2" customHeight="1" outlineLevel="1">
      <c r="B1726" s="37"/>
      <c r="C1726" s="2">
        <f t="shared" si="428"/>
        <v>24</v>
      </c>
      <c r="D1726" s="3">
        <f t="shared" si="429"/>
        <v>24</v>
      </c>
      <c r="E1726" s="66">
        <v>17</v>
      </c>
      <c r="F1726" s="67" t="s">
        <v>732</v>
      </c>
      <c r="G1726" s="68" t="s">
        <v>737</v>
      </c>
      <c r="H1726" s="69" t="s">
        <v>1165</v>
      </c>
      <c r="I1726" s="68" t="s">
        <v>726</v>
      </c>
      <c r="J1726" s="70" t="s">
        <v>760</v>
      </c>
      <c r="K1726" s="71" t="s">
        <v>1156</v>
      </c>
      <c r="L1726" s="72">
        <v>42028</v>
      </c>
      <c r="M1726" s="73" t="s">
        <v>729</v>
      </c>
      <c r="N1726" s="74">
        <v>42035</v>
      </c>
      <c r="O1726" s="75">
        <v>42035</v>
      </c>
      <c r="P1726" s="2765" t="s">
        <v>1159</v>
      </c>
      <c r="Q1726" s="2954"/>
      <c r="R1726" s="76">
        <v>281.49</v>
      </c>
      <c r="S1726" s="1945" t="s">
        <v>731</v>
      </c>
      <c r="T1726" s="77"/>
      <c r="U1726" s="1893" t="s">
        <v>693</v>
      </c>
      <c r="V1726" s="2079">
        <f t="shared" si="423"/>
        <v>0</v>
      </c>
      <c r="W1726" s="78">
        <f t="shared" si="424"/>
        <v>332.15819999999997</v>
      </c>
      <c r="X1726" s="1878" t="str">
        <f t="shared" si="422"/>
        <v xml:space="preserve">17.- C Vikrant 0831009-OT_207193  Reencauche 030-0038807 </v>
      </c>
      <c r="Z1726" s="19" t="str">
        <f t="shared" si="427"/>
        <v>ReencaucheReencauchadora RENOVA</v>
      </c>
    </row>
    <row r="1727" spans="2:26" ht="15.2" customHeight="1" outlineLevel="1">
      <c r="B1727" s="37"/>
      <c r="C1727" s="2">
        <f t="shared" si="428"/>
        <v>23</v>
      </c>
      <c r="D1727" s="3">
        <f t="shared" si="429"/>
        <v>23</v>
      </c>
      <c r="E1727" s="66">
        <v>18</v>
      </c>
      <c r="F1727" s="67" t="s">
        <v>732</v>
      </c>
      <c r="G1727" s="68" t="s">
        <v>737</v>
      </c>
      <c r="H1727" s="69" t="s">
        <v>1166</v>
      </c>
      <c r="I1727" s="68" t="s">
        <v>726</v>
      </c>
      <c r="J1727" s="70" t="s">
        <v>760</v>
      </c>
      <c r="K1727" s="71" t="s">
        <v>1156</v>
      </c>
      <c r="L1727" s="72">
        <v>42028</v>
      </c>
      <c r="M1727" s="73" t="s">
        <v>729</v>
      </c>
      <c r="N1727" s="74">
        <v>42035</v>
      </c>
      <c r="O1727" s="75">
        <v>42035</v>
      </c>
      <c r="P1727" s="2765" t="s">
        <v>1159</v>
      </c>
      <c r="Q1727" s="2954"/>
      <c r="R1727" s="76">
        <v>281.49</v>
      </c>
      <c r="S1727" s="1945" t="s">
        <v>731</v>
      </c>
      <c r="T1727" s="77"/>
      <c r="U1727" s="1893" t="s">
        <v>693</v>
      </c>
      <c r="V1727" s="2079">
        <f t="shared" si="423"/>
        <v>0</v>
      </c>
      <c r="W1727" s="78">
        <f t="shared" si="424"/>
        <v>332.15819999999997</v>
      </c>
      <c r="X1727" s="1878" t="str">
        <f t="shared" si="422"/>
        <v xml:space="preserve">18.- C Vikrant 0120109-OT_207193  Reencauche 030-0038807 </v>
      </c>
      <c r="Z1727" s="19" t="str">
        <f t="shared" si="427"/>
        <v>Vulcanizado (curación)Reenc. MASTERCAUCHO</v>
      </c>
    </row>
    <row r="1728" spans="2:26" ht="15.2" customHeight="1" outlineLevel="1">
      <c r="B1728" s="37"/>
      <c r="C1728" s="2">
        <f t="shared" si="428"/>
        <v>22</v>
      </c>
      <c r="D1728" s="3">
        <f t="shared" si="429"/>
        <v>22</v>
      </c>
      <c r="E1728" s="66">
        <v>19</v>
      </c>
      <c r="F1728" s="67" t="s">
        <v>732</v>
      </c>
      <c r="G1728" s="68" t="s">
        <v>737</v>
      </c>
      <c r="H1728" s="69" t="s">
        <v>1167</v>
      </c>
      <c r="I1728" s="68" t="s">
        <v>726</v>
      </c>
      <c r="J1728" s="70" t="s">
        <v>760</v>
      </c>
      <c r="K1728" s="71" t="s">
        <v>1156</v>
      </c>
      <c r="L1728" s="72">
        <v>42028</v>
      </c>
      <c r="M1728" s="73" t="s">
        <v>729</v>
      </c>
      <c r="N1728" s="74">
        <v>42035</v>
      </c>
      <c r="O1728" s="75">
        <v>42035</v>
      </c>
      <c r="P1728" s="2765" t="s">
        <v>1159</v>
      </c>
      <c r="Q1728" s="2954"/>
      <c r="R1728" s="76">
        <v>281.49</v>
      </c>
      <c r="S1728" s="1945" t="s">
        <v>731</v>
      </c>
      <c r="T1728" s="77"/>
      <c r="U1728" s="1893" t="s">
        <v>693</v>
      </c>
      <c r="V1728" s="2079">
        <f t="shared" si="423"/>
        <v>0</v>
      </c>
      <c r="W1728" s="78">
        <f t="shared" si="424"/>
        <v>332.15819999999997</v>
      </c>
      <c r="X1728" s="1878" t="str">
        <f t="shared" si="422"/>
        <v xml:space="preserve">19.- C Vikrant 0270410-OT_207193  Reencauche 030-0038807 </v>
      </c>
      <c r="Z1728" s="19" t="str">
        <f t="shared" si="427"/>
        <v>Vulcanizado (curación)Reenc. MASTERCAUCHO</v>
      </c>
    </row>
    <row r="1729" spans="2:26" ht="15.2" customHeight="1" outlineLevel="1">
      <c r="B1729" s="37"/>
      <c r="C1729" s="2">
        <f t="shared" si="428"/>
        <v>21</v>
      </c>
      <c r="D1729" s="3">
        <f t="shared" si="429"/>
        <v>21</v>
      </c>
      <c r="E1729" s="79">
        <v>20</v>
      </c>
      <c r="F1729" s="80" t="s">
        <v>732</v>
      </c>
      <c r="G1729" s="81" t="s">
        <v>737</v>
      </c>
      <c r="H1729" s="82" t="s">
        <v>1168</v>
      </c>
      <c r="I1729" s="81" t="s">
        <v>726</v>
      </c>
      <c r="J1729" s="83" t="s">
        <v>760</v>
      </c>
      <c r="K1729" s="84" t="s">
        <v>1156</v>
      </c>
      <c r="L1729" s="85">
        <v>42028</v>
      </c>
      <c r="M1729" s="86" t="s">
        <v>729</v>
      </c>
      <c r="N1729" s="87">
        <v>42035</v>
      </c>
      <c r="O1729" s="88">
        <f>+N1729</f>
        <v>42035</v>
      </c>
      <c r="P1729" s="2766" t="s">
        <v>1159</v>
      </c>
      <c r="Q1729" s="2955"/>
      <c r="R1729" s="89">
        <v>281.49</v>
      </c>
      <c r="S1729" s="1945" t="s">
        <v>731</v>
      </c>
      <c r="T1729" s="77"/>
      <c r="U1729" s="1893" t="s">
        <v>693</v>
      </c>
      <c r="V1729" s="2079">
        <f t="shared" si="423"/>
        <v>0</v>
      </c>
      <c r="W1729" s="78">
        <f t="shared" si="424"/>
        <v>332.15819999999997</v>
      </c>
      <c r="X1729" s="1878" t="str">
        <f t="shared" si="422"/>
        <v xml:space="preserve">20.- C Vikrant 0730209-OT_207193  Reencauche 030-0038807 </v>
      </c>
      <c r="Z1729" s="19" t="str">
        <f t="shared" si="427"/>
        <v>Transpl BandaReenc. MASTERCAUCHO</v>
      </c>
    </row>
    <row r="1730" spans="2:26" ht="15.2" customHeight="1" outlineLevel="1">
      <c r="B1730" s="37"/>
      <c r="C1730" s="2">
        <f t="shared" si="428"/>
        <v>20</v>
      </c>
      <c r="D1730" s="3">
        <f t="shared" si="429"/>
        <v>20</v>
      </c>
      <c r="E1730" s="66">
        <v>1</v>
      </c>
      <c r="F1730" s="67" t="s">
        <v>732</v>
      </c>
      <c r="G1730" s="174" t="s">
        <v>776</v>
      </c>
      <c r="H1730" s="175" t="s">
        <v>1169</v>
      </c>
      <c r="I1730" s="174" t="s">
        <v>811</v>
      </c>
      <c r="J1730" s="176" t="s">
        <v>727</v>
      </c>
      <c r="K1730" s="71" t="s">
        <v>1170</v>
      </c>
      <c r="L1730" s="72">
        <v>42023</v>
      </c>
      <c r="M1730" s="73" t="s">
        <v>729</v>
      </c>
      <c r="N1730" s="74">
        <v>42033</v>
      </c>
      <c r="O1730" s="75">
        <f>+N1730</f>
        <v>42033</v>
      </c>
      <c r="P1730" s="2765" t="s">
        <v>1171</v>
      </c>
      <c r="Q1730" s="2954"/>
      <c r="R1730" s="76">
        <v>105.33</v>
      </c>
      <c r="S1730" s="1945" t="s">
        <v>731</v>
      </c>
      <c r="T1730" s="77"/>
      <c r="U1730" s="1893" t="s">
        <v>693</v>
      </c>
      <c r="V1730" s="2079">
        <f t="shared" si="423"/>
        <v>0</v>
      </c>
      <c r="W1730" s="78">
        <f t="shared" si="424"/>
        <v>124.28939999999999</v>
      </c>
      <c r="X1730" s="1878" t="str">
        <f t="shared" si="422"/>
        <v xml:space="preserve">1.- C Altura 0600911-OT_000225  Vulcanizado (curación) 0001-002382 </v>
      </c>
      <c r="Z1730" s="19" t="str">
        <f t="shared" si="427"/>
        <v>ReencaucheReenc. MASTERCAUCHO</v>
      </c>
    </row>
    <row r="1731" spans="2:26" ht="15.2" customHeight="1" outlineLevel="1">
      <c r="B1731" s="37"/>
      <c r="C1731" s="2">
        <f>1+C1733</f>
        <v>19</v>
      </c>
      <c r="D1731" s="3">
        <f>1+D1733</f>
        <v>19</v>
      </c>
      <c r="E1731" s="66">
        <v>2</v>
      </c>
      <c r="F1731" s="67" t="s">
        <v>732</v>
      </c>
      <c r="G1731" s="174" t="s">
        <v>733</v>
      </c>
      <c r="H1731" s="175" t="s">
        <v>1172</v>
      </c>
      <c r="I1731" s="174" t="s">
        <v>811</v>
      </c>
      <c r="J1731" s="176" t="s">
        <v>727</v>
      </c>
      <c r="K1731" s="71" t="s">
        <v>1170</v>
      </c>
      <c r="L1731" s="72">
        <v>42023</v>
      </c>
      <c r="M1731" s="73" t="s">
        <v>729</v>
      </c>
      <c r="N1731" s="74">
        <v>42033</v>
      </c>
      <c r="O1731" s="75">
        <v>42033</v>
      </c>
      <c r="P1731" s="2765" t="s">
        <v>1171</v>
      </c>
      <c r="Q1731" s="2954"/>
      <c r="R1731" s="76">
        <v>105.33</v>
      </c>
      <c r="S1731" s="1945" t="s">
        <v>731</v>
      </c>
      <c r="T1731" s="77"/>
      <c r="U1731" s="1893" t="s">
        <v>693</v>
      </c>
      <c r="V1731" s="2079">
        <f t="shared" si="423"/>
        <v>0</v>
      </c>
      <c r="W1731" s="78">
        <f t="shared" si="424"/>
        <v>124.28939999999999</v>
      </c>
      <c r="X1731" s="1878" t="str">
        <f t="shared" si="422"/>
        <v xml:space="preserve">2.- C Lima Caucho 0300508-OT_000225  Vulcanizado (curación) 0001-002382 </v>
      </c>
      <c r="Z1731" s="19" t="str">
        <f t="shared" si="427"/>
        <v>Parchado, curadoReenc. MASTERCAUCHO</v>
      </c>
    </row>
    <row r="1732" spans="2:26" ht="15.2" customHeight="1" outlineLevel="1">
      <c r="B1732" s="37"/>
      <c r="E1732" s="79">
        <v>3</v>
      </c>
      <c r="F1732" s="80" t="s">
        <v>732</v>
      </c>
      <c r="G1732" s="81" t="s">
        <v>733</v>
      </c>
      <c r="H1732" s="115" t="s">
        <v>804</v>
      </c>
      <c r="I1732" s="114" t="s">
        <v>740</v>
      </c>
      <c r="J1732" s="93" t="s">
        <v>727</v>
      </c>
      <c r="K1732" s="84" t="s">
        <v>1170</v>
      </c>
      <c r="L1732" s="85">
        <v>42023</v>
      </c>
      <c r="M1732" s="86" t="s">
        <v>729</v>
      </c>
      <c r="N1732" s="87">
        <v>42033</v>
      </c>
      <c r="O1732" s="88">
        <v>42033</v>
      </c>
      <c r="P1732" s="2766" t="s">
        <v>1171</v>
      </c>
      <c r="Q1732" s="2955"/>
      <c r="R1732" s="89">
        <v>127.12</v>
      </c>
      <c r="S1732" s="1946" t="s">
        <v>731</v>
      </c>
      <c r="T1732" s="77"/>
      <c r="U1732" s="1893" t="s">
        <v>693</v>
      </c>
      <c r="V1732" s="2079">
        <f t="shared" si="423"/>
        <v>0</v>
      </c>
      <c r="W1732" s="78">
        <f t="shared" si="424"/>
        <v>150.0016</v>
      </c>
      <c r="X1732" s="1878" t="str">
        <f t="shared" si="422"/>
        <v xml:space="preserve">3.- C Lima Caucho 1141107-OT_000225  Transpl Banda 0001-002382 </v>
      </c>
      <c r="Z1732" s="19" t="str">
        <f t="shared" si="427"/>
        <v>Vulcanizado (curación)Reenc. MASTERCAUCHO</v>
      </c>
    </row>
    <row r="1733" spans="2:26" ht="15.2" customHeight="1" outlineLevel="1">
      <c r="B1733" s="37"/>
      <c r="C1733" s="2">
        <f>1+C1734</f>
        <v>18</v>
      </c>
      <c r="D1733" s="3">
        <f>1+D1734</f>
        <v>18</v>
      </c>
      <c r="E1733" s="66">
        <v>1</v>
      </c>
      <c r="F1733" s="67" t="s">
        <v>732</v>
      </c>
      <c r="G1733" s="68" t="s">
        <v>733</v>
      </c>
      <c r="H1733" s="69" t="s">
        <v>1173</v>
      </c>
      <c r="I1733" s="68" t="s">
        <v>726</v>
      </c>
      <c r="J1733" s="70" t="s">
        <v>727</v>
      </c>
      <c r="K1733" s="71" t="s">
        <v>1174</v>
      </c>
      <c r="L1733" s="72">
        <v>42016</v>
      </c>
      <c r="M1733" s="73" t="s">
        <v>729</v>
      </c>
      <c r="N1733" s="74">
        <v>42023</v>
      </c>
      <c r="O1733" s="75">
        <f>+N1733</f>
        <v>42023</v>
      </c>
      <c r="P1733" s="2765" t="s">
        <v>1175</v>
      </c>
      <c r="Q1733" s="2954"/>
      <c r="R1733" s="76">
        <v>254.24</v>
      </c>
      <c r="S1733" s="1945" t="s">
        <v>731</v>
      </c>
      <c r="T1733" s="77"/>
      <c r="U1733" s="1893" t="s">
        <v>693</v>
      </c>
      <c r="V1733" s="2079">
        <f t="shared" si="423"/>
        <v>0</v>
      </c>
      <c r="W1733" s="78">
        <f t="shared" si="424"/>
        <v>300.00319999999999</v>
      </c>
      <c r="X1733" s="1878" t="str">
        <f t="shared" si="422"/>
        <v xml:space="preserve">1.- C Lima Caucho 0750410-OT_000285  Reencauche 0001-002299 </v>
      </c>
      <c r="Z1733" s="19" t="str">
        <f t="shared" si="427"/>
        <v>Transpl BandaReenc. MASTERCAUCHO</v>
      </c>
    </row>
    <row r="1734" spans="2:26" ht="15.2" customHeight="1" outlineLevel="1">
      <c r="B1734" s="37"/>
      <c r="C1734" s="2">
        <f>1+C1735</f>
        <v>17</v>
      </c>
      <c r="D1734" s="3">
        <f>1+D1735</f>
        <v>17</v>
      </c>
      <c r="E1734" s="66">
        <v>2</v>
      </c>
      <c r="F1734" s="67" t="s">
        <v>723</v>
      </c>
      <c r="G1734" s="68" t="s">
        <v>724</v>
      </c>
      <c r="H1734" s="69" t="s">
        <v>1176</v>
      </c>
      <c r="I1734" s="68" t="s">
        <v>1177</v>
      </c>
      <c r="J1734" s="70" t="s">
        <v>727</v>
      </c>
      <c r="K1734" s="71" t="s">
        <v>1174</v>
      </c>
      <c r="L1734" s="72">
        <v>42016</v>
      </c>
      <c r="M1734" s="73" t="s">
        <v>729</v>
      </c>
      <c r="N1734" s="74">
        <v>42023</v>
      </c>
      <c r="O1734" s="75">
        <v>42023</v>
      </c>
      <c r="P1734" s="2765" t="s">
        <v>1175</v>
      </c>
      <c r="Q1734" s="2954"/>
      <c r="R1734" s="76">
        <v>25.42</v>
      </c>
      <c r="S1734" s="1945" t="s">
        <v>731</v>
      </c>
      <c r="T1734" s="77"/>
      <c r="U1734" s="1893" t="s">
        <v>694</v>
      </c>
      <c r="V1734" s="2079">
        <f t="shared" si="423"/>
        <v>0</v>
      </c>
      <c r="W1734" s="78">
        <f t="shared" si="424"/>
        <v>29.9956</v>
      </c>
      <c r="X1734" s="1878" t="str">
        <f t="shared" si="422"/>
        <v xml:space="preserve">2.- R Aeolus 0501214-OT_000285  Parchado, curado 0001-002299 </v>
      </c>
      <c r="Z1734" s="19" t="str">
        <f t="shared" si="427"/>
        <v>Sacar_BandaReenc. MASTERCAUCHO</v>
      </c>
    </row>
    <row r="1735" spans="2:26" ht="15.2" customHeight="1" outlineLevel="1">
      <c r="B1735" s="37"/>
      <c r="C1735" s="2">
        <f>1+C1738</f>
        <v>16</v>
      </c>
      <c r="D1735" s="3">
        <f>1+D1738</f>
        <v>16</v>
      </c>
      <c r="E1735" s="66">
        <v>3</v>
      </c>
      <c r="F1735" s="67" t="s">
        <v>732</v>
      </c>
      <c r="G1735" s="174" t="s">
        <v>737</v>
      </c>
      <c r="H1735" s="175" t="s">
        <v>1178</v>
      </c>
      <c r="I1735" s="174" t="s">
        <v>811</v>
      </c>
      <c r="J1735" s="176" t="s">
        <v>727</v>
      </c>
      <c r="K1735" s="71" t="s">
        <v>1174</v>
      </c>
      <c r="L1735" s="72">
        <v>42016</v>
      </c>
      <c r="M1735" s="73" t="s">
        <v>729</v>
      </c>
      <c r="N1735" s="74">
        <v>42023</v>
      </c>
      <c r="O1735" s="75">
        <v>42023</v>
      </c>
      <c r="P1735" s="2765" t="s">
        <v>1175</v>
      </c>
      <c r="Q1735" s="2954"/>
      <c r="R1735" s="76">
        <v>105.93</v>
      </c>
      <c r="S1735" s="1945" t="s">
        <v>731</v>
      </c>
      <c r="T1735" s="77"/>
      <c r="U1735" s="1893" t="s">
        <v>693</v>
      </c>
      <c r="V1735" s="2079">
        <f t="shared" si="423"/>
        <v>0</v>
      </c>
      <c r="W1735" s="78">
        <f t="shared" si="424"/>
        <v>124.9974</v>
      </c>
      <c r="X1735" s="1878" t="str">
        <f t="shared" si="422"/>
        <v xml:space="preserve">3.- C Vikrant 0250712-OT_000285  Vulcanizado (curación) 0001-002299 </v>
      </c>
      <c r="Z1735" s="19" t="str">
        <f t="shared" si="427"/>
        <v>ReencaucheReencauchadora RENOVA</v>
      </c>
    </row>
    <row r="1736" spans="2:26" ht="15.2" customHeight="1" outlineLevel="1">
      <c r="B1736" s="37"/>
      <c r="E1736" s="66">
        <v>4</v>
      </c>
      <c r="F1736" s="67" t="s">
        <v>732</v>
      </c>
      <c r="G1736" s="68" t="s">
        <v>1108</v>
      </c>
      <c r="H1736" s="91" t="s">
        <v>1179</v>
      </c>
      <c r="I1736" s="90" t="s">
        <v>740</v>
      </c>
      <c r="J1736" s="92" t="s">
        <v>727</v>
      </c>
      <c r="K1736" s="71" t="s">
        <v>1174</v>
      </c>
      <c r="L1736" s="72">
        <v>42016</v>
      </c>
      <c r="M1736" s="73" t="s">
        <v>729</v>
      </c>
      <c r="N1736" s="74">
        <v>42023</v>
      </c>
      <c r="O1736" s="75">
        <v>42023</v>
      </c>
      <c r="P1736" s="2765"/>
      <c r="Q1736" s="2954"/>
      <c r="R1736" s="76">
        <v>0</v>
      </c>
      <c r="S1736" s="1945" t="s">
        <v>731</v>
      </c>
      <c r="T1736" s="1875" t="s">
        <v>923</v>
      </c>
      <c r="U1736" s="1920" t="s">
        <v>693</v>
      </c>
      <c r="V1736" s="2079">
        <f t="shared" si="423"/>
        <v>0</v>
      </c>
      <c r="W1736" s="78">
        <f t="shared" si="424"/>
        <v>0</v>
      </c>
      <c r="X1736" s="1878" t="str">
        <f t="shared" si="422"/>
        <v>4.- C Hankook 043032004-OT_000285  Transpl Banda  Rechazada, Casco soplado, No se Facturo</v>
      </c>
      <c r="Z1736" s="19" t="str">
        <f t="shared" si="427"/>
        <v>ReencaucheReencauchadora RENOVA</v>
      </c>
    </row>
    <row r="1737" spans="2:26" ht="15.2" customHeight="1" outlineLevel="1">
      <c r="B1737" s="37"/>
      <c r="E1737" s="79">
        <v>5</v>
      </c>
      <c r="F1737" s="80" t="s">
        <v>732</v>
      </c>
      <c r="G1737" s="81" t="s">
        <v>737</v>
      </c>
      <c r="H1737" s="115" t="s">
        <v>1180</v>
      </c>
      <c r="I1737" s="114" t="s">
        <v>744</v>
      </c>
      <c r="J1737" s="93" t="s">
        <v>727</v>
      </c>
      <c r="K1737" s="84" t="s">
        <v>1174</v>
      </c>
      <c r="L1737" s="85">
        <v>42016</v>
      </c>
      <c r="M1737" s="86" t="s">
        <v>729</v>
      </c>
      <c r="N1737" s="87">
        <v>42033</v>
      </c>
      <c r="O1737" s="88">
        <v>42023</v>
      </c>
      <c r="P1737" s="2766" t="s">
        <v>1171</v>
      </c>
      <c r="Q1737" s="2955"/>
      <c r="R1737" s="89">
        <v>0</v>
      </c>
      <c r="S1737" s="1946" t="s">
        <v>731</v>
      </c>
      <c r="T1737" s="1875" t="s">
        <v>1181</v>
      </c>
      <c r="U1737" s="1920" t="s">
        <v>693</v>
      </c>
      <c r="V1737" s="2079">
        <f t="shared" si="423"/>
        <v>0</v>
      </c>
      <c r="W1737" s="78">
        <f t="shared" si="424"/>
        <v>0</v>
      </c>
      <c r="X1737" s="1878" t="str">
        <f t="shared" si="422"/>
        <v>5.- C Vikrant 03022010-OT_000285  Sacar_Banda 0001-002382 Pendiente de instalar en otro casco</v>
      </c>
      <c r="Z1737" s="19" t="str">
        <f t="shared" si="427"/>
        <v>ReencaucheReencauchadora RENOVA</v>
      </c>
    </row>
    <row r="1738" spans="2:26" ht="15.2" customHeight="1" outlineLevel="1">
      <c r="B1738" s="37"/>
      <c r="C1738" s="2">
        <f t="shared" ref="C1738:C1746" si="430">1+C1739</f>
        <v>15</v>
      </c>
      <c r="D1738" s="3">
        <f t="shared" ref="D1738:D1746" si="431">1+D1739</f>
        <v>15</v>
      </c>
      <c r="E1738" s="66">
        <v>1</v>
      </c>
      <c r="F1738" s="67" t="s">
        <v>732</v>
      </c>
      <c r="G1738" s="68" t="s">
        <v>737</v>
      </c>
      <c r="H1738" s="69" t="s">
        <v>1182</v>
      </c>
      <c r="I1738" s="68" t="s">
        <v>726</v>
      </c>
      <c r="J1738" s="70" t="s">
        <v>760</v>
      </c>
      <c r="K1738" s="71" t="s">
        <v>1183</v>
      </c>
      <c r="L1738" s="72">
        <v>41995</v>
      </c>
      <c r="M1738" s="73" t="s">
        <v>729</v>
      </c>
      <c r="N1738" s="74">
        <v>42016</v>
      </c>
      <c r="O1738" s="75">
        <f t="shared" ref="O1738:O1750" si="432">+N1738</f>
        <v>42016</v>
      </c>
      <c r="P1738" s="2765" t="s">
        <v>1184</v>
      </c>
      <c r="Q1738" s="2954"/>
      <c r="R1738" s="76">
        <v>281.49</v>
      </c>
      <c r="S1738" s="1945" t="s">
        <v>731</v>
      </c>
      <c r="T1738" s="77"/>
      <c r="U1738" s="1893" t="s">
        <v>693</v>
      </c>
      <c r="V1738" s="2079">
        <f t="shared" si="423"/>
        <v>0</v>
      </c>
      <c r="W1738" s="78">
        <f t="shared" si="424"/>
        <v>332.15819999999997</v>
      </c>
      <c r="X1738" s="1878" t="str">
        <f t="shared" si="422"/>
        <v xml:space="preserve">1.- C Vikrant 0410510-OT_206730  Reencauche 030-003895 </v>
      </c>
      <c r="Z1738" s="19" t="str">
        <f t="shared" si="427"/>
        <v>ReencaucheReencauchadora RENOVA</v>
      </c>
    </row>
    <row r="1739" spans="2:26" ht="15.2" customHeight="1" outlineLevel="1">
      <c r="B1739" s="37"/>
      <c r="C1739" s="2">
        <f t="shared" si="430"/>
        <v>14</v>
      </c>
      <c r="D1739" s="3">
        <f t="shared" si="431"/>
        <v>14</v>
      </c>
      <c r="E1739" s="66">
        <v>2</v>
      </c>
      <c r="F1739" s="67" t="s">
        <v>732</v>
      </c>
      <c r="G1739" s="68" t="s">
        <v>737</v>
      </c>
      <c r="H1739" s="69" t="s">
        <v>1185</v>
      </c>
      <c r="I1739" s="68" t="s">
        <v>726</v>
      </c>
      <c r="J1739" s="70" t="s">
        <v>760</v>
      </c>
      <c r="K1739" s="71" t="s">
        <v>1183</v>
      </c>
      <c r="L1739" s="72">
        <v>41995</v>
      </c>
      <c r="M1739" s="73" t="s">
        <v>729</v>
      </c>
      <c r="N1739" s="74">
        <v>42016</v>
      </c>
      <c r="O1739" s="75">
        <f t="shared" si="432"/>
        <v>42016</v>
      </c>
      <c r="P1739" s="2765" t="s">
        <v>1184</v>
      </c>
      <c r="Q1739" s="2954"/>
      <c r="R1739" s="76">
        <v>281.49</v>
      </c>
      <c r="S1739" s="1945" t="s">
        <v>731</v>
      </c>
      <c r="T1739" s="77"/>
      <c r="U1739" s="1893" t="s">
        <v>693</v>
      </c>
      <c r="V1739" s="2079">
        <f t="shared" si="423"/>
        <v>0</v>
      </c>
      <c r="W1739" s="78">
        <f t="shared" si="424"/>
        <v>332.15819999999997</v>
      </c>
      <c r="X1739" s="1878" t="str">
        <f t="shared" si="422"/>
        <v xml:space="preserve">2.- C Vikrant 1200805-OT_206730  Reencauche 030-003895 </v>
      </c>
      <c r="Z1739" s="19" t="str">
        <f t="shared" si="427"/>
        <v>ReencaucheReencauchadora RENOVA</v>
      </c>
    </row>
    <row r="1740" spans="2:26" ht="15.2" customHeight="1" outlineLevel="1">
      <c r="B1740" s="37"/>
      <c r="C1740" s="2">
        <f t="shared" si="430"/>
        <v>13</v>
      </c>
      <c r="D1740" s="3">
        <f t="shared" si="431"/>
        <v>13</v>
      </c>
      <c r="E1740" s="66">
        <v>3</v>
      </c>
      <c r="F1740" s="67" t="s">
        <v>732</v>
      </c>
      <c r="G1740" s="68" t="s">
        <v>737</v>
      </c>
      <c r="H1740" s="69" t="s">
        <v>1186</v>
      </c>
      <c r="I1740" s="68" t="s">
        <v>726</v>
      </c>
      <c r="J1740" s="70" t="s">
        <v>760</v>
      </c>
      <c r="K1740" s="71" t="s">
        <v>1183</v>
      </c>
      <c r="L1740" s="72">
        <v>41995</v>
      </c>
      <c r="M1740" s="73" t="s">
        <v>729</v>
      </c>
      <c r="N1740" s="74">
        <v>42016</v>
      </c>
      <c r="O1740" s="75">
        <f t="shared" si="432"/>
        <v>42016</v>
      </c>
      <c r="P1740" s="2765" t="s">
        <v>1184</v>
      </c>
      <c r="Q1740" s="2954"/>
      <c r="R1740" s="76">
        <v>281.49</v>
      </c>
      <c r="S1740" s="1945" t="s">
        <v>731</v>
      </c>
      <c r="T1740" s="77"/>
      <c r="U1740" s="1893" t="s">
        <v>693</v>
      </c>
      <c r="V1740" s="2079">
        <f t="shared" si="423"/>
        <v>0</v>
      </c>
      <c r="W1740" s="78">
        <f t="shared" si="424"/>
        <v>332.15819999999997</v>
      </c>
      <c r="X1740" s="1878" t="str">
        <f t="shared" si="422"/>
        <v xml:space="preserve">3.- C Vikrant 0220312-OT_206730  Reencauche 030-003895 </v>
      </c>
      <c r="Z1740" s="19" t="str">
        <f t="shared" si="427"/>
        <v>ReencaucheReencauchadora RENOVA</v>
      </c>
    </row>
    <row r="1741" spans="2:26" ht="15.2" customHeight="1" outlineLevel="1">
      <c r="B1741" s="37"/>
      <c r="C1741" s="2">
        <f t="shared" si="430"/>
        <v>12</v>
      </c>
      <c r="D1741" s="3">
        <f t="shared" si="431"/>
        <v>12</v>
      </c>
      <c r="E1741" s="66">
        <v>4</v>
      </c>
      <c r="F1741" s="67" t="s">
        <v>732</v>
      </c>
      <c r="G1741" s="68" t="s">
        <v>737</v>
      </c>
      <c r="H1741" s="69" t="s">
        <v>1187</v>
      </c>
      <c r="I1741" s="68" t="s">
        <v>726</v>
      </c>
      <c r="J1741" s="70" t="s">
        <v>760</v>
      </c>
      <c r="K1741" s="71" t="s">
        <v>1183</v>
      </c>
      <c r="L1741" s="72">
        <v>41995</v>
      </c>
      <c r="M1741" s="73" t="s">
        <v>729</v>
      </c>
      <c r="N1741" s="74">
        <v>42016</v>
      </c>
      <c r="O1741" s="75">
        <f t="shared" si="432"/>
        <v>42016</v>
      </c>
      <c r="P1741" s="2765" t="s">
        <v>1184</v>
      </c>
      <c r="Q1741" s="2954"/>
      <c r="R1741" s="76">
        <v>281.49</v>
      </c>
      <c r="S1741" s="1945" t="s">
        <v>731</v>
      </c>
      <c r="T1741" s="77"/>
      <c r="U1741" s="1893" t="s">
        <v>693</v>
      </c>
      <c r="V1741" s="2079">
        <f t="shared" si="423"/>
        <v>0</v>
      </c>
      <c r="W1741" s="78">
        <f t="shared" si="424"/>
        <v>332.15819999999997</v>
      </c>
      <c r="X1741" s="1878" t="str">
        <f t="shared" si="422"/>
        <v xml:space="preserve">4.- C Vikrant 1501105-OT_206730  Reencauche 030-003895 </v>
      </c>
      <c r="Z1741" s="19" t="str">
        <f t="shared" si="427"/>
        <v>ReencaucheReencauchadora RENOVA</v>
      </c>
    </row>
    <row r="1742" spans="2:26" ht="15.2" customHeight="1" outlineLevel="1">
      <c r="B1742" s="37"/>
      <c r="C1742" s="2">
        <f t="shared" si="430"/>
        <v>11</v>
      </c>
      <c r="D1742" s="3">
        <f t="shared" si="431"/>
        <v>11</v>
      </c>
      <c r="E1742" s="66">
        <v>5</v>
      </c>
      <c r="F1742" s="67" t="s">
        <v>732</v>
      </c>
      <c r="G1742" s="68" t="s">
        <v>737</v>
      </c>
      <c r="H1742" s="69" t="s">
        <v>775</v>
      </c>
      <c r="I1742" s="68" t="s">
        <v>726</v>
      </c>
      <c r="J1742" s="70" t="s">
        <v>760</v>
      </c>
      <c r="K1742" s="71" t="s">
        <v>1183</v>
      </c>
      <c r="L1742" s="72">
        <v>41995</v>
      </c>
      <c r="M1742" s="73" t="s">
        <v>729</v>
      </c>
      <c r="N1742" s="74">
        <v>42016</v>
      </c>
      <c r="O1742" s="75">
        <f t="shared" si="432"/>
        <v>42016</v>
      </c>
      <c r="P1742" s="2765" t="s">
        <v>1184</v>
      </c>
      <c r="Q1742" s="2954"/>
      <c r="R1742" s="76">
        <v>281.49</v>
      </c>
      <c r="S1742" s="1945" t="s">
        <v>731</v>
      </c>
      <c r="T1742" s="77"/>
      <c r="U1742" s="1893" t="s">
        <v>693</v>
      </c>
      <c r="V1742" s="2079">
        <f t="shared" si="423"/>
        <v>0</v>
      </c>
      <c r="W1742" s="78">
        <f t="shared" si="424"/>
        <v>332.15819999999997</v>
      </c>
      <c r="X1742" s="1878" t="str">
        <f t="shared" si="422"/>
        <v xml:space="preserve">5.- C Vikrant 0110109-OT_206730  Reencauche 030-003895 </v>
      </c>
      <c r="Z1742" s="19" t="str">
        <f t="shared" si="427"/>
        <v>ReencaucheReencauchadora RENOVA</v>
      </c>
    </row>
    <row r="1743" spans="2:26" ht="15.2" customHeight="1" outlineLevel="1">
      <c r="B1743" s="37"/>
      <c r="C1743" s="2">
        <f t="shared" si="430"/>
        <v>10</v>
      </c>
      <c r="D1743" s="3">
        <f t="shared" si="431"/>
        <v>10</v>
      </c>
      <c r="E1743" s="66">
        <v>6</v>
      </c>
      <c r="F1743" s="67" t="s">
        <v>732</v>
      </c>
      <c r="G1743" s="68" t="s">
        <v>733</v>
      </c>
      <c r="H1743" s="69" t="s">
        <v>848</v>
      </c>
      <c r="I1743" s="68" t="s">
        <v>726</v>
      </c>
      <c r="J1743" s="70" t="s">
        <v>760</v>
      </c>
      <c r="K1743" s="71" t="s">
        <v>1183</v>
      </c>
      <c r="L1743" s="72">
        <v>41995</v>
      </c>
      <c r="M1743" s="73" t="s">
        <v>729</v>
      </c>
      <c r="N1743" s="74">
        <v>42016</v>
      </c>
      <c r="O1743" s="75">
        <f t="shared" si="432"/>
        <v>42016</v>
      </c>
      <c r="P1743" s="2765" t="s">
        <v>1184</v>
      </c>
      <c r="Q1743" s="2954"/>
      <c r="R1743" s="76">
        <v>281.49</v>
      </c>
      <c r="S1743" s="1945" t="s">
        <v>731</v>
      </c>
      <c r="T1743" s="77"/>
      <c r="U1743" s="1893" t="s">
        <v>693</v>
      </c>
      <c r="V1743" s="2079">
        <f t="shared" si="423"/>
        <v>0</v>
      </c>
      <c r="W1743" s="78">
        <f t="shared" si="424"/>
        <v>332.15819999999997</v>
      </c>
      <c r="X1743" s="1878" t="str">
        <f t="shared" si="422"/>
        <v xml:space="preserve">6.- C Lima Caucho 0530807-OT_206730  Reencauche 030-003895 </v>
      </c>
      <c r="Z1743" s="19" t="str">
        <f t="shared" si="427"/>
        <v>ReencaucheReencauchadora RENOVA</v>
      </c>
    </row>
    <row r="1744" spans="2:26" ht="15.2" customHeight="1" outlineLevel="1">
      <c r="B1744" s="37"/>
      <c r="C1744" s="2">
        <f t="shared" si="430"/>
        <v>9</v>
      </c>
      <c r="D1744" s="3">
        <f t="shared" si="431"/>
        <v>9</v>
      </c>
      <c r="E1744" s="66">
        <v>7</v>
      </c>
      <c r="F1744" s="67" t="s">
        <v>732</v>
      </c>
      <c r="G1744" s="68" t="s">
        <v>733</v>
      </c>
      <c r="H1744" s="69" t="s">
        <v>887</v>
      </c>
      <c r="I1744" s="68" t="s">
        <v>726</v>
      </c>
      <c r="J1744" s="70" t="s">
        <v>760</v>
      </c>
      <c r="K1744" s="71" t="s">
        <v>1183</v>
      </c>
      <c r="L1744" s="72">
        <v>41995</v>
      </c>
      <c r="M1744" s="73" t="s">
        <v>729</v>
      </c>
      <c r="N1744" s="74">
        <v>42016</v>
      </c>
      <c r="O1744" s="75">
        <f t="shared" si="432"/>
        <v>42016</v>
      </c>
      <c r="P1744" s="2765" t="s">
        <v>1184</v>
      </c>
      <c r="Q1744" s="2954"/>
      <c r="R1744" s="76">
        <v>281.49</v>
      </c>
      <c r="S1744" s="1945" t="s">
        <v>731</v>
      </c>
      <c r="T1744" s="77"/>
      <c r="U1744" s="1893" t="s">
        <v>693</v>
      </c>
      <c r="V1744" s="2079">
        <f t="shared" si="423"/>
        <v>0</v>
      </c>
      <c r="W1744" s="78">
        <f t="shared" si="424"/>
        <v>332.15819999999997</v>
      </c>
      <c r="X1744" s="1878" t="str">
        <f t="shared" si="422"/>
        <v xml:space="preserve">7.- C Lima Caucho 1001210-OT_206730  Reencauche 030-003895 </v>
      </c>
      <c r="Z1744" s="19" t="str">
        <f t="shared" si="427"/>
        <v>ReencaucheReencauchadora RENOVA</v>
      </c>
    </row>
    <row r="1745" spans="1:26" ht="15.2" customHeight="1" outlineLevel="1">
      <c r="B1745" s="37"/>
      <c r="C1745" s="2">
        <f t="shared" si="430"/>
        <v>8</v>
      </c>
      <c r="D1745" s="3">
        <f t="shared" si="431"/>
        <v>8</v>
      </c>
      <c r="E1745" s="66">
        <v>8</v>
      </c>
      <c r="F1745" s="67" t="s">
        <v>732</v>
      </c>
      <c r="G1745" s="68" t="s">
        <v>733</v>
      </c>
      <c r="H1745" s="69" t="s">
        <v>1188</v>
      </c>
      <c r="I1745" s="68" t="s">
        <v>726</v>
      </c>
      <c r="J1745" s="70" t="s">
        <v>760</v>
      </c>
      <c r="K1745" s="71" t="s">
        <v>1183</v>
      </c>
      <c r="L1745" s="72">
        <v>41995</v>
      </c>
      <c r="M1745" s="73" t="s">
        <v>729</v>
      </c>
      <c r="N1745" s="74">
        <v>42016</v>
      </c>
      <c r="O1745" s="75">
        <f t="shared" si="432"/>
        <v>42016</v>
      </c>
      <c r="P1745" s="2765" t="s">
        <v>1184</v>
      </c>
      <c r="Q1745" s="2954"/>
      <c r="R1745" s="76">
        <v>281.49</v>
      </c>
      <c r="S1745" s="1945" t="s">
        <v>731</v>
      </c>
      <c r="T1745" s="77"/>
      <c r="U1745" s="1893" t="s">
        <v>693</v>
      </c>
      <c r="V1745" s="2079">
        <f t="shared" si="423"/>
        <v>0</v>
      </c>
      <c r="W1745" s="78">
        <f t="shared" si="424"/>
        <v>332.15819999999997</v>
      </c>
      <c r="X1745" s="1878" t="str">
        <f t="shared" si="422"/>
        <v xml:space="preserve">8.- C Lima Caucho 0550610-OT_206730  Reencauche 030-003895 </v>
      </c>
      <c r="Z1745" s="19" t="str">
        <f t="shared" si="427"/>
        <v>ReencaucheReencauchadora RENOVA</v>
      </c>
    </row>
    <row r="1746" spans="1:26" ht="15.2" customHeight="1" outlineLevel="1">
      <c r="B1746" s="37"/>
      <c r="C1746" s="2">
        <f t="shared" si="430"/>
        <v>7</v>
      </c>
      <c r="D1746" s="3">
        <f t="shared" si="431"/>
        <v>7</v>
      </c>
      <c r="E1746" s="66">
        <v>9</v>
      </c>
      <c r="F1746" s="67" t="s">
        <v>732</v>
      </c>
      <c r="G1746" s="68" t="s">
        <v>757</v>
      </c>
      <c r="H1746" s="69" t="s">
        <v>758</v>
      </c>
      <c r="I1746" s="68" t="s">
        <v>726</v>
      </c>
      <c r="J1746" s="70" t="s">
        <v>760</v>
      </c>
      <c r="K1746" s="71" t="s">
        <v>1189</v>
      </c>
      <c r="L1746" s="72">
        <v>41995</v>
      </c>
      <c r="M1746" s="73" t="s">
        <v>729</v>
      </c>
      <c r="N1746" s="74">
        <v>42016</v>
      </c>
      <c r="O1746" s="75">
        <f t="shared" si="432"/>
        <v>42016</v>
      </c>
      <c r="P1746" s="2765" t="s">
        <v>1184</v>
      </c>
      <c r="Q1746" s="2954"/>
      <c r="R1746" s="76">
        <v>281.49</v>
      </c>
      <c r="S1746" s="1945" t="s">
        <v>731</v>
      </c>
      <c r="T1746" s="77"/>
      <c r="U1746" s="1893" t="s">
        <v>693</v>
      </c>
      <c r="V1746" s="2079">
        <f t="shared" si="423"/>
        <v>0</v>
      </c>
      <c r="W1746" s="78">
        <f t="shared" si="424"/>
        <v>332.15819999999997</v>
      </c>
      <c r="X1746" s="1878" t="str">
        <f t="shared" si="422"/>
        <v xml:space="preserve">9.- C Goodyear 0650404-OT_206731  Reencauche 030-003895 </v>
      </c>
      <c r="Z1746" s="19" t="str">
        <f t="shared" si="427"/>
        <v>ReencaucheReencauchadora RENOVA</v>
      </c>
    </row>
    <row r="1747" spans="1:26" ht="15.2" customHeight="1" outlineLevel="1">
      <c r="B1747" s="37"/>
      <c r="C1747" s="2">
        <f>1+C1750</f>
        <v>6</v>
      </c>
      <c r="D1747" s="3">
        <f>1+D1750</f>
        <v>6</v>
      </c>
      <c r="E1747" s="66">
        <v>10</v>
      </c>
      <c r="F1747" s="67" t="s">
        <v>732</v>
      </c>
      <c r="G1747" s="68" t="s">
        <v>776</v>
      </c>
      <c r="H1747" s="69" t="s">
        <v>777</v>
      </c>
      <c r="I1747" s="68" t="s">
        <v>726</v>
      </c>
      <c r="J1747" s="70" t="s">
        <v>760</v>
      </c>
      <c r="K1747" s="71" t="s">
        <v>1189</v>
      </c>
      <c r="L1747" s="72">
        <v>41995</v>
      </c>
      <c r="M1747" s="73" t="s">
        <v>729</v>
      </c>
      <c r="N1747" s="74">
        <v>42016</v>
      </c>
      <c r="O1747" s="75">
        <f t="shared" si="432"/>
        <v>42016</v>
      </c>
      <c r="P1747" s="2765" t="s">
        <v>1184</v>
      </c>
      <c r="Q1747" s="2954"/>
      <c r="R1747" s="76">
        <v>281.49</v>
      </c>
      <c r="S1747" s="1945" t="s">
        <v>731</v>
      </c>
      <c r="T1747" s="77"/>
      <c r="U1747" s="1893" t="s">
        <v>693</v>
      </c>
      <c r="V1747" s="2079">
        <f t="shared" si="423"/>
        <v>0</v>
      </c>
      <c r="W1747" s="78">
        <f t="shared" si="424"/>
        <v>332.15819999999997</v>
      </c>
      <c r="X1747" s="1878" t="str">
        <f t="shared" si="422"/>
        <v xml:space="preserve">10.- C Altura 0670911-OT_206731  Reencauche 030-003895 </v>
      </c>
      <c r="Z1747" s="19" t="str">
        <f t="shared" si="427"/>
        <v>ReencaucheReenc. MASTERCAUCHO</v>
      </c>
    </row>
    <row r="1748" spans="1:26" ht="15.2" customHeight="1" outlineLevel="1">
      <c r="B1748" s="37"/>
      <c r="E1748" s="66">
        <v>11</v>
      </c>
      <c r="F1748" s="67" t="s">
        <v>732</v>
      </c>
      <c r="G1748" s="68" t="s">
        <v>737</v>
      </c>
      <c r="H1748" s="69" t="s">
        <v>1190</v>
      </c>
      <c r="I1748" s="68" t="s">
        <v>726</v>
      </c>
      <c r="J1748" s="70" t="s">
        <v>760</v>
      </c>
      <c r="K1748" s="71" t="s">
        <v>1183</v>
      </c>
      <c r="L1748" s="72">
        <v>41995</v>
      </c>
      <c r="M1748" s="73" t="s">
        <v>729</v>
      </c>
      <c r="N1748" s="74">
        <v>42016</v>
      </c>
      <c r="O1748" s="75">
        <f t="shared" si="432"/>
        <v>42016</v>
      </c>
      <c r="P1748" s="2765"/>
      <c r="Q1748" s="2954"/>
      <c r="R1748" s="76"/>
      <c r="S1748" s="1945" t="s">
        <v>731</v>
      </c>
      <c r="T1748" s="1875" t="s">
        <v>1191</v>
      </c>
      <c r="U1748" s="1920" t="s">
        <v>693</v>
      </c>
      <c r="V1748" s="2079">
        <f t="shared" si="423"/>
        <v>0</v>
      </c>
      <c r="W1748" s="78">
        <f t="shared" si="424"/>
        <v>0</v>
      </c>
      <c r="X1748" s="1878" t="str">
        <f t="shared" si="422"/>
        <v>11.- C Vikrant 1240805-OT_206730  Reencauche  Rechazada, Guia 030-0044840</v>
      </c>
      <c r="Z1748" s="19" t="str">
        <f t="shared" si="427"/>
        <v>Transpl BandaReenc. MASTERCAUCHO</v>
      </c>
    </row>
    <row r="1749" spans="1:26" ht="15.2" customHeight="1" outlineLevel="1">
      <c r="B1749" s="37"/>
      <c r="E1749" s="79">
        <v>12</v>
      </c>
      <c r="F1749" s="80" t="s">
        <v>732</v>
      </c>
      <c r="G1749" s="81" t="s">
        <v>733</v>
      </c>
      <c r="H1749" s="82" t="s">
        <v>1192</v>
      </c>
      <c r="I1749" s="81" t="s">
        <v>726</v>
      </c>
      <c r="J1749" s="83" t="s">
        <v>760</v>
      </c>
      <c r="K1749" s="84" t="s">
        <v>1183</v>
      </c>
      <c r="L1749" s="85">
        <v>41995</v>
      </c>
      <c r="M1749" s="86" t="s">
        <v>729</v>
      </c>
      <c r="N1749" s="87">
        <v>42016</v>
      </c>
      <c r="O1749" s="88">
        <f t="shared" si="432"/>
        <v>42016</v>
      </c>
      <c r="P1749" s="2766"/>
      <c r="Q1749" s="2955"/>
      <c r="R1749" s="89"/>
      <c r="S1749" s="1946" t="s">
        <v>731</v>
      </c>
      <c r="T1749" s="1875" t="s">
        <v>1191</v>
      </c>
      <c r="U1749" s="1920" t="s">
        <v>693</v>
      </c>
      <c r="V1749" s="2079">
        <f t="shared" si="423"/>
        <v>0</v>
      </c>
      <c r="W1749" s="78">
        <f t="shared" si="424"/>
        <v>0</v>
      </c>
      <c r="X1749" s="1878" t="str">
        <f t="shared" si="422"/>
        <v>12.- C Lima Caucho 0050108-OT_206730  Reencauche  Rechazada, Guia 030-0044840</v>
      </c>
      <c r="Z1749" s="19" t="str">
        <f t="shared" si="427"/>
        <v>Transpl BandaReenc. MASTERCAUCHO</v>
      </c>
    </row>
    <row r="1750" spans="1:26" ht="15.2" customHeight="1" outlineLevel="1">
      <c r="B1750" s="37"/>
      <c r="C1750" s="2">
        <f t="shared" ref="C1750:D1753" si="433">1+C1751</f>
        <v>5</v>
      </c>
      <c r="D1750" s="3">
        <f t="shared" si="433"/>
        <v>5</v>
      </c>
      <c r="E1750" s="66">
        <v>1</v>
      </c>
      <c r="F1750" s="67" t="s">
        <v>732</v>
      </c>
      <c r="G1750" s="68" t="s">
        <v>733</v>
      </c>
      <c r="H1750" s="69" t="s">
        <v>1193</v>
      </c>
      <c r="I1750" s="68" t="s">
        <v>726</v>
      </c>
      <c r="J1750" s="70" t="s">
        <v>727</v>
      </c>
      <c r="K1750" s="71" t="s">
        <v>1194</v>
      </c>
      <c r="L1750" s="72">
        <v>42002</v>
      </c>
      <c r="M1750" s="73" t="s">
        <v>729</v>
      </c>
      <c r="N1750" s="74">
        <v>42012</v>
      </c>
      <c r="O1750" s="75">
        <f t="shared" si="432"/>
        <v>42012</v>
      </c>
      <c r="P1750" s="2765" t="s">
        <v>1195</v>
      </c>
      <c r="Q1750" s="2954"/>
      <c r="R1750" s="76">
        <v>254.24</v>
      </c>
      <c r="S1750" s="1945" t="s">
        <v>731</v>
      </c>
      <c r="T1750" s="77"/>
      <c r="U1750" s="1893" t="s">
        <v>693</v>
      </c>
      <c r="V1750" s="2079">
        <f t="shared" si="423"/>
        <v>0</v>
      </c>
      <c r="W1750" s="78">
        <f t="shared" si="424"/>
        <v>300.00319999999999</v>
      </c>
      <c r="X1750" s="1878" t="str">
        <f t="shared" si="422"/>
        <v xml:space="preserve">1.- C Lima Caucho 0981107-OT_000266  Reencauche 0001-002240 </v>
      </c>
      <c r="Z1750" s="19" t="str">
        <f t="shared" si="427"/>
        <v>Vulcanizado (curación)Reenc. MASTERCAUCHO</v>
      </c>
    </row>
    <row r="1751" spans="1:26" ht="15.2" customHeight="1" outlineLevel="1">
      <c r="B1751" s="37"/>
      <c r="C1751" s="2">
        <f t="shared" si="433"/>
        <v>4</v>
      </c>
      <c r="D1751" s="3">
        <f t="shared" si="433"/>
        <v>4</v>
      </c>
      <c r="E1751" s="66">
        <v>2</v>
      </c>
      <c r="F1751" s="67" t="s">
        <v>732</v>
      </c>
      <c r="G1751" s="68" t="s">
        <v>1108</v>
      </c>
      <c r="H1751" s="69" t="s">
        <v>1196</v>
      </c>
      <c r="I1751" s="90" t="s">
        <v>740</v>
      </c>
      <c r="J1751" s="92" t="s">
        <v>727</v>
      </c>
      <c r="K1751" s="71" t="s">
        <v>1194</v>
      </c>
      <c r="L1751" s="72">
        <v>42002</v>
      </c>
      <c r="M1751" s="73" t="s">
        <v>729</v>
      </c>
      <c r="N1751" s="74">
        <v>42012</v>
      </c>
      <c r="O1751" s="75">
        <v>42012</v>
      </c>
      <c r="P1751" s="2765" t="s">
        <v>1195</v>
      </c>
      <c r="Q1751" s="2954"/>
      <c r="R1751" s="76">
        <v>127.12</v>
      </c>
      <c r="S1751" s="1945" t="s">
        <v>731</v>
      </c>
      <c r="T1751" s="77"/>
      <c r="U1751" s="1893" t="s">
        <v>693</v>
      </c>
      <c r="V1751" s="2079">
        <f t="shared" si="423"/>
        <v>0</v>
      </c>
      <c r="W1751" s="78">
        <f t="shared" si="424"/>
        <v>150.0016</v>
      </c>
      <c r="X1751" s="1878" t="str">
        <f t="shared" si="422"/>
        <v xml:space="preserve">2.- C Hankook 0360305-OT_000266  Transpl Banda 0001-002240 </v>
      </c>
      <c r="Z1751" s="19" t="str">
        <f t="shared" si="427"/>
        <v>Vulcanizado (curación)Reenc. MASTERCAUCHO</v>
      </c>
    </row>
    <row r="1752" spans="1:26" ht="15.2" customHeight="1" outlineLevel="1">
      <c r="B1752" s="37"/>
      <c r="C1752" s="2">
        <f t="shared" si="433"/>
        <v>3</v>
      </c>
      <c r="D1752" s="3">
        <f t="shared" si="433"/>
        <v>3</v>
      </c>
      <c r="E1752" s="66">
        <v>3</v>
      </c>
      <c r="F1752" s="67" t="s">
        <v>732</v>
      </c>
      <c r="G1752" s="68" t="s">
        <v>757</v>
      </c>
      <c r="H1752" s="69" t="s">
        <v>1197</v>
      </c>
      <c r="I1752" s="90" t="s">
        <v>740</v>
      </c>
      <c r="J1752" s="92" t="s">
        <v>727</v>
      </c>
      <c r="K1752" s="71" t="s">
        <v>1194</v>
      </c>
      <c r="L1752" s="72">
        <v>42002</v>
      </c>
      <c r="M1752" s="73" t="s">
        <v>729</v>
      </c>
      <c r="N1752" s="74">
        <v>42012</v>
      </c>
      <c r="O1752" s="75">
        <v>42012</v>
      </c>
      <c r="P1752" s="2765" t="s">
        <v>1195</v>
      </c>
      <c r="Q1752" s="2954"/>
      <c r="R1752" s="76">
        <v>127.12</v>
      </c>
      <c r="S1752" s="1945" t="s">
        <v>731</v>
      </c>
      <c r="T1752" s="77"/>
      <c r="U1752" s="1893" t="s">
        <v>693</v>
      </c>
      <c r="V1752" s="2079">
        <f t="shared" si="423"/>
        <v>0</v>
      </c>
      <c r="W1752" s="78">
        <f t="shared" si="424"/>
        <v>150.0016</v>
      </c>
      <c r="X1752" s="1878" t="str">
        <f t="shared" si="422"/>
        <v xml:space="preserve">3.- C Goodyear 011032003-OT_000266  Transpl Banda 0001-002240 </v>
      </c>
      <c r="Z1752" s="19" t="str">
        <f t="shared" si="427"/>
        <v>Sacar_BandaReenc. MASTERCAUCHO</v>
      </c>
    </row>
    <row r="1753" spans="1:26" ht="15.2" customHeight="1" outlineLevel="1" thickBot="1">
      <c r="B1753" s="37"/>
      <c r="C1753" s="2">
        <f t="shared" si="433"/>
        <v>2</v>
      </c>
      <c r="D1753" s="3">
        <f t="shared" si="433"/>
        <v>2</v>
      </c>
      <c r="E1753" s="66">
        <v>4</v>
      </c>
      <c r="F1753" s="67" t="s">
        <v>732</v>
      </c>
      <c r="G1753" s="174" t="s">
        <v>733</v>
      </c>
      <c r="H1753" s="175" t="s">
        <v>1198</v>
      </c>
      <c r="I1753" s="174" t="s">
        <v>811</v>
      </c>
      <c r="J1753" s="176" t="s">
        <v>727</v>
      </c>
      <c r="K1753" s="71" t="s">
        <v>1194</v>
      </c>
      <c r="L1753" s="72">
        <v>42002</v>
      </c>
      <c r="M1753" s="73" t="s">
        <v>729</v>
      </c>
      <c r="N1753" s="74">
        <v>42012</v>
      </c>
      <c r="O1753" s="75">
        <v>42012</v>
      </c>
      <c r="P1753" s="2765" t="s">
        <v>1195</v>
      </c>
      <c r="Q1753" s="2954"/>
      <c r="R1753" s="76">
        <v>105.93</v>
      </c>
      <c r="S1753" s="1945" t="s">
        <v>731</v>
      </c>
      <c r="T1753" s="77"/>
      <c r="U1753" s="1893" t="s">
        <v>693</v>
      </c>
      <c r="V1753" s="2079">
        <f t="shared" si="423"/>
        <v>0</v>
      </c>
      <c r="W1753" s="78">
        <f t="shared" si="424"/>
        <v>124.9974</v>
      </c>
      <c r="X1753" s="1878" t="str">
        <f t="shared" si="422"/>
        <v xml:space="preserve">4.- C Lima Caucho 0090107-OT_000266  Vulcanizado (curación) 0001-002240 </v>
      </c>
      <c r="Z1753" s="19" t="str">
        <f t="shared" si="427"/>
        <v>Sacar_BandaReenc. MASTERCAUCHO</v>
      </c>
    </row>
    <row r="1754" spans="1:26" s="65" customFormat="1">
      <c r="A1754"/>
      <c r="B1754" s="37"/>
      <c r="C1754" s="2">
        <v>1</v>
      </c>
      <c r="D1754" s="3">
        <v>1</v>
      </c>
      <c r="E1754" s="66">
        <v>5</v>
      </c>
      <c r="F1754" s="67" t="s">
        <v>732</v>
      </c>
      <c r="G1754" s="174" t="s">
        <v>733</v>
      </c>
      <c r="H1754" s="175" t="s">
        <v>850</v>
      </c>
      <c r="I1754" s="174" t="s">
        <v>811</v>
      </c>
      <c r="J1754" s="176" t="s">
        <v>727</v>
      </c>
      <c r="K1754" s="71" t="s">
        <v>1194</v>
      </c>
      <c r="L1754" s="72">
        <v>42002</v>
      </c>
      <c r="M1754" s="73" t="s">
        <v>729</v>
      </c>
      <c r="N1754" s="74">
        <v>42012</v>
      </c>
      <c r="O1754" s="75">
        <v>42012</v>
      </c>
      <c r="P1754" s="2765" t="s">
        <v>1195</v>
      </c>
      <c r="Q1754" s="2954"/>
      <c r="R1754" s="76">
        <v>105.93</v>
      </c>
      <c r="S1754" s="1945" t="s">
        <v>731</v>
      </c>
      <c r="T1754" s="77"/>
      <c r="U1754" s="1893" t="s">
        <v>693</v>
      </c>
      <c r="V1754" s="2079">
        <f t="shared" si="423"/>
        <v>0</v>
      </c>
      <c r="W1754" s="78">
        <f t="shared" si="424"/>
        <v>124.9974</v>
      </c>
      <c r="X1754" s="1881" t="str">
        <f t="shared" si="422"/>
        <v xml:space="preserve">5.- C Lima Caucho 0710808-OT_000266  Vulcanizado (curación) 0001-002240 </v>
      </c>
      <c r="Y1754" s="63"/>
      <c r="Z1754" s="64" t="str">
        <f t="shared" si="427"/>
        <v/>
      </c>
    </row>
    <row r="1755" spans="1:26" ht="15.2" customHeight="1">
      <c r="B1755" s="37"/>
      <c r="E1755" s="66">
        <v>6</v>
      </c>
      <c r="F1755" s="67" t="s">
        <v>732</v>
      </c>
      <c r="G1755" s="68" t="s">
        <v>737</v>
      </c>
      <c r="H1755" s="69" t="s">
        <v>1199</v>
      </c>
      <c r="I1755" s="90" t="s">
        <v>744</v>
      </c>
      <c r="J1755" s="92" t="s">
        <v>727</v>
      </c>
      <c r="K1755" s="71" t="s">
        <v>1194</v>
      </c>
      <c r="L1755" s="72">
        <v>42002</v>
      </c>
      <c r="M1755" s="73" t="s">
        <v>729</v>
      </c>
      <c r="N1755" s="74">
        <v>42012</v>
      </c>
      <c r="O1755" s="75">
        <v>42012</v>
      </c>
      <c r="P1755" s="2765"/>
      <c r="Q1755" s="2954"/>
      <c r="R1755" s="76">
        <v>0</v>
      </c>
      <c r="S1755" s="1945" t="s">
        <v>731</v>
      </c>
      <c r="T1755" s="77"/>
      <c r="U1755" s="1893" t="s">
        <v>693</v>
      </c>
      <c r="V1755" s="2079">
        <f t="shared" si="423"/>
        <v>0</v>
      </c>
      <c r="W1755" s="78">
        <f t="shared" si="424"/>
        <v>0</v>
      </c>
      <c r="X1755" s="1878" t="str">
        <f t="shared" si="422"/>
        <v xml:space="preserve">6.- C Vikrant 0040109-OT_000266  Sacar_Banda  </v>
      </c>
    </row>
    <row r="1756" spans="1:26" ht="15.2" customHeight="1" outlineLevel="1" thickBot="1">
      <c r="B1756" s="37"/>
      <c r="E1756" s="79">
        <v>7</v>
      </c>
      <c r="F1756" s="80" t="s">
        <v>732</v>
      </c>
      <c r="G1756" s="81" t="s">
        <v>737</v>
      </c>
      <c r="H1756" s="82" t="s">
        <v>1200</v>
      </c>
      <c r="I1756" s="114" t="s">
        <v>744</v>
      </c>
      <c r="J1756" s="93" t="s">
        <v>727</v>
      </c>
      <c r="K1756" s="84" t="s">
        <v>1194</v>
      </c>
      <c r="L1756" s="85">
        <v>42002</v>
      </c>
      <c r="M1756" s="86" t="s">
        <v>729</v>
      </c>
      <c r="N1756" s="87">
        <v>42012</v>
      </c>
      <c r="O1756" s="88">
        <v>42012</v>
      </c>
      <c r="P1756" s="2766"/>
      <c r="Q1756" s="2955"/>
      <c r="R1756" s="89">
        <v>0</v>
      </c>
      <c r="S1756" s="1946" t="s">
        <v>731</v>
      </c>
      <c r="T1756" s="77"/>
      <c r="U1756" s="1893" t="s">
        <v>693</v>
      </c>
      <c r="V1756" s="2079">
        <f t="shared" si="423"/>
        <v>0</v>
      </c>
      <c r="W1756" s="78">
        <f t="shared" si="424"/>
        <v>0</v>
      </c>
      <c r="X1756" s="1878" t="str">
        <f t="shared" si="422"/>
        <v xml:space="preserve">7.- C Vikrant 1390805-OT_000266  Sacar_Banda  </v>
      </c>
    </row>
    <row r="1757" spans="1:26" ht="15.2" customHeight="1" outlineLevel="1">
      <c r="A1757" s="3307" t="s">
        <v>721</v>
      </c>
      <c r="B1757" s="3308"/>
      <c r="C1757" s="3307"/>
      <c r="D1757" s="3309"/>
      <c r="E1757" s="51">
        <f>+D2077+D2044+D2006+D1973+D1958+D1916+D1906+D1874+D1842+D1833+D1793+D1758</f>
        <v>268</v>
      </c>
      <c r="F1757" s="2048"/>
      <c r="G1757" s="52"/>
      <c r="H1757" s="53"/>
      <c r="I1757" s="52"/>
      <c r="J1757" s="54"/>
      <c r="K1757" s="55"/>
      <c r="L1757" s="56"/>
      <c r="M1757" s="57"/>
      <c r="N1757" s="58"/>
      <c r="O1757" s="59">
        <f>+N1760</f>
        <v>42002</v>
      </c>
      <c r="P1757" s="2764"/>
      <c r="Q1757" s="2953"/>
      <c r="R1757" s="60"/>
      <c r="S1757" s="1944"/>
      <c r="T1757" s="61"/>
      <c r="U1757" s="1892"/>
      <c r="V1757" s="2079">
        <f t="shared" si="423"/>
        <v>0</v>
      </c>
      <c r="W1757" s="78">
        <f t="shared" si="424"/>
        <v>0</v>
      </c>
      <c r="X1757" s="1878" t="str">
        <f t="shared" si="422"/>
        <v xml:space="preserve">268.-   -OT_    </v>
      </c>
      <c r="Z1757" s="19" t="str">
        <f t="shared" ref="Z1757:Z1789" si="434">CONCATENATE(I1760,J1760)</f>
        <v>ReencaucheReenc. MASTERCAUCHO</v>
      </c>
    </row>
    <row r="1758" spans="1:26" ht="15.2" customHeight="1" outlineLevel="1">
      <c r="B1758" s="1">
        <v>41974</v>
      </c>
      <c r="C1758" s="1"/>
      <c r="D1758" s="173">
        <f>+D1759</f>
        <v>27</v>
      </c>
      <c r="E1758" s="66"/>
      <c r="F1758" s="67"/>
      <c r="G1758" s="68"/>
      <c r="H1758" s="69"/>
      <c r="I1758" s="68"/>
      <c r="J1758" s="70"/>
      <c r="K1758" s="71"/>
      <c r="L1758" s="72"/>
      <c r="M1758" s="73"/>
      <c r="N1758" s="74"/>
      <c r="O1758" s="75"/>
      <c r="P1758" s="2765"/>
      <c r="Q1758" s="2954"/>
      <c r="R1758" s="76"/>
      <c r="S1758" s="1945"/>
      <c r="T1758" s="77"/>
      <c r="U1758" s="1893"/>
      <c r="V1758" s="2079">
        <f t="shared" si="423"/>
        <v>0</v>
      </c>
      <c r="W1758" s="78">
        <f t="shared" si="424"/>
        <v>0</v>
      </c>
      <c r="X1758" s="1878" t="str">
        <f t="shared" si="422"/>
        <v xml:space="preserve">.-   -OT_    </v>
      </c>
      <c r="Z1758" s="19" t="str">
        <f t="shared" si="434"/>
        <v>Transpl BandaReenc. MASTERCAUCHO</v>
      </c>
    </row>
    <row r="1759" spans="1:26" ht="15.2" customHeight="1" outlineLevel="1">
      <c r="B1759" s="172"/>
      <c r="C1759" s="2">
        <f t="shared" ref="C1759:C1767" si="435">1+C1760</f>
        <v>268</v>
      </c>
      <c r="D1759" s="3">
        <f t="shared" ref="D1759:D1767" si="436">1+D1760</f>
        <v>27</v>
      </c>
      <c r="E1759" s="66">
        <v>1</v>
      </c>
      <c r="F1759" s="67" t="s">
        <v>732</v>
      </c>
      <c r="G1759" s="68" t="s">
        <v>776</v>
      </c>
      <c r="H1759" s="69" t="s">
        <v>1201</v>
      </c>
      <c r="I1759" s="68" t="s">
        <v>726</v>
      </c>
      <c r="J1759" s="70" t="s">
        <v>727</v>
      </c>
      <c r="K1759" s="71" t="s">
        <v>1202</v>
      </c>
      <c r="L1759" s="72" t="s">
        <v>1203</v>
      </c>
      <c r="M1759" s="73" t="s">
        <v>729</v>
      </c>
      <c r="N1759" s="74">
        <v>42002</v>
      </c>
      <c r="O1759" s="75">
        <v>42002</v>
      </c>
      <c r="P1759" s="2765" t="s">
        <v>1204</v>
      </c>
      <c r="Q1759" s="2954"/>
      <c r="R1759" s="76">
        <v>254.24</v>
      </c>
      <c r="S1759" s="1945" t="s">
        <v>731</v>
      </c>
      <c r="T1759" s="77"/>
      <c r="U1759" s="1893"/>
      <c r="V1759" s="2079">
        <f t="shared" si="423"/>
        <v>0</v>
      </c>
      <c r="W1759" s="78">
        <f t="shared" si="424"/>
        <v>300.00319999999999</v>
      </c>
      <c r="X1759" s="1878" t="str">
        <f t="shared" si="422"/>
        <v xml:space="preserve">1.- C Altura 0630911-OT_000217  Reencauche 0001-002210 </v>
      </c>
      <c r="Z1759" s="19" t="str">
        <f t="shared" si="434"/>
        <v>Sacar_BandaReenc. MASTERCAUCHO</v>
      </c>
    </row>
    <row r="1760" spans="1:26" ht="15.2" customHeight="1" outlineLevel="1">
      <c r="B1760" s="37"/>
      <c r="C1760" s="2">
        <f t="shared" si="435"/>
        <v>267</v>
      </c>
      <c r="D1760" s="3">
        <f t="shared" si="436"/>
        <v>26</v>
      </c>
      <c r="E1760" s="66">
        <v>2</v>
      </c>
      <c r="F1760" s="67" t="s">
        <v>732</v>
      </c>
      <c r="G1760" s="68" t="s">
        <v>757</v>
      </c>
      <c r="H1760" s="69" t="s">
        <v>1205</v>
      </c>
      <c r="I1760" s="68" t="s">
        <v>726</v>
      </c>
      <c r="J1760" s="70" t="s">
        <v>727</v>
      </c>
      <c r="K1760" s="71" t="s">
        <v>1202</v>
      </c>
      <c r="L1760" s="72">
        <v>41995</v>
      </c>
      <c r="M1760" s="73" t="s">
        <v>729</v>
      </c>
      <c r="N1760" s="74">
        <v>42002</v>
      </c>
      <c r="O1760" s="75">
        <v>42002</v>
      </c>
      <c r="P1760" s="2765" t="s">
        <v>1204</v>
      </c>
      <c r="Q1760" s="2954"/>
      <c r="R1760" s="76">
        <v>254.24</v>
      </c>
      <c r="S1760" s="1945" t="s">
        <v>731</v>
      </c>
      <c r="T1760" s="77"/>
      <c r="U1760" s="1893"/>
      <c r="V1760" s="2079">
        <f t="shared" si="423"/>
        <v>0</v>
      </c>
      <c r="W1760" s="78">
        <f t="shared" si="424"/>
        <v>300.00319999999999</v>
      </c>
      <c r="X1760" s="1878" t="str">
        <f t="shared" si="422"/>
        <v xml:space="preserve">2.- C Goodyear 1120704-OT_000217  Reencauche 0001-002210 </v>
      </c>
      <c r="Z1760" s="19" t="str">
        <f t="shared" si="434"/>
        <v>Vulcanizado (curación)Reenc. MASTERCAUCHO</v>
      </c>
    </row>
    <row r="1761" spans="2:26" ht="15.2" customHeight="1" outlineLevel="1">
      <c r="B1761" s="37"/>
      <c r="C1761" s="2">
        <f t="shared" si="435"/>
        <v>266</v>
      </c>
      <c r="D1761" s="3">
        <f t="shared" si="436"/>
        <v>25</v>
      </c>
      <c r="E1761" s="66">
        <v>3</v>
      </c>
      <c r="F1761" s="67" t="s">
        <v>732</v>
      </c>
      <c r="G1761" s="68" t="s">
        <v>1108</v>
      </c>
      <c r="H1761" s="69" t="s">
        <v>1206</v>
      </c>
      <c r="I1761" s="90" t="s">
        <v>740</v>
      </c>
      <c r="J1761" s="92" t="s">
        <v>727</v>
      </c>
      <c r="K1761" s="71" t="s">
        <v>1202</v>
      </c>
      <c r="L1761" s="72">
        <v>41995</v>
      </c>
      <c r="M1761" s="73" t="s">
        <v>729</v>
      </c>
      <c r="N1761" s="74">
        <v>42002</v>
      </c>
      <c r="O1761" s="75">
        <v>42002</v>
      </c>
      <c r="P1761" s="2765" t="s">
        <v>1204</v>
      </c>
      <c r="Q1761" s="2954"/>
      <c r="R1761" s="76">
        <v>127.12</v>
      </c>
      <c r="S1761" s="1945" t="s">
        <v>731</v>
      </c>
      <c r="T1761" s="77"/>
      <c r="U1761" s="1893"/>
      <c r="V1761" s="2079">
        <f t="shared" si="423"/>
        <v>0</v>
      </c>
      <c r="W1761" s="78">
        <f t="shared" si="424"/>
        <v>150.0016</v>
      </c>
      <c r="X1761" s="1878" t="str">
        <f t="shared" si="422"/>
        <v xml:space="preserve">3.- C Hankook 0530305-OT_000217  Transpl Banda 0001-002210 </v>
      </c>
      <c r="Z1761" s="19" t="str">
        <f t="shared" si="434"/>
        <v>Band n Casco 2ª Usado  Reenc. MASTERCAUCHO</v>
      </c>
    </row>
    <row r="1762" spans="2:26" ht="15.2" customHeight="1" outlineLevel="1">
      <c r="B1762" s="37"/>
      <c r="C1762" s="2">
        <f t="shared" si="435"/>
        <v>265</v>
      </c>
      <c r="D1762" s="3">
        <f t="shared" si="436"/>
        <v>24</v>
      </c>
      <c r="E1762" s="66">
        <v>4</v>
      </c>
      <c r="F1762" s="67" t="s">
        <v>732</v>
      </c>
      <c r="G1762" s="68" t="s">
        <v>737</v>
      </c>
      <c r="H1762" s="69" t="s">
        <v>1207</v>
      </c>
      <c r="I1762" s="90" t="s">
        <v>744</v>
      </c>
      <c r="J1762" s="92" t="s">
        <v>727</v>
      </c>
      <c r="K1762" s="71" t="s">
        <v>1202</v>
      </c>
      <c r="L1762" s="72">
        <v>41995</v>
      </c>
      <c r="M1762" s="73" t="s">
        <v>729</v>
      </c>
      <c r="N1762" s="74">
        <v>42002</v>
      </c>
      <c r="O1762" s="75">
        <v>42002</v>
      </c>
      <c r="P1762" s="2765"/>
      <c r="Q1762" s="2954"/>
      <c r="R1762" s="76">
        <v>0</v>
      </c>
      <c r="S1762" s="1945" t="s">
        <v>731</v>
      </c>
      <c r="T1762" s="77"/>
      <c r="U1762" s="1893"/>
      <c r="V1762" s="2079">
        <f t="shared" si="423"/>
        <v>0</v>
      </c>
      <c r="W1762" s="78">
        <f t="shared" si="424"/>
        <v>0</v>
      </c>
      <c r="X1762" s="1878" t="str">
        <f t="shared" ref="X1762:X1825" si="437">CONCATENATE(E1762,".- ",F1762," ",G1762," ",H1762,"-OT_",K1762," "," ",I1762," ",P1762," ",T1762)</f>
        <v xml:space="preserve">4.- C Vikrant 0471206-OT_000217  Sacar_Banda  </v>
      </c>
      <c r="Z1762" s="19" t="str">
        <f t="shared" si="434"/>
        <v>ReencaucheReenc. MASTERCAUCHO</v>
      </c>
    </row>
    <row r="1763" spans="2:26" ht="15.2" customHeight="1" outlineLevel="1">
      <c r="B1763" s="37"/>
      <c r="C1763" s="2">
        <f t="shared" si="435"/>
        <v>264</v>
      </c>
      <c r="D1763" s="3">
        <f t="shared" si="436"/>
        <v>23</v>
      </c>
      <c r="E1763" s="66">
        <v>5</v>
      </c>
      <c r="F1763" s="67" t="s">
        <v>723</v>
      </c>
      <c r="G1763" s="174" t="s">
        <v>724</v>
      </c>
      <c r="H1763" s="175" t="s">
        <v>823</v>
      </c>
      <c r="I1763" s="174" t="s">
        <v>811</v>
      </c>
      <c r="J1763" s="176" t="s">
        <v>727</v>
      </c>
      <c r="K1763" s="71" t="s">
        <v>1202</v>
      </c>
      <c r="L1763" s="72">
        <v>41995</v>
      </c>
      <c r="M1763" s="73" t="s">
        <v>729</v>
      </c>
      <c r="N1763" s="74">
        <v>42002</v>
      </c>
      <c r="O1763" s="75">
        <v>42002</v>
      </c>
      <c r="P1763" s="2765" t="s">
        <v>1204</v>
      </c>
      <c r="Q1763" s="2954"/>
      <c r="R1763" s="76">
        <v>105.93</v>
      </c>
      <c r="S1763" s="1945" t="s">
        <v>731</v>
      </c>
      <c r="T1763" s="77"/>
      <c r="U1763" s="1893" t="s">
        <v>694</v>
      </c>
      <c r="V1763" s="2079">
        <f t="shared" ref="V1763:V1826" si="438">+Q1763*(1.18)</f>
        <v>0</v>
      </c>
      <c r="W1763" s="78">
        <f t="shared" ref="W1763:W1826" si="439">+R1763*(1.18)</f>
        <v>124.9974</v>
      </c>
      <c r="X1763" s="1878" t="str">
        <f t="shared" si="437"/>
        <v xml:space="preserve">5.- R Aeolus 0180612-OT_000217  Vulcanizado (curación) 0001-002210 </v>
      </c>
      <c r="Z1763" s="19" t="str">
        <f t="shared" si="434"/>
        <v>ReencaucheReenc. MASTERCAUCHO</v>
      </c>
    </row>
    <row r="1764" spans="2:26" ht="15.2" customHeight="1" outlineLevel="1">
      <c r="B1764" s="37"/>
      <c r="C1764" s="2">
        <f t="shared" si="435"/>
        <v>263</v>
      </c>
      <c r="D1764" s="3">
        <f t="shared" si="436"/>
        <v>22</v>
      </c>
      <c r="E1764" s="79">
        <v>6</v>
      </c>
      <c r="F1764" s="80" t="s">
        <v>723</v>
      </c>
      <c r="G1764" s="150" t="s">
        <v>724</v>
      </c>
      <c r="H1764" s="151" t="s">
        <v>1208</v>
      </c>
      <c r="I1764" s="150" t="s">
        <v>1209</v>
      </c>
      <c r="J1764" s="152" t="s">
        <v>727</v>
      </c>
      <c r="K1764" s="84" t="s">
        <v>1202</v>
      </c>
      <c r="L1764" s="85">
        <v>41995</v>
      </c>
      <c r="M1764" s="86" t="s">
        <v>729</v>
      </c>
      <c r="N1764" s="87">
        <v>42002</v>
      </c>
      <c r="O1764" s="88">
        <v>42002</v>
      </c>
      <c r="P1764" s="2766" t="s">
        <v>1204</v>
      </c>
      <c r="Q1764" s="2955"/>
      <c r="R1764" s="89">
        <v>211.86</v>
      </c>
      <c r="S1764" s="1946" t="s">
        <v>731</v>
      </c>
      <c r="T1764" s="77"/>
      <c r="U1764" s="1893" t="s">
        <v>694</v>
      </c>
      <c r="V1764" s="2079">
        <f t="shared" si="438"/>
        <v>0</v>
      </c>
      <c r="W1764" s="78">
        <f t="shared" si="439"/>
        <v>249.9948</v>
      </c>
      <c r="X1764" s="1878" t="str">
        <f t="shared" si="437"/>
        <v xml:space="preserve">6.- R Aeolus 0150113-OT_000217  Band n Casco 2ª Usado   0001-002210 </v>
      </c>
      <c r="Z1764" s="19" t="str">
        <f t="shared" si="434"/>
        <v>Transpl BandaReenc. MASTERCAUCHO</v>
      </c>
    </row>
    <row r="1765" spans="2:26" ht="15.2" customHeight="1" outlineLevel="1">
      <c r="B1765" s="37"/>
      <c r="C1765" s="2">
        <f t="shared" si="435"/>
        <v>262</v>
      </c>
      <c r="D1765" s="3">
        <f t="shared" si="436"/>
        <v>21</v>
      </c>
      <c r="E1765" s="66">
        <v>1</v>
      </c>
      <c r="F1765" s="67" t="s">
        <v>732</v>
      </c>
      <c r="G1765" s="68" t="s">
        <v>757</v>
      </c>
      <c r="H1765" s="69" t="s">
        <v>1210</v>
      </c>
      <c r="I1765" s="68" t="s">
        <v>726</v>
      </c>
      <c r="J1765" s="70" t="s">
        <v>727</v>
      </c>
      <c r="K1765" s="71" t="s">
        <v>1211</v>
      </c>
      <c r="L1765" s="72">
        <v>41985</v>
      </c>
      <c r="M1765" s="73" t="s">
        <v>729</v>
      </c>
      <c r="N1765" s="74">
        <v>41991</v>
      </c>
      <c r="O1765" s="75">
        <f>+N1765</f>
        <v>41991</v>
      </c>
      <c r="P1765" s="2765" t="s">
        <v>1212</v>
      </c>
      <c r="Q1765" s="2954"/>
      <c r="R1765" s="76">
        <v>254.24</v>
      </c>
      <c r="S1765" s="1945" t="s">
        <v>731</v>
      </c>
      <c r="T1765" s="77"/>
      <c r="U1765" s="1893"/>
      <c r="V1765" s="2079">
        <f t="shared" si="438"/>
        <v>0</v>
      </c>
      <c r="W1765" s="78">
        <f t="shared" si="439"/>
        <v>300.00319999999999</v>
      </c>
      <c r="X1765" s="1878" t="str">
        <f t="shared" si="437"/>
        <v xml:space="preserve">1.- C Goodyear 0610404-OT_000263  Reencauche 0001-002144 </v>
      </c>
      <c r="Z1765" s="19" t="str">
        <f t="shared" si="434"/>
        <v>Vulcanizado (curación)Reenc. MASTERCAUCHO</v>
      </c>
    </row>
    <row r="1766" spans="2:26" ht="15.2" customHeight="1" outlineLevel="1">
      <c r="B1766" s="37"/>
      <c r="C1766" s="2">
        <f t="shared" si="435"/>
        <v>261</v>
      </c>
      <c r="D1766" s="3">
        <f t="shared" si="436"/>
        <v>20</v>
      </c>
      <c r="E1766" s="66">
        <v>2</v>
      </c>
      <c r="F1766" s="67" t="s">
        <v>732</v>
      </c>
      <c r="G1766" s="68" t="s">
        <v>757</v>
      </c>
      <c r="H1766" s="69" t="s">
        <v>1213</v>
      </c>
      <c r="I1766" s="68" t="s">
        <v>726</v>
      </c>
      <c r="J1766" s="70" t="s">
        <v>727</v>
      </c>
      <c r="K1766" s="71" t="s">
        <v>1211</v>
      </c>
      <c r="L1766" s="72">
        <v>41985</v>
      </c>
      <c r="M1766" s="73" t="s">
        <v>729</v>
      </c>
      <c r="N1766" s="74">
        <v>41991</v>
      </c>
      <c r="O1766" s="75">
        <v>41991</v>
      </c>
      <c r="P1766" s="2765" t="s">
        <v>1212</v>
      </c>
      <c r="Q1766" s="2954"/>
      <c r="R1766" s="76">
        <v>254.24</v>
      </c>
      <c r="S1766" s="1945" t="s">
        <v>731</v>
      </c>
      <c r="T1766" s="77"/>
      <c r="U1766" s="1893"/>
      <c r="V1766" s="2079">
        <f t="shared" si="438"/>
        <v>0</v>
      </c>
      <c r="W1766" s="78">
        <f t="shared" si="439"/>
        <v>300.00319999999999</v>
      </c>
      <c r="X1766" s="1878" t="str">
        <f t="shared" si="437"/>
        <v xml:space="preserve">2.- C Goodyear 1881204-OT_000263  Reencauche 0001-002144 </v>
      </c>
      <c r="Z1766" s="19" t="str">
        <f t="shared" si="434"/>
        <v>Sacar_BandaReenc. MASTERCAUCHO</v>
      </c>
    </row>
    <row r="1767" spans="2:26" ht="15.2" customHeight="1" outlineLevel="1">
      <c r="B1767" s="37"/>
      <c r="C1767" s="2">
        <f t="shared" si="435"/>
        <v>260</v>
      </c>
      <c r="D1767" s="3">
        <f t="shared" si="436"/>
        <v>19</v>
      </c>
      <c r="E1767" s="66">
        <v>3</v>
      </c>
      <c r="F1767" s="67" t="s">
        <v>732</v>
      </c>
      <c r="G1767" s="68" t="s">
        <v>733</v>
      </c>
      <c r="H1767" s="69" t="s">
        <v>1214</v>
      </c>
      <c r="I1767" s="90" t="s">
        <v>740</v>
      </c>
      <c r="J1767" s="92" t="s">
        <v>727</v>
      </c>
      <c r="K1767" s="71" t="s">
        <v>1211</v>
      </c>
      <c r="L1767" s="72">
        <v>41985</v>
      </c>
      <c r="M1767" s="73" t="s">
        <v>729</v>
      </c>
      <c r="N1767" s="74">
        <v>41991</v>
      </c>
      <c r="O1767" s="75">
        <v>41991</v>
      </c>
      <c r="P1767" s="2765" t="s">
        <v>1212</v>
      </c>
      <c r="Q1767" s="2954"/>
      <c r="R1767" s="76">
        <v>127.12</v>
      </c>
      <c r="S1767" s="1945" t="s">
        <v>731</v>
      </c>
      <c r="T1767" s="77"/>
      <c r="U1767" s="1893"/>
      <c r="V1767" s="2079">
        <f t="shared" si="438"/>
        <v>0</v>
      </c>
      <c r="W1767" s="78">
        <f t="shared" si="439"/>
        <v>150.0016</v>
      </c>
      <c r="X1767" s="1878" t="str">
        <f t="shared" si="437"/>
        <v xml:space="preserve">3.- C Lima Caucho 068007-OT_000263  Transpl Banda 0001-002144 </v>
      </c>
      <c r="Z1767" s="19" t="str">
        <f t="shared" si="434"/>
        <v>Vulcanizado (curación)Reenc. MASTERCAUCHO</v>
      </c>
    </row>
    <row r="1768" spans="2:26" ht="15.2" customHeight="1" outlineLevel="1">
      <c r="B1768" s="37"/>
      <c r="C1768" s="2">
        <f>1+C1770</f>
        <v>259</v>
      </c>
      <c r="D1768" s="3">
        <f>1+D1770</f>
        <v>18</v>
      </c>
      <c r="E1768" s="66">
        <v>4</v>
      </c>
      <c r="F1768" s="67" t="s">
        <v>732</v>
      </c>
      <c r="G1768" s="174" t="s">
        <v>757</v>
      </c>
      <c r="H1768" s="175" t="s">
        <v>1215</v>
      </c>
      <c r="I1768" s="174" t="s">
        <v>811</v>
      </c>
      <c r="J1768" s="176" t="s">
        <v>727</v>
      </c>
      <c r="K1768" s="71" t="s">
        <v>1211</v>
      </c>
      <c r="L1768" s="72">
        <v>41985</v>
      </c>
      <c r="M1768" s="73" t="s">
        <v>729</v>
      </c>
      <c r="N1768" s="74">
        <v>41991</v>
      </c>
      <c r="O1768" s="75">
        <v>41991</v>
      </c>
      <c r="P1768" s="2765"/>
      <c r="Q1768" s="2954"/>
      <c r="R1768" s="76">
        <v>0</v>
      </c>
      <c r="S1768" s="1945" t="s">
        <v>731</v>
      </c>
      <c r="T1768" s="1875" t="s">
        <v>1216</v>
      </c>
      <c r="U1768" s="1920"/>
      <c r="V1768" s="2079">
        <f t="shared" si="438"/>
        <v>0</v>
      </c>
      <c r="W1768" s="78">
        <f t="shared" si="439"/>
        <v>0</v>
      </c>
      <c r="X1768" s="1878" t="str">
        <f t="shared" si="437"/>
        <v xml:space="preserve">4.- C Goodyear 0840102-OT_000263  Vulcanizado (curación)  Rechazada, S/Guia </v>
      </c>
      <c r="Z1768" s="19" t="str">
        <f t="shared" si="434"/>
        <v>Banda de 2ª usadaReenc. MASTERCAUCHO</v>
      </c>
    </row>
    <row r="1769" spans="2:26" ht="15.2" customHeight="1" outlineLevel="1">
      <c r="B1769" s="37"/>
      <c r="E1769" s="79">
        <v>5</v>
      </c>
      <c r="F1769" s="80" t="s">
        <v>732</v>
      </c>
      <c r="G1769" s="81" t="s">
        <v>733</v>
      </c>
      <c r="H1769" s="82" t="s">
        <v>1217</v>
      </c>
      <c r="I1769" s="114" t="s">
        <v>744</v>
      </c>
      <c r="J1769" s="93" t="s">
        <v>727</v>
      </c>
      <c r="K1769" s="84" t="s">
        <v>1211</v>
      </c>
      <c r="L1769" s="85">
        <v>41985</v>
      </c>
      <c r="M1769" s="86" t="s">
        <v>729</v>
      </c>
      <c r="N1769" s="87">
        <v>41991</v>
      </c>
      <c r="O1769" s="88">
        <v>41991</v>
      </c>
      <c r="P1769" s="2766"/>
      <c r="Q1769" s="2955"/>
      <c r="R1769" s="89">
        <v>0</v>
      </c>
      <c r="S1769" s="1946" t="s">
        <v>731</v>
      </c>
      <c r="T1769" s="77"/>
      <c r="U1769" s="1893"/>
      <c r="V1769" s="2079">
        <f t="shared" si="438"/>
        <v>0</v>
      </c>
      <c r="W1769" s="78">
        <f t="shared" si="439"/>
        <v>0</v>
      </c>
      <c r="X1769" s="1878" t="str">
        <f t="shared" si="437"/>
        <v xml:space="preserve">5.- C Lima Caucho 0900908-OT_000263  Sacar_Banda  </v>
      </c>
      <c r="Z1769" s="19" t="str">
        <f t="shared" si="434"/>
        <v>ReencaucheReencauchadora RENOVA</v>
      </c>
    </row>
    <row r="1770" spans="2:26" ht="15.2" customHeight="1" outlineLevel="1">
      <c r="B1770" s="37"/>
      <c r="C1770" s="2">
        <f t="shared" ref="C1770:C1779" si="440">1+C1771</f>
        <v>258</v>
      </c>
      <c r="D1770" s="3">
        <f t="shared" ref="D1770:D1779" si="441">1+D1771</f>
        <v>17</v>
      </c>
      <c r="E1770" s="66">
        <v>1</v>
      </c>
      <c r="F1770" s="67" t="s">
        <v>732</v>
      </c>
      <c r="G1770" s="174" t="s">
        <v>757</v>
      </c>
      <c r="H1770" s="175" t="s">
        <v>1054</v>
      </c>
      <c r="I1770" s="174" t="s">
        <v>811</v>
      </c>
      <c r="J1770" s="176" t="s">
        <v>727</v>
      </c>
      <c r="K1770" s="71" t="s">
        <v>1218</v>
      </c>
      <c r="L1770" s="72">
        <v>41976</v>
      </c>
      <c r="M1770" s="73"/>
      <c r="N1770" s="74">
        <v>41984</v>
      </c>
      <c r="O1770" s="75">
        <f t="shared" ref="O1770:O1792" si="442">+N1770</f>
        <v>41984</v>
      </c>
      <c r="P1770" s="2765" t="s">
        <v>1219</v>
      </c>
      <c r="Q1770" s="2954"/>
      <c r="R1770" s="76">
        <v>105.93</v>
      </c>
      <c r="S1770" s="1945" t="s">
        <v>731</v>
      </c>
      <c r="T1770" s="77"/>
      <c r="U1770" s="1893"/>
      <c r="V1770" s="2079">
        <f t="shared" si="438"/>
        <v>0</v>
      </c>
      <c r="W1770" s="78">
        <f t="shared" si="439"/>
        <v>124.9974</v>
      </c>
      <c r="X1770" s="1878" t="str">
        <f t="shared" si="437"/>
        <v xml:space="preserve">1.- C Goodyear 0020102-OT_000252  Vulcanizado (curación) 0001-002110 </v>
      </c>
      <c r="Z1770" s="19" t="str">
        <f t="shared" si="434"/>
        <v>ReencaucheReencauchadora RENOVA</v>
      </c>
    </row>
    <row r="1771" spans="2:26" ht="15.2" customHeight="1" outlineLevel="1">
      <c r="B1771" s="37"/>
      <c r="C1771" s="2">
        <f t="shared" si="440"/>
        <v>257</v>
      </c>
      <c r="D1771" s="3">
        <f t="shared" si="441"/>
        <v>16</v>
      </c>
      <c r="E1771" s="79">
        <v>2</v>
      </c>
      <c r="F1771" s="80" t="s">
        <v>732</v>
      </c>
      <c r="G1771" s="81" t="s">
        <v>733</v>
      </c>
      <c r="H1771" s="82" t="s">
        <v>1220</v>
      </c>
      <c r="I1771" s="114" t="s">
        <v>742</v>
      </c>
      <c r="J1771" s="93" t="s">
        <v>727</v>
      </c>
      <c r="K1771" s="84" t="s">
        <v>1218</v>
      </c>
      <c r="L1771" s="85">
        <v>41976</v>
      </c>
      <c r="M1771" s="86"/>
      <c r="N1771" s="87">
        <v>41984</v>
      </c>
      <c r="O1771" s="88">
        <f t="shared" si="442"/>
        <v>41984</v>
      </c>
      <c r="P1771" s="2766" t="s">
        <v>1219</v>
      </c>
      <c r="Q1771" s="2955"/>
      <c r="R1771" s="89">
        <v>211.86</v>
      </c>
      <c r="S1771" s="1946" t="s">
        <v>731</v>
      </c>
      <c r="T1771" s="77"/>
      <c r="U1771" s="1893"/>
      <c r="V1771" s="2079">
        <f t="shared" si="438"/>
        <v>0</v>
      </c>
      <c r="W1771" s="78">
        <f t="shared" si="439"/>
        <v>249.9948</v>
      </c>
      <c r="X1771" s="1878" t="str">
        <f t="shared" si="437"/>
        <v xml:space="preserve">2.- C Lima Caucho 1421207-OT_000252  Banda de 2ª usada 0001-002110 </v>
      </c>
      <c r="Z1771" s="19" t="str">
        <f t="shared" si="434"/>
        <v>ReencaucheReencauchadora RENOVA</v>
      </c>
    </row>
    <row r="1772" spans="2:26" ht="15.2" customHeight="1" outlineLevel="1">
      <c r="B1772" s="37"/>
      <c r="C1772" s="2">
        <f t="shared" si="440"/>
        <v>256</v>
      </c>
      <c r="D1772" s="3">
        <f t="shared" si="441"/>
        <v>15</v>
      </c>
      <c r="E1772" s="66">
        <v>1</v>
      </c>
      <c r="F1772" s="67" t="s">
        <v>732</v>
      </c>
      <c r="G1772" s="68" t="s">
        <v>737</v>
      </c>
      <c r="H1772" s="69" t="s">
        <v>843</v>
      </c>
      <c r="I1772" s="68" t="s">
        <v>726</v>
      </c>
      <c r="J1772" s="70" t="s">
        <v>760</v>
      </c>
      <c r="K1772" s="71" t="s">
        <v>1221</v>
      </c>
      <c r="L1772" s="72">
        <v>41974</v>
      </c>
      <c r="M1772" s="73" t="s">
        <v>729</v>
      </c>
      <c r="N1772" s="74">
        <v>41983</v>
      </c>
      <c r="O1772" s="75">
        <f t="shared" si="442"/>
        <v>41983</v>
      </c>
      <c r="P1772" s="2765" t="s">
        <v>1222</v>
      </c>
      <c r="Q1772" s="2954"/>
      <c r="R1772" s="76">
        <v>281.49</v>
      </c>
      <c r="S1772" s="1945" t="s">
        <v>731</v>
      </c>
      <c r="T1772" s="77"/>
      <c r="U1772" s="1893"/>
      <c r="V1772" s="2079">
        <f t="shared" si="438"/>
        <v>0</v>
      </c>
      <c r="W1772" s="78">
        <f t="shared" si="439"/>
        <v>332.15819999999997</v>
      </c>
      <c r="X1772" s="1878" t="str">
        <f t="shared" si="437"/>
        <v xml:space="preserve">1.- C Vikrant 0260211-OT_203495  Reencauche 030-0037948 </v>
      </c>
      <c r="Z1772" s="19" t="str">
        <f t="shared" si="434"/>
        <v>ReencaucheReencauchadora RENOVA</v>
      </c>
    </row>
    <row r="1773" spans="2:26" ht="15.2" customHeight="1" outlineLevel="1">
      <c r="B1773" s="37"/>
      <c r="C1773" s="2">
        <f t="shared" si="440"/>
        <v>255</v>
      </c>
      <c r="D1773" s="3">
        <f t="shared" si="441"/>
        <v>14</v>
      </c>
      <c r="E1773" s="66">
        <v>2</v>
      </c>
      <c r="F1773" s="67" t="s">
        <v>732</v>
      </c>
      <c r="G1773" s="68" t="s">
        <v>737</v>
      </c>
      <c r="H1773" s="69" t="s">
        <v>1223</v>
      </c>
      <c r="I1773" s="68" t="s">
        <v>726</v>
      </c>
      <c r="J1773" s="70" t="s">
        <v>760</v>
      </c>
      <c r="K1773" s="71" t="s">
        <v>1221</v>
      </c>
      <c r="L1773" s="72">
        <v>41974</v>
      </c>
      <c r="M1773" s="73" t="s">
        <v>729</v>
      </c>
      <c r="N1773" s="74">
        <v>41983</v>
      </c>
      <c r="O1773" s="75">
        <f t="shared" si="442"/>
        <v>41983</v>
      </c>
      <c r="P1773" s="2765" t="s">
        <v>1222</v>
      </c>
      <c r="Q1773" s="2954"/>
      <c r="R1773" s="76">
        <v>281.49</v>
      </c>
      <c r="S1773" s="1945" t="s">
        <v>731</v>
      </c>
      <c r="T1773" s="77"/>
      <c r="U1773" s="1893"/>
      <c r="V1773" s="2079">
        <f t="shared" si="438"/>
        <v>0</v>
      </c>
      <c r="W1773" s="78">
        <f t="shared" si="439"/>
        <v>332.15819999999997</v>
      </c>
      <c r="X1773" s="1878" t="str">
        <f t="shared" si="437"/>
        <v xml:space="preserve">2.- C Vikrant 1340805-OT_203495  Reencauche 030-0037948 </v>
      </c>
      <c r="Z1773" s="19" t="str">
        <f t="shared" si="434"/>
        <v>ReencaucheReencauchadora RENOVA</v>
      </c>
    </row>
    <row r="1774" spans="2:26" ht="15.2" customHeight="1" outlineLevel="1">
      <c r="B1774" s="37"/>
      <c r="C1774" s="2">
        <f t="shared" si="440"/>
        <v>254</v>
      </c>
      <c r="D1774" s="3">
        <f t="shared" si="441"/>
        <v>13</v>
      </c>
      <c r="E1774" s="66">
        <v>3</v>
      </c>
      <c r="F1774" s="67" t="s">
        <v>732</v>
      </c>
      <c r="G1774" s="68" t="s">
        <v>737</v>
      </c>
      <c r="H1774" s="69" t="s">
        <v>1224</v>
      </c>
      <c r="I1774" s="68" t="s">
        <v>726</v>
      </c>
      <c r="J1774" s="70" t="s">
        <v>760</v>
      </c>
      <c r="K1774" s="71" t="s">
        <v>1221</v>
      </c>
      <c r="L1774" s="72">
        <v>41974</v>
      </c>
      <c r="M1774" s="73" t="s">
        <v>729</v>
      </c>
      <c r="N1774" s="74">
        <v>41983</v>
      </c>
      <c r="O1774" s="75">
        <f t="shared" si="442"/>
        <v>41983</v>
      </c>
      <c r="P1774" s="2765" t="s">
        <v>1222</v>
      </c>
      <c r="Q1774" s="2954"/>
      <c r="R1774" s="76">
        <v>281.49</v>
      </c>
      <c r="S1774" s="1945" t="s">
        <v>731</v>
      </c>
      <c r="T1774" s="77"/>
      <c r="U1774" s="1893"/>
      <c r="V1774" s="2079">
        <f t="shared" si="438"/>
        <v>0</v>
      </c>
      <c r="W1774" s="78">
        <f t="shared" si="439"/>
        <v>332.15819999999997</v>
      </c>
      <c r="X1774" s="1878" t="str">
        <f t="shared" si="437"/>
        <v xml:space="preserve">3.- C Vikrant 007022010-OT_203495  Reencauche 030-0037948 </v>
      </c>
      <c r="Z1774" s="19" t="str">
        <f t="shared" si="434"/>
        <v>ReencaucheReencauchadora RENOVA</v>
      </c>
    </row>
    <row r="1775" spans="2:26" ht="15.2" customHeight="1" outlineLevel="1">
      <c r="B1775" s="37"/>
      <c r="C1775" s="2">
        <f t="shared" si="440"/>
        <v>253</v>
      </c>
      <c r="D1775" s="3">
        <f t="shared" si="441"/>
        <v>12</v>
      </c>
      <c r="E1775" s="66">
        <v>4</v>
      </c>
      <c r="F1775" s="67" t="s">
        <v>732</v>
      </c>
      <c r="G1775" s="68" t="s">
        <v>733</v>
      </c>
      <c r="H1775" s="69" t="s">
        <v>1225</v>
      </c>
      <c r="I1775" s="68" t="s">
        <v>726</v>
      </c>
      <c r="J1775" s="70" t="s">
        <v>760</v>
      </c>
      <c r="K1775" s="71" t="s">
        <v>1221</v>
      </c>
      <c r="L1775" s="72">
        <v>41974</v>
      </c>
      <c r="M1775" s="73" t="s">
        <v>729</v>
      </c>
      <c r="N1775" s="74">
        <v>41983</v>
      </c>
      <c r="O1775" s="75">
        <f t="shared" si="442"/>
        <v>41983</v>
      </c>
      <c r="P1775" s="2765" t="s">
        <v>1222</v>
      </c>
      <c r="Q1775" s="2954"/>
      <c r="R1775" s="76">
        <v>281.49</v>
      </c>
      <c r="S1775" s="1945" t="s">
        <v>731</v>
      </c>
      <c r="T1775" s="77"/>
      <c r="U1775" s="1893"/>
      <c r="V1775" s="2079">
        <f t="shared" si="438"/>
        <v>0</v>
      </c>
      <c r="W1775" s="78">
        <f t="shared" si="439"/>
        <v>332.15819999999997</v>
      </c>
      <c r="X1775" s="1878" t="str">
        <f t="shared" si="437"/>
        <v xml:space="preserve">4.- C Lima Caucho 0310508-OT_203495  Reencauche 030-0037948 </v>
      </c>
      <c r="Z1775" s="19" t="str">
        <f t="shared" si="434"/>
        <v>ReencaucheReencauchadora RENOVA</v>
      </c>
    </row>
    <row r="1776" spans="2:26" ht="15.2" customHeight="1" outlineLevel="1">
      <c r="B1776" s="37"/>
      <c r="C1776" s="2">
        <f t="shared" si="440"/>
        <v>252</v>
      </c>
      <c r="D1776" s="3">
        <f t="shared" si="441"/>
        <v>11</v>
      </c>
      <c r="E1776" s="66">
        <v>5</v>
      </c>
      <c r="F1776" s="67" t="s">
        <v>732</v>
      </c>
      <c r="G1776" s="68" t="s">
        <v>733</v>
      </c>
      <c r="H1776" s="69" t="s">
        <v>751</v>
      </c>
      <c r="I1776" s="68" t="s">
        <v>726</v>
      </c>
      <c r="J1776" s="70" t="s">
        <v>760</v>
      </c>
      <c r="K1776" s="71" t="s">
        <v>1221</v>
      </c>
      <c r="L1776" s="72">
        <v>41974</v>
      </c>
      <c r="M1776" s="73" t="s">
        <v>729</v>
      </c>
      <c r="N1776" s="74">
        <v>41983</v>
      </c>
      <c r="O1776" s="75">
        <f t="shared" si="442"/>
        <v>41983</v>
      </c>
      <c r="P1776" s="2765" t="s">
        <v>1222</v>
      </c>
      <c r="Q1776" s="2954"/>
      <c r="R1776" s="76">
        <v>281.49</v>
      </c>
      <c r="S1776" s="1945" t="s">
        <v>731</v>
      </c>
      <c r="T1776" s="77"/>
      <c r="U1776" s="1893"/>
      <c r="V1776" s="2079">
        <f t="shared" si="438"/>
        <v>0</v>
      </c>
      <c r="W1776" s="78">
        <f t="shared" si="439"/>
        <v>332.15819999999997</v>
      </c>
      <c r="X1776" s="1878" t="str">
        <f t="shared" si="437"/>
        <v xml:space="preserve">5.- C Lima Caucho 0870908-OT_203495  Reencauche 030-0037948 </v>
      </c>
      <c r="Z1776" s="19" t="str">
        <f t="shared" si="434"/>
        <v>ReencaucheReencauchadora RENOVA</v>
      </c>
    </row>
    <row r="1777" spans="2:26" ht="15.2" customHeight="1" outlineLevel="1">
      <c r="B1777" s="37"/>
      <c r="C1777" s="2">
        <f t="shared" si="440"/>
        <v>251</v>
      </c>
      <c r="D1777" s="3">
        <f t="shared" si="441"/>
        <v>10</v>
      </c>
      <c r="E1777" s="66">
        <v>6</v>
      </c>
      <c r="F1777" s="67" t="s">
        <v>732</v>
      </c>
      <c r="G1777" s="68" t="s">
        <v>733</v>
      </c>
      <c r="H1777" s="69" t="s">
        <v>810</v>
      </c>
      <c r="I1777" s="68" t="s">
        <v>726</v>
      </c>
      <c r="J1777" s="70" t="s">
        <v>760</v>
      </c>
      <c r="K1777" s="71" t="s">
        <v>1221</v>
      </c>
      <c r="L1777" s="72">
        <v>41974</v>
      </c>
      <c r="M1777" s="73" t="s">
        <v>729</v>
      </c>
      <c r="N1777" s="74">
        <v>41983</v>
      </c>
      <c r="O1777" s="75">
        <f t="shared" si="442"/>
        <v>41983</v>
      </c>
      <c r="P1777" s="2765" t="s">
        <v>1222</v>
      </c>
      <c r="Q1777" s="2954"/>
      <c r="R1777" s="76">
        <v>281.49</v>
      </c>
      <c r="S1777" s="1945" t="s">
        <v>731</v>
      </c>
      <c r="T1777" s="77"/>
      <c r="U1777" s="1893"/>
      <c r="V1777" s="2079">
        <f t="shared" si="438"/>
        <v>0</v>
      </c>
      <c r="W1777" s="78">
        <f t="shared" si="439"/>
        <v>332.15819999999997</v>
      </c>
      <c r="X1777" s="1878" t="str">
        <f t="shared" si="437"/>
        <v xml:space="preserve">6.- C Lima Caucho 0260507-OT_203495  Reencauche 030-0037948 </v>
      </c>
      <c r="Z1777" s="19" t="str">
        <f t="shared" si="434"/>
        <v>ReencaucheReencauchadora RENOVA</v>
      </c>
    </row>
    <row r="1778" spans="2:26" ht="15.2" customHeight="1" outlineLevel="1">
      <c r="B1778" s="37"/>
      <c r="C1778" s="2">
        <f t="shared" si="440"/>
        <v>250</v>
      </c>
      <c r="D1778" s="3">
        <f t="shared" si="441"/>
        <v>9</v>
      </c>
      <c r="E1778" s="66">
        <v>7</v>
      </c>
      <c r="F1778" s="67" t="s">
        <v>732</v>
      </c>
      <c r="G1778" s="68" t="s">
        <v>733</v>
      </c>
      <c r="H1778" s="69" t="s">
        <v>1226</v>
      </c>
      <c r="I1778" s="68" t="s">
        <v>726</v>
      </c>
      <c r="J1778" s="70" t="s">
        <v>760</v>
      </c>
      <c r="K1778" s="71" t="s">
        <v>1221</v>
      </c>
      <c r="L1778" s="72">
        <v>41974</v>
      </c>
      <c r="M1778" s="73" t="s">
        <v>729</v>
      </c>
      <c r="N1778" s="74">
        <v>41983</v>
      </c>
      <c r="O1778" s="75">
        <f t="shared" si="442"/>
        <v>41983</v>
      </c>
      <c r="P1778" s="2765" t="s">
        <v>1222</v>
      </c>
      <c r="Q1778" s="2954"/>
      <c r="R1778" s="76">
        <v>281.49</v>
      </c>
      <c r="S1778" s="1945" t="s">
        <v>731</v>
      </c>
      <c r="T1778" s="77"/>
      <c r="U1778" s="1893"/>
      <c r="V1778" s="2079">
        <f t="shared" si="438"/>
        <v>0</v>
      </c>
      <c r="W1778" s="78">
        <f t="shared" si="439"/>
        <v>332.15819999999997</v>
      </c>
      <c r="X1778" s="1878" t="str">
        <f t="shared" si="437"/>
        <v xml:space="preserve">7.- C Lima Caucho 0010113-OT_203495  Reencauche 030-0037948 </v>
      </c>
      <c r="Z1778" s="19" t="str">
        <f t="shared" si="434"/>
        <v>ReencaucheReencauchadora RENOVA</v>
      </c>
    </row>
    <row r="1779" spans="2:26" ht="15.2" customHeight="1" outlineLevel="1">
      <c r="B1779" s="37"/>
      <c r="C1779" s="2">
        <f t="shared" si="440"/>
        <v>249</v>
      </c>
      <c r="D1779" s="3">
        <f t="shared" si="441"/>
        <v>8</v>
      </c>
      <c r="E1779" s="66">
        <v>8</v>
      </c>
      <c r="F1779" s="67" t="s">
        <v>732</v>
      </c>
      <c r="G1779" s="68" t="s">
        <v>733</v>
      </c>
      <c r="H1779" s="69" t="s">
        <v>1227</v>
      </c>
      <c r="I1779" s="68" t="s">
        <v>726</v>
      </c>
      <c r="J1779" s="70" t="s">
        <v>760</v>
      </c>
      <c r="K1779" s="71" t="s">
        <v>1221</v>
      </c>
      <c r="L1779" s="72">
        <v>41974</v>
      </c>
      <c r="M1779" s="73" t="s">
        <v>729</v>
      </c>
      <c r="N1779" s="74">
        <v>41983</v>
      </c>
      <c r="O1779" s="75">
        <f t="shared" si="442"/>
        <v>41983</v>
      </c>
      <c r="P1779" s="2765" t="s">
        <v>1222</v>
      </c>
      <c r="Q1779" s="2954"/>
      <c r="R1779" s="76">
        <v>281.49</v>
      </c>
      <c r="S1779" s="1945" t="s">
        <v>731</v>
      </c>
      <c r="T1779" s="77"/>
      <c r="U1779" s="1893"/>
      <c r="V1779" s="2079">
        <f t="shared" si="438"/>
        <v>0</v>
      </c>
      <c r="W1779" s="78">
        <f t="shared" si="439"/>
        <v>332.15819999999997</v>
      </c>
      <c r="X1779" s="1878" t="str">
        <f t="shared" si="437"/>
        <v xml:space="preserve">8.- C Lima Caucho 0220211-OT_203495  Reencauche 030-0037948 </v>
      </c>
      <c r="Z1779" s="19" t="str">
        <f t="shared" si="434"/>
        <v>ReencaucheReencauchadora RENOVA</v>
      </c>
    </row>
    <row r="1780" spans="2:26" ht="15.2" customHeight="1" outlineLevel="1">
      <c r="B1780" s="37"/>
      <c r="C1780" s="2">
        <f>1+C1784</f>
        <v>248</v>
      </c>
      <c r="D1780" s="3">
        <f>1+D1784</f>
        <v>7</v>
      </c>
      <c r="E1780" s="66">
        <v>9</v>
      </c>
      <c r="F1780" s="67" t="s">
        <v>732</v>
      </c>
      <c r="G1780" s="68" t="s">
        <v>757</v>
      </c>
      <c r="H1780" s="69" t="s">
        <v>1228</v>
      </c>
      <c r="I1780" s="68" t="s">
        <v>726</v>
      </c>
      <c r="J1780" s="70" t="s">
        <v>760</v>
      </c>
      <c r="K1780" s="71" t="s">
        <v>1229</v>
      </c>
      <c r="L1780" s="72">
        <v>41974</v>
      </c>
      <c r="M1780" s="73" t="s">
        <v>729</v>
      </c>
      <c r="N1780" s="74">
        <v>41983</v>
      </c>
      <c r="O1780" s="75">
        <f t="shared" si="442"/>
        <v>41983</v>
      </c>
      <c r="P1780" s="2765" t="s">
        <v>1222</v>
      </c>
      <c r="Q1780" s="2954"/>
      <c r="R1780" s="76">
        <v>281.49</v>
      </c>
      <c r="S1780" s="1945" t="s">
        <v>731</v>
      </c>
      <c r="T1780" s="77"/>
      <c r="U1780" s="1893"/>
      <c r="V1780" s="2079">
        <f t="shared" si="438"/>
        <v>0</v>
      </c>
      <c r="W1780" s="78">
        <f t="shared" si="439"/>
        <v>332.15819999999997</v>
      </c>
      <c r="X1780" s="1878" t="str">
        <f t="shared" si="437"/>
        <v xml:space="preserve">9.- C Goodyear 0140205-OT_203496  Reencauche 030-0037948 </v>
      </c>
      <c r="Z1780" s="19" t="str">
        <f t="shared" si="434"/>
        <v>ReencaucheReencauchadora RENOVA</v>
      </c>
    </row>
    <row r="1781" spans="2:26" ht="15.2" customHeight="1" outlineLevel="1">
      <c r="B1781" s="37"/>
      <c r="E1781" s="66">
        <v>10</v>
      </c>
      <c r="F1781" s="67" t="s">
        <v>732</v>
      </c>
      <c r="G1781" s="68" t="s">
        <v>733</v>
      </c>
      <c r="H1781" s="69" t="s">
        <v>1230</v>
      </c>
      <c r="I1781" s="68" t="s">
        <v>726</v>
      </c>
      <c r="J1781" s="70" t="s">
        <v>760</v>
      </c>
      <c r="K1781" s="71" t="s">
        <v>1221</v>
      </c>
      <c r="L1781" s="72">
        <v>41974</v>
      </c>
      <c r="M1781" s="73" t="s">
        <v>729</v>
      </c>
      <c r="N1781" s="74">
        <v>41983</v>
      </c>
      <c r="O1781" s="75">
        <f t="shared" si="442"/>
        <v>41983</v>
      </c>
      <c r="P1781" s="2765"/>
      <c r="Q1781" s="2954"/>
      <c r="R1781" s="76">
        <v>0</v>
      </c>
      <c r="S1781" s="1945" t="s">
        <v>731</v>
      </c>
      <c r="T1781" s="1875" t="s">
        <v>1231</v>
      </c>
      <c r="U1781" s="1920"/>
      <c r="V1781" s="2079">
        <f t="shared" si="438"/>
        <v>0</v>
      </c>
      <c r="W1781" s="78">
        <f t="shared" si="439"/>
        <v>0</v>
      </c>
      <c r="X1781" s="1878" t="str">
        <f t="shared" si="437"/>
        <v>10.- C Lima Caucho 0090108-OT_203495  Reencauche  Rechazada, Guia 030-0044185</v>
      </c>
      <c r="Z1781" s="19" t="str">
        <f t="shared" si="434"/>
        <v>Vulcanizado (curación)Reenc. MASTERCAUCHO</v>
      </c>
    </row>
    <row r="1782" spans="2:26" ht="15.2" customHeight="1" outlineLevel="1">
      <c r="B1782" s="37"/>
      <c r="E1782" s="66">
        <v>11</v>
      </c>
      <c r="F1782" s="67" t="s">
        <v>732</v>
      </c>
      <c r="G1782" s="68" t="s">
        <v>733</v>
      </c>
      <c r="H1782" s="69" t="s">
        <v>1232</v>
      </c>
      <c r="I1782" s="68" t="s">
        <v>726</v>
      </c>
      <c r="J1782" s="70" t="s">
        <v>760</v>
      </c>
      <c r="K1782" s="71" t="s">
        <v>1221</v>
      </c>
      <c r="L1782" s="72">
        <v>41974</v>
      </c>
      <c r="M1782" s="73" t="s">
        <v>729</v>
      </c>
      <c r="N1782" s="74">
        <v>41983</v>
      </c>
      <c r="O1782" s="75">
        <f t="shared" si="442"/>
        <v>41983</v>
      </c>
      <c r="P1782" s="2765"/>
      <c r="Q1782" s="2954"/>
      <c r="R1782" s="76">
        <v>0</v>
      </c>
      <c r="S1782" s="1945" t="s">
        <v>731</v>
      </c>
      <c r="T1782" s="1875" t="s">
        <v>1231</v>
      </c>
      <c r="U1782" s="1920"/>
      <c r="V1782" s="2079">
        <f t="shared" si="438"/>
        <v>0</v>
      </c>
      <c r="W1782" s="78">
        <f t="shared" si="439"/>
        <v>0</v>
      </c>
      <c r="X1782" s="1878" t="str">
        <f t="shared" si="437"/>
        <v>11.- C Lima Caucho 0680907-OT_203495  Reencauche  Rechazada, Guia 030-0044185</v>
      </c>
      <c r="Z1782" s="19" t="str">
        <f t="shared" si="434"/>
        <v>Vulcanizado (curación)Reenc. MASTERCAUCHO</v>
      </c>
    </row>
    <row r="1783" spans="2:26" ht="15.2" customHeight="1" outlineLevel="1">
      <c r="B1783" s="37"/>
      <c r="E1783" s="79">
        <v>12</v>
      </c>
      <c r="F1783" s="80" t="s">
        <v>732</v>
      </c>
      <c r="G1783" s="81" t="s">
        <v>1233</v>
      </c>
      <c r="H1783" s="82" t="s">
        <v>1234</v>
      </c>
      <c r="I1783" s="81" t="s">
        <v>726</v>
      </c>
      <c r="J1783" s="83" t="s">
        <v>760</v>
      </c>
      <c r="K1783" s="84" t="s">
        <v>1229</v>
      </c>
      <c r="L1783" s="85">
        <v>41974</v>
      </c>
      <c r="M1783" s="86" t="s">
        <v>729</v>
      </c>
      <c r="N1783" s="87">
        <v>41983</v>
      </c>
      <c r="O1783" s="88">
        <f t="shared" si="442"/>
        <v>41983</v>
      </c>
      <c r="P1783" s="2766"/>
      <c r="Q1783" s="2955"/>
      <c r="R1783" s="89">
        <v>0</v>
      </c>
      <c r="S1783" s="1946" t="s">
        <v>731</v>
      </c>
      <c r="T1783" s="1875" t="s">
        <v>1231</v>
      </c>
      <c r="U1783" s="1920"/>
      <c r="V1783" s="2079">
        <f t="shared" si="438"/>
        <v>0</v>
      </c>
      <c r="W1783" s="78">
        <f t="shared" si="439"/>
        <v>0</v>
      </c>
      <c r="X1783" s="1878" t="str">
        <f t="shared" si="437"/>
        <v>12.- C Saratoga 0090306-OT_203496  Reencauche  Rechazada, Guia 030-0044185</v>
      </c>
      <c r="Z1783" s="19" t="str">
        <f t="shared" si="434"/>
        <v>Transpl BandaReenc. MASTERCAUCHO</v>
      </c>
    </row>
    <row r="1784" spans="2:26" ht="15.2" customHeight="1" outlineLevel="1">
      <c r="B1784" s="37"/>
      <c r="C1784" s="2">
        <f t="shared" ref="C1784:D1788" si="443">1+C1785</f>
        <v>247</v>
      </c>
      <c r="D1784" s="3">
        <f t="shared" si="443"/>
        <v>6</v>
      </c>
      <c r="E1784" s="66">
        <v>1</v>
      </c>
      <c r="F1784" s="67" t="s">
        <v>732</v>
      </c>
      <c r="G1784" s="174" t="s">
        <v>733</v>
      </c>
      <c r="H1784" s="175" t="s">
        <v>888</v>
      </c>
      <c r="I1784" s="174" t="s">
        <v>811</v>
      </c>
      <c r="J1784" s="176" t="s">
        <v>727</v>
      </c>
      <c r="K1784" s="71" t="s">
        <v>1235</v>
      </c>
      <c r="L1784" s="72">
        <v>41967</v>
      </c>
      <c r="M1784" s="73" t="s">
        <v>729</v>
      </c>
      <c r="N1784" s="74">
        <v>41976</v>
      </c>
      <c r="O1784" s="75">
        <f t="shared" si="442"/>
        <v>41976</v>
      </c>
      <c r="P1784" s="2765" t="s">
        <v>1236</v>
      </c>
      <c r="Q1784" s="2954"/>
      <c r="R1784" s="76">
        <v>105.93</v>
      </c>
      <c r="S1784" s="1945" t="s">
        <v>731</v>
      </c>
      <c r="T1784" s="77"/>
      <c r="U1784" s="1893"/>
      <c r="V1784" s="2079">
        <f t="shared" si="438"/>
        <v>0</v>
      </c>
      <c r="W1784" s="78">
        <f t="shared" si="439"/>
        <v>124.9974</v>
      </c>
      <c r="X1784" s="1878" t="str">
        <f t="shared" si="437"/>
        <v xml:space="preserve">1.- C Lima Caucho 0780908-OT_000045  Vulcanizado (curación) 0001-002047 </v>
      </c>
      <c r="Z1784" s="19" t="str">
        <f t="shared" si="434"/>
        <v>Transpl BandaReenc. MASTERCAUCHO</v>
      </c>
    </row>
    <row r="1785" spans="2:26" ht="15.2" customHeight="1" outlineLevel="1">
      <c r="B1785" s="37"/>
      <c r="C1785" s="2">
        <f t="shared" si="443"/>
        <v>246</v>
      </c>
      <c r="D1785" s="3">
        <f t="shared" si="443"/>
        <v>5</v>
      </c>
      <c r="E1785" s="66">
        <v>2</v>
      </c>
      <c r="F1785" s="67" t="s">
        <v>732</v>
      </c>
      <c r="G1785" s="174" t="s">
        <v>733</v>
      </c>
      <c r="H1785" s="175" t="s">
        <v>1237</v>
      </c>
      <c r="I1785" s="174" t="s">
        <v>811</v>
      </c>
      <c r="J1785" s="176" t="s">
        <v>727</v>
      </c>
      <c r="K1785" s="71" t="s">
        <v>1235</v>
      </c>
      <c r="L1785" s="72">
        <v>41967</v>
      </c>
      <c r="M1785" s="73" t="s">
        <v>729</v>
      </c>
      <c r="N1785" s="74">
        <v>41976</v>
      </c>
      <c r="O1785" s="75">
        <f t="shared" si="442"/>
        <v>41976</v>
      </c>
      <c r="P1785" s="2765" t="s">
        <v>1236</v>
      </c>
      <c r="Q1785" s="2954"/>
      <c r="R1785" s="76">
        <v>105.93</v>
      </c>
      <c r="S1785" s="1945" t="s">
        <v>731</v>
      </c>
      <c r="T1785" s="77"/>
      <c r="U1785" s="1893"/>
      <c r="V1785" s="2079">
        <f t="shared" si="438"/>
        <v>0</v>
      </c>
      <c r="W1785" s="78">
        <f t="shared" si="439"/>
        <v>124.9974</v>
      </c>
      <c r="X1785" s="1878" t="str">
        <f t="shared" si="437"/>
        <v xml:space="preserve">2.- C Lima Caucho 0970980-OT_000045  Vulcanizado (curación) 0001-002047 </v>
      </c>
      <c r="Z1785" s="19" t="str">
        <f t="shared" si="434"/>
        <v>Transpl BandaReenc. MASTERCAUCHO</v>
      </c>
    </row>
    <row r="1786" spans="2:26" ht="15.2" customHeight="1" outlineLevel="1">
      <c r="B1786" s="37"/>
      <c r="C1786" s="2">
        <f t="shared" si="443"/>
        <v>245</v>
      </c>
      <c r="D1786" s="3">
        <f t="shared" si="443"/>
        <v>4</v>
      </c>
      <c r="E1786" s="66">
        <v>3</v>
      </c>
      <c r="F1786" s="67" t="s">
        <v>732</v>
      </c>
      <c r="G1786" s="68" t="s">
        <v>733</v>
      </c>
      <c r="H1786" s="69" t="s">
        <v>1238</v>
      </c>
      <c r="I1786" s="90" t="s">
        <v>740</v>
      </c>
      <c r="J1786" s="92" t="s">
        <v>727</v>
      </c>
      <c r="K1786" s="71" t="s">
        <v>1235</v>
      </c>
      <c r="L1786" s="72">
        <v>41967</v>
      </c>
      <c r="M1786" s="73" t="s">
        <v>729</v>
      </c>
      <c r="N1786" s="74">
        <v>41976</v>
      </c>
      <c r="O1786" s="75">
        <f t="shared" si="442"/>
        <v>41976</v>
      </c>
      <c r="P1786" s="2765" t="s">
        <v>1236</v>
      </c>
      <c r="Q1786" s="2954"/>
      <c r="R1786" s="76">
        <v>127.12</v>
      </c>
      <c r="S1786" s="1945" t="s">
        <v>731</v>
      </c>
      <c r="T1786" s="77"/>
      <c r="U1786" s="1893"/>
      <c r="V1786" s="2079">
        <f t="shared" si="438"/>
        <v>0</v>
      </c>
      <c r="W1786" s="78">
        <f t="shared" si="439"/>
        <v>150.0016</v>
      </c>
      <c r="X1786" s="1878" t="str">
        <f t="shared" si="437"/>
        <v xml:space="preserve">3.- C Lima Caucho 0980908-OT_000045  Transpl Banda 0001-002047 </v>
      </c>
      <c r="Z1786" s="19" t="str">
        <f t="shared" si="434"/>
        <v>Transpl BandaReenc. MASTERCAUCHO</v>
      </c>
    </row>
    <row r="1787" spans="2:26" ht="15.2" customHeight="1" outlineLevel="1">
      <c r="B1787" s="37"/>
      <c r="C1787" s="2">
        <f t="shared" si="443"/>
        <v>244</v>
      </c>
      <c r="D1787" s="3">
        <f t="shared" si="443"/>
        <v>3</v>
      </c>
      <c r="E1787" s="66">
        <v>4</v>
      </c>
      <c r="F1787" s="67" t="s">
        <v>732</v>
      </c>
      <c r="G1787" s="68" t="s">
        <v>737</v>
      </c>
      <c r="H1787" s="69" t="s">
        <v>1003</v>
      </c>
      <c r="I1787" s="90" t="s">
        <v>740</v>
      </c>
      <c r="J1787" s="92" t="s">
        <v>727</v>
      </c>
      <c r="K1787" s="71" t="s">
        <v>1235</v>
      </c>
      <c r="L1787" s="72">
        <v>41967</v>
      </c>
      <c r="M1787" s="73" t="s">
        <v>729</v>
      </c>
      <c r="N1787" s="74">
        <v>41976</v>
      </c>
      <c r="O1787" s="75">
        <f t="shared" si="442"/>
        <v>41976</v>
      </c>
      <c r="P1787" s="2765" t="s">
        <v>1236</v>
      </c>
      <c r="Q1787" s="2954"/>
      <c r="R1787" s="76">
        <v>127.12</v>
      </c>
      <c r="S1787" s="1945" t="s">
        <v>731</v>
      </c>
      <c r="T1787" s="77"/>
      <c r="U1787" s="1893"/>
      <c r="V1787" s="2079">
        <f t="shared" si="438"/>
        <v>0</v>
      </c>
      <c r="W1787" s="78">
        <f t="shared" si="439"/>
        <v>150.0016</v>
      </c>
      <c r="X1787" s="1878" t="str">
        <f t="shared" si="437"/>
        <v xml:space="preserve">4.- C Vikrant 1451105-OT_000045  Transpl Banda 0001-002047 </v>
      </c>
      <c r="Z1787" s="19" t="str">
        <f t="shared" si="434"/>
        <v>Sacar_BandaReenc. MASTERCAUCHO</v>
      </c>
    </row>
    <row r="1788" spans="2:26" ht="15.2" customHeight="1" outlineLevel="1">
      <c r="B1788" s="37"/>
      <c r="C1788" s="2">
        <f t="shared" si="443"/>
        <v>243</v>
      </c>
      <c r="D1788" s="3">
        <f t="shared" si="443"/>
        <v>2</v>
      </c>
      <c r="E1788" s="66">
        <v>5</v>
      </c>
      <c r="F1788" s="67" t="s">
        <v>732</v>
      </c>
      <c r="G1788" s="68" t="s">
        <v>733</v>
      </c>
      <c r="H1788" s="69" t="s">
        <v>990</v>
      </c>
      <c r="I1788" s="90" t="s">
        <v>740</v>
      </c>
      <c r="J1788" s="92" t="s">
        <v>727</v>
      </c>
      <c r="K1788" s="71" t="s">
        <v>1235</v>
      </c>
      <c r="L1788" s="72">
        <v>41967</v>
      </c>
      <c r="M1788" s="73" t="s">
        <v>729</v>
      </c>
      <c r="N1788" s="74">
        <v>41976</v>
      </c>
      <c r="O1788" s="75">
        <f t="shared" si="442"/>
        <v>41976</v>
      </c>
      <c r="P1788" s="2765" t="s">
        <v>1236</v>
      </c>
      <c r="Q1788" s="2954"/>
      <c r="R1788" s="76">
        <v>127.12</v>
      </c>
      <c r="S1788" s="1945" t="s">
        <v>731</v>
      </c>
      <c r="T1788" s="77"/>
      <c r="U1788" s="1893"/>
      <c r="V1788" s="2079">
        <f t="shared" si="438"/>
        <v>0</v>
      </c>
      <c r="W1788" s="78">
        <f t="shared" si="439"/>
        <v>150.0016</v>
      </c>
      <c r="X1788" s="1878" t="str">
        <f t="shared" si="437"/>
        <v xml:space="preserve">5.- C Lima Caucho 0220207-OT_000045  Transpl Banda 0001-002047 </v>
      </c>
      <c r="Z1788" s="19" t="str">
        <f t="shared" si="434"/>
        <v>Sacar_BandaReenc. MASTERCAUCHO</v>
      </c>
    </row>
    <row r="1789" spans="2:26" ht="15.2" customHeight="1" outlineLevel="1">
      <c r="B1789" s="37"/>
      <c r="C1789" s="2">
        <f>1+C1794</f>
        <v>242</v>
      </c>
      <c r="D1789" s="3">
        <v>1</v>
      </c>
      <c r="E1789" s="66">
        <v>6</v>
      </c>
      <c r="F1789" s="67" t="s">
        <v>732</v>
      </c>
      <c r="G1789" s="68" t="s">
        <v>733</v>
      </c>
      <c r="H1789" s="69" t="s">
        <v>1239</v>
      </c>
      <c r="I1789" s="90" t="s">
        <v>740</v>
      </c>
      <c r="J1789" s="92" t="s">
        <v>727</v>
      </c>
      <c r="K1789" s="71" t="s">
        <v>1235</v>
      </c>
      <c r="L1789" s="72">
        <v>41967</v>
      </c>
      <c r="M1789" s="73" t="s">
        <v>729</v>
      </c>
      <c r="N1789" s="74">
        <v>41976</v>
      </c>
      <c r="O1789" s="75">
        <f t="shared" si="442"/>
        <v>41976</v>
      </c>
      <c r="P1789" s="2765" t="s">
        <v>1236</v>
      </c>
      <c r="Q1789" s="2954"/>
      <c r="R1789" s="76">
        <v>0</v>
      </c>
      <c r="S1789" s="1945" t="s">
        <v>731</v>
      </c>
      <c r="T1789" s="1875" t="s">
        <v>1240</v>
      </c>
      <c r="U1789" s="1920"/>
      <c r="V1789" s="2079">
        <f t="shared" si="438"/>
        <v>0</v>
      </c>
      <c r="W1789" s="78">
        <f t="shared" si="439"/>
        <v>0</v>
      </c>
      <c r="X1789" s="1878" t="str">
        <f t="shared" si="437"/>
        <v>6.- C Lima Caucho 0080107-OT_000045  Transpl Banda 0001-002047 Rechazada por falla en casco</v>
      </c>
      <c r="Z1789" s="19" t="str">
        <f t="shared" si="434"/>
        <v>Sacar_BandaReenc. MASTERCAUCHO</v>
      </c>
    </row>
    <row r="1790" spans="2:26" ht="15.2" customHeight="1">
      <c r="B1790" s="37"/>
      <c r="E1790" s="66">
        <v>7</v>
      </c>
      <c r="F1790" s="67" t="s">
        <v>732</v>
      </c>
      <c r="G1790" s="68" t="s">
        <v>1233</v>
      </c>
      <c r="H1790" s="69" t="s">
        <v>1241</v>
      </c>
      <c r="I1790" s="90" t="s">
        <v>744</v>
      </c>
      <c r="J1790" s="92" t="s">
        <v>727</v>
      </c>
      <c r="K1790" s="71" t="s">
        <v>1235</v>
      </c>
      <c r="L1790" s="72">
        <v>41967</v>
      </c>
      <c r="M1790" s="73" t="s">
        <v>729</v>
      </c>
      <c r="N1790" s="74">
        <v>41976</v>
      </c>
      <c r="O1790" s="75">
        <f t="shared" si="442"/>
        <v>41976</v>
      </c>
      <c r="P1790" s="2765" t="s">
        <v>1236</v>
      </c>
      <c r="Q1790" s="2954"/>
      <c r="R1790" s="76">
        <v>0</v>
      </c>
      <c r="S1790" s="1945" t="s">
        <v>731</v>
      </c>
      <c r="T1790" s="77"/>
      <c r="U1790" s="1893"/>
      <c r="V1790" s="2079">
        <f t="shared" si="438"/>
        <v>0</v>
      </c>
      <c r="W1790" s="78">
        <f t="shared" si="439"/>
        <v>0</v>
      </c>
      <c r="X1790" s="1878" t="str">
        <f t="shared" si="437"/>
        <v xml:space="preserve">7.- C Saratoga 0260206-OT_000045  Sacar_Banda 0001-002047 </v>
      </c>
    </row>
    <row r="1791" spans="2:26" ht="15.2" customHeight="1" outlineLevel="1">
      <c r="B1791" s="37"/>
      <c r="E1791" s="66">
        <v>8</v>
      </c>
      <c r="F1791" s="67" t="s">
        <v>732</v>
      </c>
      <c r="G1791" s="68" t="s">
        <v>737</v>
      </c>
      <c r="H1791" s="69" t="s">
        <v>1242</v>
      </c>
      <c r="I1791" s="90" t="s">
        <v>744</v>
      </c>
      <c r="J1791" s="92" t="s">
        <v>727</v>
      </c>
      <c r="K1791" s="71" t="s">
        <v>1235</v>
      </c>
      <c r="L1791" s="72">
        <v>41967</v>
      </c>
      <c r="M1791" s="73" t="s">
        <v>729</v>
      </c>
      <c r="N1791" s="74">
        <v>41976</v>
      </c>
      <c r="O1791" s="75">
        <f t="shared" si="442"/>
        <v>41976</v>
      </c>
      <c r="P1791" s="2765" t="s">
        <v>1236</v>
      </c>
      <c r="Q1791" s="2954"/>
      <c r="R1791" s="76">
        <v>0</v>
      </c>
      <c r="S1791" s="1945" t="s">
        <v>731</v>
      </c>
      <c r="T1791" s="77"/>
      <c r="U1791" s="1893"/>
      <c r="V1791" s="2079">
        <f t="shared" si="438"/>
        <v>0</v>
      </c>
      <c r="W1791" s="78">
        <f t="shared" si="439"/>
        <v>0</v>
      </c>
      <c r="X1791" s="1878" t="str">
        <f t="shared" si="437"/>
        <v xml:space="preserve">8.- C Vikrant 0080109-OT_000045  Sacar_Banda 0001-002047 </v>
      </c>
      <c r="Z1791" s="19" t="str">
        <f t="shared" ref="Z1791:Z1798" si="444">CONCATENATE(I1794,J1794)</f>
        <v>ReencaucheReenc. MASTERCAUCHO</v>
      </c>
    </row>
    <row r="1792" spans="2:26" ht="15.2" customHeight="1" outlineLevel="1">
      <c r="B1792" s="37"/>
      <c r="E1792" s="79">
        <v>9</v>
      </c>
      <c r="F1792" s="80" t="s">
        <v>732</v>
      </c>
      <c r="G1792" s="81" t="s">
        <v>737</v>
      </c>
      <c r="H1792" s="82" t="s">
        <v>1243</v>
      </c>
      <c r="I1792" s="114" t="s">
        <v>744</v>
      </c>
      <c r="J1792" s="93" t="s">
        <v>727</v>
      </c>
      <c r="K1792" s="84" t="s">
        <v>1235</v>
      </c>
      <c r="L1792" s="85">
        <v>41967</v>
      </c>
      <c r="M1792" s="86" t="s">
        <v>729</v>
      </c>
      <c r="N1792" s="87">
        <v>41976</v>
      </c>
      <c r="O1792" s="88">
        <f t="shared" si="442"/>
        <v>41976</v>
      </c>
      <c r="P1792" s="2766" t="s">
        <v>1236</v>
      </c>
      <c r="Q1792" s="2955"/>
      <c r="R1792" s="89">
        <v>0</v>
      </c>
      <c r="S1792" s="1946" t="s">
        <v>731</v>
      </c>
      <c r="T1792" s="77"/>
      <c r="U1792" s="1893"/>
      <c r="V1792" s="2079">
        <f t="shared" si="438"/>
        <v>0</v>
      </c>
      <c r="W1792" s="78">
        <f t="shared" si="439"/>
        <v>0</v>
      </c>
      <c r="X1792" s="1878" t="str">
        <f t="shared" si="437"/>
        <v xml:space="preserve">9.- C Vikrant 1290805-OT_000045  Sacar_Banda 0001-002047 </v>
      </c>
      <c r="Z1792" s="19" t="str">
        <f t="shared" si="444"/>
        <v>ReencaucheReenc. MASTERCAUCHO</v>
      </c>
    </row>
    <row r="1793" spans="2:26" ht="15.2" customHeight="1" outlineLevel="1">
      <c r="B1793" s="1">
        <v>41944</v>
      </c>
      <c r="C1793" s="1"/>
      <c r="D1793" s="173">
        <f>+D1794</f>
        <v>34</v>
      </c>
      <c r="E1793" s="66"/>
      <c r="F1793" s="67"/>
      <c r="G1793" s="68"/>
      <c r="H1793" s="69"/>
      <c r="I1793" s="68"/>
      <c r="J1793" s="70"/>
      <c r="K1793" s="71"/>
      <c r="L1793" s="72"/>
      <c r="M1793" s="73"/>
      <c r="N1793" s="74"/>
      <c r="O1793" s="75"/>
      <c r="P1793" s="2765"/>
      <c r="Q1793" s="2954"/>
      <c r="R1793" s="76"/>
      <c r="S1793" s="1945"/>
      <c r="T1793" s="77"/>
      <c r="U1793" s="1893"/>
      <c r="V1793" s="2079">
        <f t="shared" si="438"/>
        <v>0</v>
      </c>
      <c r="W1793" s="78">
        <f t="shared" si="439"/>
        <v>0</v>
      </c>
      <c r="X1793" s="1878" t="str">
        <f t="shared" si="437"/>
        <v xml:space="preserve">.-   -OT_    </v>
      </c>
      <c r="Z1793" s="19" t="str">
        <f t="shared" si="444"/>
        <v>ReencaucheReenc. MASTERCAUCHO</v>
      </c>
    </row>
    <row r="1794" spans="2:26" ht="15.2" customHeight="1" outlineLevel="1">
      <c r="B1794" s="37"/>
      <c r="C1794" s="2">
        <f t="shared" ref="C1794:D1801" si="445">1+C1795</f>
        <v>241</v>
      </c>
      <c r="D1794" s="3">
        <f t="shared" si="445"/>
        <v>34</v>
      </c>
      <c r="E1794" s="66">
        <v>1</v>
      </c>
      <c r="F1794" s="67" t="s">
        <v>732</v>
      </c>
      <c r="G1794" s="68" t="s">
        <v>733</v>
      </c>
      <c r="H1794" s="69" t="s">
        <v>1244</v>
      </c>
      <c r="I1794" s="68" t="s">
        <v>726</v>
      </c>
      <c r="J1794" s="70" t="s">
        <v>727</v>
      </c>
      <c r="K1794" s="71" t="s">
        <v>1245</v>
      </c>
      <c r="L1794" s="72">
        <v>41949</v>
      </c>
      <c r="M1794" s="73" t="s">
        <v>729</v>
      </c>
      <c r="N1794" s="74">
        <v>41954</v>
      </c>
      <c r="O1794" s="75">
        <f t="shared" ref="O1794:O1803" si="446">+N1794</f>
        <v>41954</v>
      </c>
      <c r="P1794" s="2765" t="s">
        <v>1246</v>
      </c>
      <c r="Q1794" s="2954"/>
      <c r="R1794" s="76">
        <v>254.24</v>
      </c>
      <c r="S1794" s="1945" t="s">
        <v>731</v>
      </c>
      <c r="T1794" s="77"/>
      <c r="U1794" s="1893"/>
      <c r="V1794" s="2079">
        <f t="shared" si="438"/>
        <v>0</v>
      </c>
      <c r="W1794" s="78">
        <f t="shared" si="439"/>
        <v>300.00319999999999</v>
      </c>
      <c r="X1794" s="1878" t="str">
        <f t="shared" si="437"/>
        <v xml:space="preserve">1.- C Lima Caucho 1201210-OT_000265  Reencauche 0001-001897 </v>
      </c>
      <c r="Z1794" s="19" t="str">
        <f t="shared" si="444"/>
        <v>ReencaucheReenc. MASTERCAUCHO</v>
      </c>
    </row>
    <row r="1795" spans="2:26" ht="15.2" customHeight="1" outlineLevel="1">
      <c r="B1795" s="37"/>
      <c r="C1795" s="2">
        <f t="shared" si="445"/>
        <v>240</v>
      </c>
      <c r="D1795" s="3">
        <f t="shared" si="445"/>
        <v>33</v>
      </c>
      <c r="E1795" s="66">
        <v>2</v>
      </c>
      <c r="F1795" s="67" t="s">
        <v>732</v>
      </c>
      <c r="G1795" s="68" t="s">
        <v>733</v>
      </c>
      <c r="H1795" s="69" t="s">
        <v>955</v>
      </c>
      <c r="I1795" s="68" t="s">
        <v>726</v>
      </c>
      <c r="J1795" s="70" t="s">
        <v>727</v>
      </c>
      <c r="K1795" s="71" t="s">
        <v>1245</v>
      </c>
      <c r="L1795" s="72">
        <v>41949</v>
      </c>
      <c r="M1795" s="73" t="s">
        <v>729</v>
      </c>
      <c r="N1795" s="74">
        <v>41954</v>
      </c>
      <c r="O1795" s="75">
        <f t="shared" si="446"/>
        <v>41954</v>
      </c>
      <c r="P1795" s="2765" t="s">
        <v>1246</v>
      </c>
      <c r="Q1795" s="2954"/>
      <c r="R1795" s="76">
        <v>254.24</v>
      </c>
      <c r="S1795" s="1945" t="s">
        <v>731</v>
      </c>
      <c r="T1795" s="77"/>
      <c r="U1795" s="1893"/>
      <c r="V1795" s="2079">
        <f t="shared" si="438"/>
        <v>0</v>
      </c>
      <c r="W1795" s="78">
        <f t="shared" si="439"/>
        <v>300.00319999999999</v>
      </c>
      <c r="X1795" s="1878" t="str">
        <f t="shared" si="437"/>
        <v xml:space="preserve">2.- C Lima Caucho 0810908-OT_000265  Reencauche 0001-001897 </v>
      </c>
      <c r="Z1795" s="19" t="str">
        <f t="shared" si="444"/>
        <v>ReencaucheReenc. MASTERCAUCHO</v>
      </c>
    </row>
    <row r="1796" spans="2:26" ht="15.2" customHeight="1" outlineLevel="1">
      <c r="B1796" s="37"/>
      <c r="C1796" s="2">
        <f t="shared" si="445"/>
        <v>239</v>
      </c>
      <c r="D1796" s="3">
        <f t="shared" si="445"/>
        <v>32</v>
      </c>
      <c r="E1796" s="66">
        <v>3</v>
      </c>
      <c r="F1796" s="67" t="s">
        <v>732</v>
      </c>
      <c r="G1796" s="68" t="s">
        <v>733</v>
      </c>
      <c r="H1796" s="69" t="s">
        <v>1247</v>
      </c>
      <c r="I1796" s="68" t="s">
        <v>726</v>
      </c>
      <c r="J1796" s="70" t="s">
        <v>727</v>
      </c>
      <c r="K1796" s="71" t="s">
        <v>1245</v>
      </c>
      <c r="L1796" s="72">
        <v>41949</v>
      </c>
      <c r="M1796" s="73" t="s">
        <v>729</v>
      </c>
      <c r="N1796" s="74">
        <v>41954</v>
      </c>
      <c r="O1796" s="75">
        <f t="shared" si="446"/>
        <v>41954</v>
      </c>
      <c r="P1796" s="2765" t="s">
        <v>1246</v>
      </c>
      <c r="Q1796" s="2954"/>
      <c r="R1796" s="76">
        <v>254.24</v>
      </c>
      <c r="S1796" s="1945" t="s">
        <v>731</v>
      </c>
      <c r="T1796" s="77"/>
      <c r="U1796" s="1893"/>
      <c r="V1796" s="2079">
        <f t="shared" si="438"/>
        <v>0</v>
      </c>
      <c r="W1796" s="78">
        <f t="shared" si="439"/>
        <v>300.00319999999999</v>
      </c>
      <c r="X1796" s="1878" t="str">
        <f t="shared" si="437"/>
        <v xml:space="preserve">3.- C Lima Caucho 0390207-OT_000265  Reencauche 0001-001897 </v>
      </c>
      <c r="Z1796" s="19" t="str">
        <f t="shared" si="444"/>
        <v>ReencaucheReenc. MASTERCAUCHO</v>
      </c>
    </row>
    <row r="1797" spans="2:26" ht="15.2" customHeight="1" outlineLevel="1">
      <c r="B1797" s="37"/>
      <c r="C1797" s="2">
        <f t="shared" si="445"/>
        <v>238</v>
      </c>
      <c r="D1797" s="3">
        <f t="shared" si="445"/>
        <v>31</v>
      </c>
      <c r="E1797" s="66">
        <v>4</v>
      </c>
      <c r="F1797" s="67" t="s">
        <v>732</v>
      </c>
      <c r="G1797" s="68" t="s">
        <v>733</v>
      </c>
      <c r="H1797" s="69" t="s">
        <v>1248</v>
      </c>
      <c r="I1797" s="68" t="s">
        <v>726</v>
      </c>
      <c r="J1797" s="70" t="s">
        <v>727</v>
      </c>
      <c r="K1797" s="71" t="s">
        <v>1245</v>
      </c>
      <c r="L1797" s="72">
        <v>41949</v>
      </c>
      <c r="M1797" s="73" t="s">
        <v>729</v>
      </c>
      <c r="N1797" s="74">
        <v>41954</v>
      </c>
      <c r="O1797" s="75">
        <f t="shared" si="446"/>
        <v>41954</v>
      </c>
      <c r="P1797" s="2765" t="s">
        <v>1246</v>
      </c>
      <c r="Q1797" s="2954"/>
      <c r="R1797" s="76">
        <v>254.24</v>
      </c>
      <c r="S1797" s="1945" t="s">
        <v>731</v>
      </c>
      <c r="T1797" s="77"/>
      <c r="U1797" s="1893"/>
      <c r="V1797" s="2079">
        <f t="shared" si="438"/>
        <v>0</v>
      </c>
      <c r="W1797" s="78">
        <f t="shared" si="439"/>
        <v>300.00319999999999</v>
      </c>
      <c r="X1797" s="1878" t="str">
        <f t="shared" si="437"/>
        <v xml:space="preserve">4.- C Lima Caucho 0120107-OT_000265  Reencauche 0001-001897 </v>
      </c>
      <c r="Z1797" s="19" t="str">
        <f t="shared" si="444"/>
        <v>Vulcanizado (curación)Reenc. MASTERCAUCHO</v>
      </c>
    </row>
    <row r="1798" spans="2:26" ht="15.2" customHeight="1" outlineLevel="1">
      <c r="B1798" s="37"/>
      <c r="C1798" s="2">
        <f t="shared" si="445"/>
        <v>237</v>
      </c>
      <c r="D1798" s="3">
        <f t="shared" si="445"/>
        <v>30</v>
      </c>
      <c r="E1798" s="66">
        <v>5</v>
      </c>
      <c r="F1798" s="67" t="s">
        <v>732</v>
      </c>
      <c r="G1798" s="68" t="s">
        <v>757</v>
      </c>
      <c r="H1798" s="69" t="s">
        <v>1249</v>
      </c>
      <c r="I1798" s="68" t="s">
        <v>726</v>
      </c>
      <c r="J1798" s="70" t="s">
        <v>727</v>
      </c>
      <c r="K1798" s="71" t="s">
        <v>1245</v>
      </c>
      <c r="L1798" s="72">
        <v>41949</v>
      </c>
      <c r="M1798" s="73" t="s">
        <v>729</v>
      </c>
      <c r="N1798" s="74">
        <v>41954</v>
      </c>
      <c r="O1798" s="75">
        <f t="shared" si="446"/>
        <v>41954</v>
      </c>
      <c r="P1798" s="2765" t="s">
        <v>1246</v>
      </c>
      <c r="Q1798" s="2954"/>
      <c r="R1798" s="76">
        <v>254.24</v>
      </c>
      <c r="S1798" s="1945" t="s">
        <v>731</v>
      </c>
      <c r="T1798" s="77"/>
      <c r="U1798" s="1893"/>
      <c r="V1798" s="2079">
        <f t="shared" si="438"/>
        <v>0</v>
      </c>
      <c r="W1798" s="78">
        <f t="shared" si="439"/>
        <v>300.00319999999999</v>
      </c>
      <c r="X1798" s="1878" t="str">
        <f t="shared" si="437"/>
        <v xml:space="preserve">5.- C Goodyear 1651004-OT_000265  Reencauche 0001-001897 </v>
      </c>
      <c r="Z1798" s="19" t="str">
        <f t="shared" si="444"/>
        <v>Vulcanizado (curación)Reenc. MASTERCAUCHO</v>
      </c>
    </row>
    <row r="1799" spans="2:26" ht="15.2" customHeight="1" outlineLevel="1">
      <c r="B1799" s="37"/>
      <c r="C1799" s="2">
        <f t="shared" si="445"/>
        <v>236</v>
      </c>
      <c r="D1799" s="3">
        <f t="shared" si="445"/>
        <v>29</v>
      </c>
      <c r="E1799" s="66">
        <v>6</v>
      </c>
      <c r="F1799" s="162" t="s">
        <v>732</v>
      </c>
      <c r="G1799" s="163" t="s">
        <v>757</v>
      </c>
      <c r="H1799" s="164" t="s">
        <v>1250</v>
      </c>
      <c r="I1799" s="163" t="s">
        <v>726</v>
      </c>
      <c r="J1799" s="165" t="s">
        <v>727</v>
      </c>
      <c r="K1799" s="166" t="s">
        <v>1245</v>
      </c>
      <c r="L1799" s="167">
        <v>41949</v>
      </c>
      <c r="M1799" s="168" t="s">
        <v>729</v>
      </c>
      <c r="N1799" s="169">
        <v>41954</v>
      </c>
      <c r="O1799" s="170">
        <f t="shared" si="446"/>
        <v>41954</v>
      </c>
      <c r="P1799" s="2780" t="s">
        <v>1246</v>
      </c>
      <c r="Q1799" s="2969"/>
      <c r="R1799" s="171">
        <v>254.24</v>
      </c>
      <c r="S1799" s="1951" t="s">
        <v>731</v>
      </c>
      <c r="T1799" s="77"/>
      <c r="U1799" s="1893"/>
      <c r="V1799" s="2079">
        <f t="shared" si="438"/>
        <v>0</v>
      </c>
      <c r="W1799" s="78">
        <f t="shared" si="439"/>
        <v>300.00319999999999</v>
      </c>
      <c r="X1799" s="1878" t="str">
        <f t="shared" si="437"/>
        <v xml:space="preserve">6.- C Goodyear 1631004-OT_000265  Reencauche 0001-001897 </v>
      </c>
      <c r="Z1799" s="19" t="str">
        <f>CONCATENATE(I1803,J1803)</f>
        <v>ReencaucheReencauchadora RENOVA</v>
      </c>
    </row>
    <row r="1800" spans="2:26" ht="15.2" customHeight="1" outlineLevel="1">
      <c r="B1800" s="37"/>
      <c r="C1800" s="2">
        <f t="shared" si="445"/>
        <v>235</v>
      </c>
      <c r="D1800" s="3">
        <f t="shared" si="445"/>
        <v>28</v>
      </c>
      <c r="E1800" s="66">
        <v>7</v>
      </c>
      <c r="F1800" s="67" t="s">
        <v>723</v>
      </c>
      <c r="G1800" s="174" t="s">
        <v>724</v>
      </c>
      <c r="H1800" s="175" t="s">
        <v>1257</v>
      </c>
      <c r="I1800" s="174" t="s">
        <v>811</v>
      </c>
      <c r="J1800" s="176" t="s">
        <v>727</v>
      </c>
      <c r="K1800" s="71" t="s">
        <v>1245</v>
      </c>
      <c r="L1800" s="72">
        <v>41949</v>
      </c>
      <c r="M1800" s="73" t="s">
        <v>729</v>
      </c>
      <c r="N1800" s="74">
        <v>41951</v>
      </c>
      <c r="O1800" s="75">
        <f t="shared" si="446"/>
        <v>41951</v>
      </c>
      <c r="P1800" s="2765" t="s">
        <v>1258</v>
      </c>
      <c r="Q1800" s="2954"/>
      <c r="R1800" s="76">
        <v>105.93</v>
      </c>
      <c r="S1800" s="1945" t="s">
        <v>731</v>
      </c>
      <c r="T1800" s="77"/>
      <c r="U1800" s="1893" t="s">
        <v>694</v>
      </c>
      <c r="V1800" s="2079">
        <f t="shared" si="438"/>
        <v>0</v>
      </c>
      <c r="W1800" s="78">
        <f t="shared" si="439"/>
        <v>124.9974</v>
      </c>
      <c r="X1800" s="1878" t="str">
        <f t="shared" si="437"/>
        <v xml:space="preserve">7.- R Aeolus 0170111-OT_000265  Vulcanizado (curación) 0001-001884 </v>
      </c>
      <c r="Z1800" s="19" t="str">
        <f>CONCATENATE(I1802,J1802)</f>
        <v>ReencaucheReencauchadora RENOVA</v>
      </c>
    </row>
    <row r="1801" spans="2:26" ht="15.2" customHeight="1" outlineLevel="1">
      <c r="B1801" s="37"/>
      <c r="C1801" s="2">
        <f t="shared" si="445"/>
        <v>234</v>
      </c>
      <c r="D1801" s="3">
        <f t="shared" si="445"/>
        <v>27</v>
      </c>
      <c r="E1801" s="79">
        <v>8</v>
      </c>
      <c r="F1801" s="80" t="s">
        <v>723</v>
      </c>
      <c r="G1801" s="150" t="s">
        <v>724</v>
      </c>
      <c r="H1801" s="188" t="s">
        <v>1208</v>
      </c>
      <c r="I1801" s="150" t="s">
        <v>811</v>
      </c>
      <c r="J1801" s="152" t="s">
        <v>727</v>
      </c>
      <c r="K1801" s="84" t="s">
        <v>1245</v>
      </c>
      <c r="L1801" s="85">
        <v>41949</v>
      </c>
      <c r="M1801" s="86" t="s">
        <v>729</v>
      </c>
      <c r="N1801" s="87">
        <v>41951</v>
      </c>
      <c r="O1801" s="88">
        <f t="shared" si="446"/>
        <v>41951</v>
      </c>
      <c r="P1801" s="2766" t="s">
        <v>1258</v>
      </c>
      <c r="Q1801" s="2955"/>
      <c r="R1801" s="89">
        <v>105.93</v>
      </c>
      <c r="S1801" s="1946" t="s">
        <v>731</v>
      </c>
      <c r="T1801" s="77"/>
      <c r="U1801" s="1893" t="s">
        <v>694</v>
      </c>
      <c r="V1801" s="2079">
        <f t="shared" si="438"/>
        <v>0</v>
      </c>
      <c r="W1801" s="78">
        <f t="shared" si="439"/>
        <v>124.9974</v>
      </c>
      <c r="X1801" s="1878" t="str">
        <f t="shared" si="437"/>
        <v xml:space="preserve">8.- R Aeolus 0150113-OT_000265  Vulcanizado (curación) 0001-001884 </v>
      </c>
      <c r="Z1801" s="19" t="str">
        <f t="shared" ref="Z1801:Z1829" si="447">CONCATENATE(I1804,J1804)</f>
        <v>ReencaucheReencauchadora RENOVA</v>
      </c>
    </row>
    <row r="1802" spans="2:26" ht="15.2" customHeight="1" outlineLevel="1">
      <c r="B1802" s="37"/>
      <c r="C1802" s="2">
        <f>1+C1804</f>
        <v>233</v>
      </c>
      <c r="D1802" s="3">
        <f>1+D1804</f>
        <v>26</v>
      </c>
      <c r="E1802" s="66">
        <v>1</v>
      </c>
      <c r="F1802" s="67" t="s">
        <v>732</v>
      </c>
      <c r="G1802" s="68" t="s">
        <v>733</v>
      </c>
      <c r="H1802" s="69" t="s">
        <v>1259</v>
      </c>
      <c r="I1802" s="68" t="s">
        <v>726</v>
      </c>
      <c r="J1802" s="70" t="s">
        <v>760</v>
      </c>
      <c r="K1802" s="71" t="s">
        <v>1260</v>
      </c>
      <c r="L1802" s="72">
        <v>41948</v>
      </c>
      <c r="M1802" s="73" t="s">
        <v>729</v>
      </c>
      <c r="N1802" s="74">
        <v>41983</v>
      </c>
      <c r="O1802" s="75">
        <f t="shared" si="446"/>
        <v>41983</v>
      </c>
      <c r="P1802" s="2765" t="s">
        <v>1222</v>
      </c>
      <c r="Q1802" s="2954"/>
      <c r="R1802" s="76">
        <v>281.49</v>
      </c>
      <c r="S1802" s="1945" t="s">
        <v>731</v>
      </c>
      <c r="T1802" s="77"/>
      <c r="U1802" s="1893"/>
      <c r="V1802" s="2079">
        <f t="shared" si="438"/>
        <v>0</v>
      </c>
      <c r="W1802" s="78">
        <f t="shared" si="439"/>
        <v>332.15819999999997</v>
      </c>
      <c r="X1802" s="1878" t="str">
        <f t="shared" si="437"/>
        <v xml:space="preserve">1.- C Lima Caucho 0370411-OT_203529  Reencauche 030-0037948 </v>
      </c>
      <c r="Z1802" s="19" t="str">
        <f t="shared" si="447"/>
        <v>ReencaucheReencauchadora RENOVA</v>
      </c>
    </row>
    <row r="1803" spans="2:26" ht="15.2" customHeight="1" outlineLevel="1">
      <c r="B1803" s="37"/>
      <c r="E1803" s="66">
        <v>2</v>
      </c>
      <c r="F1803" s="189" t="s">
        <v>732</v>
      </c>
      <c r="G1803" s="179" t="s">
        <v>737</v>
      </c>
      <c r="H1803" s="180" t="s">
        <v>1261</v>
      </c>
      <c r="I1803" s="179" t="s">
        <v>726</v>
      </c>
      <c r="J1803" s="181" t="s">
        <v>760</v>
      </c>
      <c r="K1803" s="182" t="s">
        <v>1262</v>
      </c>
      <c r="L1803" s="183">
        <v>41948</v>
      </c>
      <c r="M1803" s="184" t="s">
        <v>729</v>
      </c>
      <c r="N1803" s="185">
        <v>41983</v>
      </c>
      <c r="O1803" s="186">
        <f t="shared" si="446"/>
        <v>41983</v>
      </c>
      <c r="P1803" s="2772"/>
      <c r="Q1803" s="2964"/>
      <c r="R1803" s="187">
        <v>0</v>
      </c>
      <c r="S1803" s="1952" t="s">
        <v>731</v>
      </c>
      <c r="T1803" s="1875" t="s">
        <v>1231</v>
      </c>
      <c r="U1803" s="1920"/>
      <c r="V1803" s="2079">
        <f t="shared" si="438"/>
        <v>0</v>
      </c>
      <c r="W1803" s="78">
        <f t="shared" si="439"/>
        <v>0</v>
      </c>
      <c r="X1803" s="1878" t="str">
        <f t="shared" si="437"/>
        <v>2.- C Vikrant 0730906-OT_203527  Reencauche  Rechazada, Guia 030-0044185</v>
      </c>
      <c r="Z1803" s="19" t="str">
        <f t="shared" si="447"/>
        <v>ReencaucheReencauchadora RENOVA</v>
      </c>
    </row>
    <row r="1804" spans="2:26" ht="15.2" customHeight="1" outlineLevel="1">
      <c r="B1804" s="37"/>
      <c r="C1804" s="2">
        <f t="shared" ref="C1804:D1807" si="448">1+C1805</f>
        <v>232</v>
      </c>
      <c r="D1804" s="3">
        <f t="shared" si="448"/>
        <v>25</v>
      </c>
      <c r="E1804" s="66">
        <v>3</v>
      </c>
      <c r="F1804" s="67" t="s">
        <v>732</v>
      </c>
      <c r="G1804" s="68" t="s">
        <v>737</v>
      </c>
      <c r="H1804" s="69" t="s">
        <v>1263</v>
      </c>
      <c r="I1804" s="68" t="s">
        <v>726</v>
      </c>
      <c r="J1804" s="70" t="s">
        <v>760</v>
      </c>
      <c r="K1804" s="71" t="s">
        <v>1262</v>
      </c>
      <c r="L1804" s="72">
        <v>41948</v>
      </c>
      <c r="M1804" s="73" t="s">
        <v>729</v>
      </c>
      <c r="N1804" s="74">
        <v>41963</v>
      </c>
      <c r="O1804" s="75">
        <v>41963</v>
      </c>
      <c r="P1804" s="2765" t="s">
        <v>1264</v>
      </c>
      <c r="Q1804" s="2954"/>
      <c r="R1804" s="76">
        <v>281.49</v>
      </c>
      <c r="S1804" s="1945" t="s">
        <v>731</v>
      </c>
      <c r="T1804" s="77"/>
      <c r="U1804" s="1893"/>
      <c r="V1804" s="2079">
        <f t="shared" si="438"/>
        <v>0</v>
      </c>
      <c r="W1804" s="78">
        <f t="shared" si="439"/>
        <v>332.15819999999997</v>
      </c>
      <c r="X1804" s="1878" t="str">
        <f t="shared" si="437"/>
        <v xml:space="preserve">3.- C Vikrant 0120111-OT_203527  Reencauche 030-0037560 </v>
      </c>
      <c r="Z1804" s="19" t="str">
        <f t="shared" si="447"/>
        <v>ReencaucheReencauchadora RENOVA</v>
      </c>
    </row>
    <row r="1805" spans="2:26" ht="15.2" customHeight="1" outlineLevel="1">
      <c r="B1805" s="37"/>
      <c r="C1805" s="2">
        <f t="shared" si="448"/>
        <v>231</v>
      </c>
      <c r="D1805" s="3">
        <f t="shared" si="448"/>
        <v>24</v>
      </c>
      <c r="E1805" s="66">
        <v>4</v>
      </c>
      <c r="F1805" s="67" t="s">
        <v>732</v>
      </c>
      <c r="G1805" s="68" t="s">
        <v>737</v>
      </c>
      <c r="H1805" s="69" t="s">
        <v>1265</v>
      </c>
      <c r="I1805" s="68" t="s">
        <v>726</v>
      </c>
      <c r="J1805" s="70" t="s">
        <v>760</v>
      </c>
      <c r="K1805" s="71" t="s">
        <v>1262</v>
      </c>
      <c r="L1805" s="72">
        <v>41948</v>
      </c>
      <c r="M1805" s="73" t="s">
        <v>729</v>
      </c>
      <c r="N1805" s="74">
        <v>41963</v>
      </c>
      <c r="O1805" s="75">
        <v>41963</v>
      </c>
      <c r="P1805" s="2765" t="s">
        <v>1264</v>
      </c>
      <c r="Q1805" s="2954"/>
      <c r="R1805" s="76">
        <v>281.49</v>
      </c>
      <c r="S1805" s="1945" t="s">
        <v>731</v>
      </c>
      <c r="T1805" s="77"/>
      <c r="U1805" s="1893"/>
      <c r="V1805" s="2079">
        <f t="shared" si="438"/>
        <v>0</v>
      </c>
      <c r="W1805" s="78">
        <f t="shared" si="439"/>
        <v>332.15819999999997</v>
      </c>
      <c r="X1805" s="1878" t="str">
        <f t="shared" si="437"/>
        <v xml:space="preserve">4.- C Vikrant 06022010-OT_203527  Reencauche 030-0037560 </v>
      </c>
      <c r="Z1805" s="19" t="str">
        <f t="shared" si="447"/>
        <v>ReencaucheReencauchadora RENOVA</v>
      </c>
    </row>
    <row r="1806" spans="2:26" ht="15.2" customHeight="1" outlineLevel="1">
      <c r="B1806" s="37"/>
      <c r="C1806" s="2">
        <f t="shared" si="448"/>
        <v>230</v>
      </c>
      <c r="D1806" s="3">
        <f t="shared" si="448"/>
        <v>23</v>
      </c>
      <c r="E1806" s="66">
        <v>5</v>
      </c>
      <c r="F1806" s="67" t="s">
        <v>732</v>
      </c>
      <c r="G1806" s="68" t="s">
        <v>733</v>
      </c>
      <c r="H1806" s="69" t="s">
        <v>1266</v>
      </c>
      <c r="I1806" s="68" t="s">
        <v>726</v>
      </c>
      <c r="J1806" s="70" t="s">
        <v>760</v>
      </c>
      <c r="K1806" s="71" t="s">
        <v>1267</v>
      </c>
      <c r="L1806" s="72">
        <v>41948</v>
      </c>
      <c r="M1806" s="73" t="s">
        <v>729</v>
      </c>
      <c r="N1806" s="74">
        <v>41963</v>
      </c>
      <c r="O1806" s="75">
        <v>41963</v>
      </c>
      <c r="P1806" s="2765" t="s">
        <v>1264</v>
      </c>
      <c r="Q1806" s="2954"/>
      <c r="R1806" s="76">
        <v>281.49</v>
      </c>
      <c r="S1806" s="1945" t="s">
        <v>731</v>
      </c>
      <c r="T1806" s="77"/>
      <c r="U1806" s="1893"/>
      <c r="V1806" s="2079">
        <f t="shared" si="438"/>
        <v>0</v>
      </c>
      <c r="W1806" s="78">
        <f t="shared" si="439"/>
        <v>332.15819999999997</v>
      </c>
      <c r="X1806" s="1878" t="str">
        <f t="shared" si="437"/>
        <v xml:space="preserve">5.- C Lima Caucho 0990908-OT_203528  Reencauche 030-0037560 </v>
      </c>
      <c r="Z1806" s="19" t="str">
        <f t="shared" si="447"/>
        <v>ReencaucheReencauchadora RENOVA</v>
      </c>
    </row>
    <row r="1807" spans="2:26" ht="15.2" customHeight="1" outlineLevel="1">
      <c r="B1807" s="37"/>
      <c r="C1807" s="2">
        <f t="shared" si="448"/>
        <v>229</v>
      </c>
      <c r="D1807" s="3">
        <f t="shared" si="448"/>
        <v>22</v>
      </c>
      <c r="E1807" s="66">
        <v>6</v>
      </c>
      <c r="F1807" s="67" t="s">
        <v>732</v>
      </c>
      <c r="G1807" s="68" t="s">
        <v>733</v>
      </c>
      <c r="H1807" s="69" t="s">
        <v>1268</v>
      </c>
      <c r="I1807" s="68" t="s">
        <v>726</v>
      </c>
      <c r="J1807" s="70" t="s">
        <v>760</v>
      </c>
      <c r="K1807" s="71" t="s">
        <v>1267</v>
      </c>
      <c r="L1807" s="72">
        <v>41948</v>
      </c>
      <c r="M1807" s="73" t="s">
        <v>729</v>
      </c>
      <c r="N1807" s="74">
        <v>41963</v>
      </c>
      <c r="O1807" s="75">
        <f>+N1807</f>
        <v>41963</v>
      </c>
      <c r="P1807" s="2765" t="s">
        <v>1264</v>
      </c>
      <c r="Q1807" s="2954"/>
      <c r="R1807" s="76">
        <v>281.49</v>
      </c>
      <c r="S1807" s="1945" t="s">
        <v>731</v>
      </c>
      <c r="T1807" s="77"/>
      <c r="U1807" s="1893"/>
      <c r="V1807" s="2079">
        <f t="shared" si="438"/>
        <v>0</v>
      </c>
      <c r="W1807" s="78">
        <f t="shared" si="439"/>
        <v>332.15819999999997</v>
      </c>
      <c r="X1807" s="1878" t="str">
        <f t="shared" si="437"/>
        <v xml:space="preserve">6.- C Lima Caucho 0540610-OT_203528  Reencauche 030-0037560 </v>
      </c>
      <c r="Z1807" s="19" t="str">
        <f t="shared" si="447"/>
        <v>ReencaucheReencauchadora RENOVA</v>
      </c>
    </row>
    <row r="1808" spans="2:26" ht="15.2" customHeight="1" outlineLevel="1">
      <c r="B1808" s="37"/>
      <c r="C1808" s="2">
        <f>1+C1812</f>
        <v>228</v>
      </c>
      <c r="D1808" s="3">
        <f>1+D1812</f>
        <v>21</v>
      </c>
      <c r="E1808" s="66">
        <v>7</v>
      </c>
      <c r="F1808" s="67" t="s">
        <v>732</v>
      </c>
      <c r="G1808" s="68" t="s">
        <v>733</v>
      </c>
      <c r="H1808" s="69" t="s">
        <v>1269</v>
      </c>
      <c r="I1808" s="68" t="s">
        <v>726</v>
      </c>
      <c r="J1808" s="70" t="s">
        <v>760</v>
      </c>
      <c r="K1808" s="71" t="s">
        <v>1260</v>
      </c>
      <c r="L1808" s="72">
        <v>41948</v>
      </c>
      <c r="M1808" s="73" t="s">
        <v>729</v>
      </c>
      <c r="N1808" s="74">
        <v>41963</v>
      </c>
      <c r="O1808" s="75">
        <f>+N1808</f>
        <v>41963</v>
      </c>
      <c r="P1808" s="2765" t="s">
        <v>1264</v>
      </c>
      <c r="Q1808" s="2954"/>
      <c r="R1808" s="76">
        <v>281.49</v>
      </c>
      <c r="S1808" s="1945" t="s">
        <v>731</v>
      </c>
      <c r="T1808" s="77"/>
      <c r="U1808" s="1893"/>
      <c r="V1808" s="2079">
        <f t="shared" si="438"/>
        <v>0</v>
      </c>
      <c r="W1808" s="78">
        <f t="shared" si="439"/>
        <v>332.15819999999997</v>
      </c>
      <c r="X1808" s="1878" t="str">
        <f t="shared" si="437"/>
        <v xml:space="preserve">7.- C Lima Caucho 0710810-OT_203529  Reencauche 030-0037560 </v>
      </c>
      <c r="Z1808" s="19" t="str">
        <f t="shared" si="447"/>
        <v>ReencaucheReencauchadora RENOVA</v>
      </c>
    </row>
    <row r="1809" spans="2:26" ht="15.2" customHeight="1" outlineLevel="1">
      <c r="B1809" s="37"/>
      <c r="E1809" s="66">
        <v>8</v>
      </c>
      <c r="F1809" s="67" t="s">
        <v>732</v>
      </c>
      <c r="G1809" s="68" t="s">
        <v>733</v>
      </c>
      <c r="H1809" s="69" t="s">
        <v>990</v>
      </c>
      <c r="I1809" s="68" t="s">
        <v>726</v>
      </c>
      <c r="J1809" s="70" t="s">
        <v>760</v>
      </c>
      <c r="K1809" s="71" t="s">
        <v>1267</v>
      </c>
      <c r="L1809" s="72">
        <v>41948</v>
      </c>
      <c r="M1809" s="73" t="s">
        <v>729</v>
      </c>
      <c r="N1809" s="74">
        <v>41963</v>
      </c>
      <c r="O1809" s="75">
        <f>+N1809</f>
        <v>41963</v>
      </c>
      <c r="P1809" s="2765"/>
      <c r="Q1809" s="2954"/>
      <c r="R1809" s="76">
        <v>0</v>
      </c>
      <c r="S1809" s="1945" t="s">
        <v>731</v>
      </c>
      <c r="T1809" s="1875" t="s">
        <v>1270</v>
      </c>
      <c r="U1809" s="1920"/>
      <c r="V1809" s="2079">
        <f t="shared" si="438"/>
        <v>0</v>
      </c>
      <c r="W1809" s="78">
        <f t="shared" si="439"/>
        <v>0</v>
      </c>
      <c r="X1809" s="1878" t="str">
        <f t="shared" si="437"/>
        <v>8.- C Lima Caucho 0220207-OT_203528  Reencauche  Rechazada, Guia 030-0043599</v>
      </c>
      <c r="Z1809" s="19" t="str">
        <f t="shared" si="447"/>
        <v>ReencaucheReencauchadora RENOVA</v>
      </c>
    </row>
    <row r="1810" spans="2:26" ht="15.2" customHeight="1" outlineLevel="1">
      <c r="B1810" s="37"/>
      <c r="E1810" s="66">
        <v>9</v>
      </c>
      <c r="F1810" s="67" t="s">
        <v>732</v>
      </c>
      <c r="G1810" s="68" t="s">
        <v>733</v>
      </c>
      <c r="H1810" s="69" t="s">
        <v>1239</v>
      </c>
      <c r="I1810" s="68" t="s">
        <v>726</v>
      </c>
      <c r="J1810" s="70" t="s">
        <v>760</v>
      </c>
      <c r="K1810" s="71" t="s">
        <v>1267</v>
      </c>
      <c r="L1810" s="72">
        <v>41948</v>
      </c>
      <c r="M1810" s="73" t="s">
        <v>729</v>
      </c>
      <c r="N1810" s="74">
        <v>41963</v>
      </c>
      <c r="O1810" s="75">
        <f>+N1810</f>
        <v>41963</v>
      </c>
      <c r="P1810" s="2765"/>
      <c r="Q1810" s="2954"/>
      <c r="R1810" s="76">
        <v>0</v>
      </c>
      <c r="S1810" s="1945" t="s">
        <v>731</v>
      </c>
      <c r="T1810" s="1875" t="s">
        <v>1270</v>
      </c>
      <c r="U1810" s="1920"/>
      <c r="V1810" s="2079">
        <f t="shared" si="438"/>
        <v>0</v>
      </c>
      <c r="W1810" s="78">
        <f t="shared" si="439"/>
        <v>0</v>
      </c>
      <c r="X1810" s="1878" t="str">
        <f t="shared" si="437"/>
        <v>9.- C Lima Caucho 0080107-OT_203528  Reencauche  Rechazada, Guia 030-0043599</v>
      </c>
      <c r="Z1810" s="19" t="str">
        <f t="shared" si="447"/>
        <v>ReencaucheReencauchadora RENOVA</v>
      </c>
    </row>
    <row r="1811" spans="2:26" ht="15.2" customHeight="1" outlineLevel="1">
      <c r="B1811" s="37"/>
      <c r="E1811" s="66">
        <v>10</v>
      </c>
      <c r="F1811" s="162" t="s">
        <v>732</v>
      </c>
      <c r="G1811" s="163" t="s">
        <v>737</v>
      </c>
      <c r="H1811" s="164" t="s">
        <v>1003</v>
      </c>
      <c r="I1811" s="163" t="s">
        <v>726</v>
      </c>
      <c r="J1811" s="165" t="s">
        <v>760</v>
      </c>
      <c r="K1811" s="166" t="s">
        <v>1260</v>
      </c>
      <c r="L1811" s="167">
        <v>41948</v>
      </c>
      <c r="M1811" s="168" t="s">
        <v>729</v>
      </c>
      <c r="N1811" s="169">
        <v>41963</v>
      </c>
      <c r="O1811" s="170">
        <f>+N1811</f>
        <v>41963</v>
      </c>
      <c r="P1811" s="2780"/>
      <c r="Q1811" s="2969"/>
      <c r="R1811" s="171">
        <v>0</v>
      </c>
      <c r="S1811" s="1951" t="s">
        <v>731</v>
      </c>
      <c r="T1811" s="1875" t="s">
        <v>1270</v>
      </c>
      <c r="U1811" s="1920"/>
      <c r="V1811" s="2079">
        <f t="shared" si="438"/>
        <v>0</v>
      </c>
      <c r="W1811" s="78">
        <f t="shared" si="439"/>
        <v>0</v>
      </c>
      <c r="X1811" s="1878" t="str">
        <f t="shared" si="437"/>
        <v>10.- C Vikrant 1451105-OT_203529  Reencauche  Rechazada, Guia 030-0043599</v>
      </c>
      <c r="Z1811" s="19" t="str">
        <f t="shared" si="447"/>
        <v>ReencaucheReencauchadora RENOVA</v>
      </c>
    </row>
    <row r="1812" spans="2:26" ht="15.2" customHeight="1" outlineLevel="1">
      <c r="B1812" s="37"/>
      <c r="C1812" s="2">
        <f t="shared" ref="C1812:C1830" si="449">1+C1813</f>
        <v>227</v>
      </c>
      <c r="D1812" s="3">
        <f t="shared" ref="D1812:D1830" si="450">1+D1813</f>
        <v>20</v>
      </c>
      <c r="E1812" s="66">
        <v>11</v>
      </c>
      <c r="F1812" s="67" t="s">
        <v>732</v>
      </c>
      <c r="G1812" s="68" t="s">
        <v>737</v>
      </c>
      <c r="H1812" s="69" t="s">
        <v>1271</v>
      </c>
      <c r="I1812" s="68" t="s">
        <v>726</v>
      </c>
      <c r="J1812" s="70" t="s">
        <v>760</v>
      </c>
      <c r="K1812" s="71" t="s">
        <v>1262</v>
      </c>
      <c r="L1812" s="72">
        <v>41948</v>
      </c>
      <c r="M1812" s="73" t="s">
        <v>729</v>
      </c>
      <c r="N1812" s="74">
        <v>41956</v>
      </c>
      <c r="O1812" s="75">
        <v>41956</v>
      </c>
      <c r="P1812" s="2765" t="s">
        <v>1272</v>
      </c>
      <c r="Q1812" s="2954"/>
      <c r="R1812" s="76">
        <v>281.49</v>
      </c>
      <c r="S1812" s="1945" t="s">
        <v>731</v>
      </c>
      <c r="T1812" s="77"/>
      <c r="U1812" s="1893"/>
      <c r="V1812" s="2079">
        <f t="shared" si="438"/>
        <v>0</v>
      </c>
      <c r="W1812" s="78">
        <f t="shared" si="439"/>
        <v>332.15819999999997</v>
      </c>
      <c r="X1812" s="1878" t="str">
        <f t="shared" si="437"/>
        <v xml:space="preserve">11.- C Vikrant 0030312-OT_203527  Reencauche 030-0037457 </v>
      </c>
      <c r="Z1812" s="19" t="str">
        <f t="shared" si="447"/>
        <v>ReencaucheReencauchadora RENOVA</v>
      </c>
    </row>
    <row r="1813" spans="2:26" ht="15.2" customHeight="1" outlineLevel="1">
      <c r="B1813" s="37"/>
      <c r="C1813" s="2">
        <f t="shared" si="449"/>
        <v>226</v>
      </c>
      <c r="D1813" s="3">
        <f t="shared" si="450"/>
        <v>19</v>
      </c>
      <c r="E1813" s="66">
        <v>12</v>
      </c>
      <c r="F1813" s="67" t="s">
        <v>732</v>
      </c>
      <c r="G1813" s="68" t="s">
        <v>737</v>
      </c>
      <c r="H1813" s="69" t="s">
        <v>1273</v>
      </c>
      <c r="I1813" s="68" t="s">
        <v>726</v>
      </c>
      <c r="J1813" s="70" t="s">
        <v>760</v>
      </c>
      <c r="K1813" s="71" t="s">
        <v>1262</v>
      </c>
      <c r="L1813" s="72">
        <v>41948</v>
      </c>
      <c r="M1813" s="73" t="s">
        <v>729</v>
      </c>
      <c r="N1813" s="74">
        <v>41956</v>
      </c>
      <c r="O1813" s="75">
        <v>41956</v>
      </c>
      <c r="P1813" s="2765" t="s">
        <v>1272</v>
      </c>
      <c r="Q1813" s="2954"/>
      <c r="R1813" s="76">
        <v>281.49</v>
      </c>
      <c r="S1813" s="1945" t="s">
        <v>731</v>
      </c>
      <c r="T1813" s="77"/>
      <c r="U1813" s="1893"/>
      <c r="V1813" s="2079">
        <f t="shared" si="438"/>
        <v>0</v>
      </c>
      <c r="W1813" s="78">
        <f t="shared" si="439"/>
        <v>332.15819999999997</v>
      </c>
      <c r="X1813" s="1878" t="str">
        <f t="shared" si="437"/>
        <v xml:space="preserve">12.- C Vikrant 0370510-OT_203527  Reencauche 030-0037457 </v>
      </c>
      <c r="Z1813" s="19" t="str">
        <f t="shared" si="447"/>
        <v>ReencaucheReencauchadora RENOVA</v>
      </c>
    </row>
    <row r="1814" spans="2:26" ht="15.2" customHeight="1" outlineLevel="1">
      <c r="B1814" s="37"/>
      <c r="C1814" s="2">
        <f t="shared" si="449"/>
        <v>225</v>
      </c>
      <c r="D1814" s="3">
        <f t="shared" si="450"/>
        <v>18</v>
      </c>
      <c r="E1814" s="66">
        <v>13</v>
      </c>
      <c r="F1814" s="67" t="s">
        <v>732</v>
      </c>
      <c r="G1814" s="68" t="s">
        <v>737</v>
      </c>
      <c r="H1814" s="69" t="s">
        <v>1274</v>
      </c>
      <c r="I1814" s="68" t="s">
        <v>726</v>
      </c>
      <c r="J1814" s="70" t="s">
        <v>760</v>
      </c>
      <c r="K1814" s="71" t="s">
        <v>1262</v>
      </c>
      <c r="L1814" s="72">
        <v>41948</v>
      </c>
      <c r="M1814" s="73" t="s">
        <v>729</v>
      </c>
      <c r="N1814" s="74">
        <v>41956</v>
      </c>
      <c r="O1814" s="75">
        <v>41956</v>
      </c>
      <c r="P1814" s="2765" t="s">
        <v>1272</v>
      </c>
      <c r="Q1814" s="2954"/>
      <c r="R1814" s="76">
        <v>281.49</v>
      </c>
      <c r="S1814" s="1945" t="s">
        <v>731</v>
      </c>
      <c r="T1814" s="77"/>
      <c r="U1814" s="1893"/>
      <c r="V1814" s="2079">
        <f t="shared" si="438"/>
        <v>0</v>
      </c>
      <c r="W1814" s="78">
        <f t="shared" si="439"/>
        <v>332.15819999999997</v>
      </c>
      <c r="X1814" s="1878" t="str">
        <f t="shared" si="437"/>
        <v xml:space="preserve">13.- C Vikrant 0250211-OT_203527  Reencauche 030-0037457 </v>
      </c>
      <c r="Z1814" s="19" t="str">
        <f t="shared" si="447"/>
        <v>ReencaucheReencauchadora RENOVA</v>
      </c>
    </row>
    <row r="1815" spans="2:26" ht="15.2" customHeight="1" outlineLevel="1">
      <c r="B1815" s="37"/>
      <c r="C1815" s="2">
        <f t="shared" si="449"/>
        <v>224</v>
      </c>
      <c r="D1815" s="3">
        <f t="shared" si="450"/>
        <v>17</v>
      </c>
      <c r="E1815" s="66">
        <v>14</v>
      </c>
      <c r="F1815" s="67" t="s">
        <v>732</v>
      </c>
      <c r="G1815" s="68" t="s">
        <v>733</v>
      </c>
      <c r="H1815" s="69" t="s">
        <v>1275</v>
      </c>
      <c r="I1815" s="68" t="s">
        <v>726</v>
      </c>
      <c r="J1815" s="70" t="s">
        <v>760</v>
      </c>
      <c r="K1815" s="71" t="s">
        <v>1267</v>
      </c>
      <c r="L1815" s="72">
        <v>41948</v>
      </c>
      <c r="M1815" s="73" t="s">
        <v>729</v>
      </c>
      <c r="N1815" s="74">
        <v>41956</v>
      </c>
      <c r="O1815" s="75">
        <f>+N1815</f>
        <v>41956</v>
      </c>
      <c r="P1815" s="2765" t="s">
        <v>1272</v>
      </c>
      <c r="Q1815" s="2954"/>
      <c r="R1815" s="76">
        <v>281.49</v>
      </c>
      <c r="S1815" s="1945" t="s">
        <v>731</v>
      </c>
      <c r="T1815" s="77"/>
      <c r="U1815" s="1893"/>
      <c r="V1815" s="2079">
        <f t="shared" si="438"/>
        <v>0</v>
      </c>
      <c r="W1815" s="78">
        <f t="shared" si="439"/>
        <v>332.15819999999997</v>
      </c>
      <c r="X1815" s="1878" t="str">
        <f t="shared" si="437"/>
        <v xml:space="preserve">14.- C Lima Caucho 0760908-OT_203528  Reencauche 030-0037457 </v>
      </c>
      <c r="Z1815" s="19" t="str">
        <f t="shared" si="447"/>
        <v>ReencaucheReencauchadora RENOVA</v>
      </c>
    </row>
    <row r="1816" spans="2:26" ht="15.2" customHeight="1" outlineLevel="1">
      <c r="B1816" s="37"/>
      <c r="C1816" s="2">
        <f t="shared" si="449"/>
        <v>223</v>
      </c>
      <c r="D1816" s="3">
        <f t="shared" si="450"/>
        <v>16</v>
      </c>
      <c r="E1816" s="66">
        <v>15</v>
      </c>
      <c r="F1816" s="67" t="s">
        <v>732</v>
      </c>
      <c r="G1816" s="68" t="s">
        <v>733</v>
      </c>
      <c r="H1816" s="69" t="s">
        <v>1276</v>
      </c>
      <c r="I1816" s="68" t="s">
        <v>726</v>
      </c>
      <c r="J1816" s="70" t="s">
        <v>760</v>
      </c>
      <c r="K1816" s="71" t="s">
        <v>1267</v>
      </c>
      <c r="L1816" s="72">
        <v>41948</v>
      </c>
      <c r="M1816" s="73" t="s">
        <v>729</v>
      </c>
      <c r="N1816" s="74">
        <v>41956</v>
      </c>
      <c r="O1816" s="75">
        <v>41956</v>
      </c>
      <c r="P1816" s="2765" t="s">
        <v>1272</v>
      </c>
      <c r="Q1816" s="2954"/>
      <c r="R1816" s="76">
        <v>281.49</v>
      </c>
      <c r="S1816" s="1945" t="s">
        <v>731</v>
      </c>
      <c r="T1816" s="77"/>
      <c r="U1816" s="1893"/>
      <c r="V1816" s="2079">
        <f t="shared" si="438"/>
        <v>0</v>
      </c>
      <c r="W1816" s="78">
        <f t="shared" si="439"/>
        <v>332.15819999999997</v>
      </c>
      <c r="X1816" s="1878" t="str">
        <f t="shared" si="437"/>
        <v xml:space="preserve">15.- C Lima Caucho 0070107-OT_203528  Reencauche 030-0037457 </v>
      </c>
      <c r="Z1816" s="19" t="str">
        <f t="shared" si="447"/>
        <v>ReencaucheReencauchadora RENOVA</v>
      </c>
    </row>
    <row r="1817" spans="2:26" ht="15.2" customHeight="1" outlineLevel="1">
      <c r="B1817" s="37"/>
      <c r="C1817" s="2">
        <f t="shared" si="449"/>
        <v>222</v>
      </c>
      <c r="D1817" s="3">
        <f t="shared" si="450"/>
        <v>15</v>
      </c>
      <c r="E1817" s="66">
        <v>16</v>
      </c>
      <c r="F1817" s="67" t="s">
        <v>732</v>
      </c>
      <c r="G1817" s="68" t="s">
        <v>733</v>
      </c>
      <c r="H1817" s="69" t="s">
        <v>753</v>
      </c>
      <c r="I1817" s="68" t="s">
        <v>726</v>
      </c>
      <c r="J1817" s="70" t="s">
        <v>760</v>
      </c>
      <c r="K1817" s="71" t="s">
        <v>1267</v>
      </c>
      <c r="L1817" s="72">
        <v>41948</v>
      </c>
      <c r="M1817" s="73" t="s">
        <v>729</v>
      </c>
      <c r="N1817" s="74">
        <v>41956</v>
      </c>
      <c r="O1817" s="75">
        <v>41956</v>
      </c>
      <c r="P1817" s="2765" t="s">
        <v>1272</v>
      </c>
      <c r="Q1817" s="2954"/>
      <c r="R1817" s="76">
        <v>281.49</v>
      </c>
      <c r="S1817" s="1945" t="s">
        <v>731</v>
      </c>
      <c r="T1817" s="77"/>
      <c r="U1817" s="1893"/>
      <c r="V1817" s="2079">
        <f t="shared" si="438"/>
        <v>0</v>
      </c>
      <c r="W1817" s="78">
        <f t="shared" si="439"/>
        <v>332.15819999999997</v>
      </c>
      <c r="X1817" s="1878" t="str">
        <f t="shared" si="437"/>
        <v xml:space="preserve">16.- C Lima Caucho 0950908-OT_203528  Reencauche 030-0037457 </v>
      </c>
      <c r="Z1817" s="19" t="str">
        <f t="shared" si="447"/>
        <v>ReencaucheReencauchadora RENOVA</v>
      </c>
    </row>
    <row r="1818" spans="2:26" ht="15.2" customHeight="1" outlineLevel="1">
      <c r="B1818" s="37"/>
      <c r="C1818" s="2">
        <f t="shared" si="449"/>
        <v>221</v>
      </c>
      <c r="D1818" s="3">
        <f t="shared" si="450"/>
        <v>14</v>
      </c>
      <c r="E1818" s="66">
        <v>17</v>
      </c>
      <c r="F1818" s="67" t="s">
        <v>732</v>
      </c>
      <c r="G1818" s="68" t="s">
        <v>733</v>
      </c>
      <c r="H1818" s="69" t="s">
        <v>818</v>
      </c>
      <c r="I1818" s="68" t="s">
        <v>726</v>
      </c>
      <c r="J1818" s="70" t="s">
        <v>760</v>
      </c>
      <c r="K1818" s="71" t="s">
        <v>1267</v>
      </c>
      <c r="L1818" s="72">
        <v>41948</v>
      </c>
      <c r="M1818" s="73" t="s">
        <v>729</v>
      </c>
      <c r="N1818" s="74">
        <v>41956</v>
      </c>
      <c r="O1818" s="75">
        <v>41956</v>
      </c>
      <c r="P1818" s="2765" t="s">
        <v>1272</v>
      </c>
      <c r="Q1818" s="2954"/>
      <c r="R1818" s="76">
        <v>281.49</v>
      </c>
      <c r="S1818" s="1945" t="s">
        <v>731</v>
      </c>
      <c r="T1818" s="77"/>
      <c r="U1818" s="1893"/>
      <c r="V1818" s="2079">
        <f t="shared" si="438"/>
        <v>0</v>
      </c>
      <c r="W1818" s="78">
        <f t="shared" si="439"/>
        <v>332.15819999999997</v>
      </c>
      <c r="X1818" s="1878" t="str">
        <f t="shared" si="437"/>
        <v xml:space="preserve">17.- C Lima Caucho 0590708-OT_203528  Reencauche 030-0037457 </v>
      </c>
      <c r="Z1818" s="19" t="str">
        <f t="shared" si="447"/>
        <v>ReencaucheReencauchadora RENOVA</v>
      </c>
    </row>
    <row r="1819" spans="2:26" ht="15.2" customHeight="1" outlineLevel="1">
      <c r="B1819" s="37"/>
      <c r="C1819" s="2">
        <f t="shared" si="449"/>
        <v>220</v>
      </c>
      <c r="D1819" s="3">
        <f t="shared" si="450"/>
        <v>13</v>
      </c>
      <c r="E1819" s="66">
        <v>18</v>
      </c>
      <c r="F1819" s="162" t="s">
        <v>732</v>
      </c>
      <c r="G1819" s="163" t="s">
        <v>733</v>
      </c>
      <c r="H1819" s="164" t="s">
        <v>806</v>
      </c>
      <c r="I1819" s="163" t="s">
        <v>726</v>
      </c>
      <c r="J1819" s="165" t="s">
        <v>760</v>
      </c>
      <c r="K1819" s="166" t="s">
        <v>1260</v>
      </c>
      <c r="L1819" s="167">
        <v>41948</v>
      </c>
      <c r="M1819" s="168" t="s">
        <v>729</v>
      </c>
      <c r="N1819" s="169">
        <v>41956</v>
      </c>
      <c r="O1819" s="170">
        <v>41956</v>
      </c>
      <c r="P1819" s="2780" t="s">
        <v>1272</v>
      </c>
      <c r="Q1819" s="2969"/>
      <c r="R1819" s="171">
        <v>281.49</v>
      </c>
      <c r="S1819" s="1951" t="s">
        <v>731</v>
      </c>
      <c r="T1819" s="77"/>
      <c r="U1819" s="1893"/>
      <c r="V1819" s="2079">
        <f t="shared" si="438"/>
        <v>0</v>
      </c>
      <c r="W1819" s="78">
        <f t="shared" si="439"/>
        <v>332.15819999999997</v>
      </c>
      <c r="X1819" s="1878" t="str">
        <f t="shared" si="437"/>
        <v xml:space="preserve">18.- C Lima Caucho 0840908-OT_203529  Reencauche 030-0037457 </v>
      </c>
      <c r="Z1819" s="19" t="str">
        <f t="shared" si="447"/>
        <v>ReencaucheReencauchadora RENOVA</v>
      </c>
    </row>
    <row r="1820" spans="2:26" ht="15.2" customHeight="1" outlineLevel="1">
      <c r="B1820" s="37"/>
      <c r="C1820" s="2">
        <f t="shared" si="449"/>
        <v>219</v>
      </c>
      <c r="D1820" s="3">
        <f t="shared" si="450"/>
        <v>12</v>
      </c>
      <c r="E1820" s="66">
        <v>19</v>
      </c>
      <c r="F1820" s="67" t="s">
        <v>732</v>
      </c>
      <c r="G1820" s="68" t="s">
        <v>737</v>
      </c>
      <c r="H1820" s="69" t="s">
        <v>1277</v>
      </c>
      <c r="I1820" s="68" t="s">
        <v>726</v>
      </c>
      <c r="J1820" s="70" t="s">
        <v>760</v>
      </c>
      <c r="K1820" s="71" t="s">
        <v>1262</v>
      </c>
      <c r="L1820" s="72">
        <v>41948</v>
      </c>
      <c r="M1820" s="73" t="s">
        <v>729</v>
      </c>
      <c r="N1820" s="74">
        <v>41954</v>
      </c>
      <c r="O1820" s="75">
        <v>41954</v>
      </c>
      <c r="P1820" s="2765" t="s">
        <v>1278</v>
      </c>
      <c r="Q1820" s="2954"/>
      <c r="R1820" s="76">
        <v>281.49</v>
      </c>
      <c r="S1820" s="1945" t="s">
        <v>731</v>
      </c>
      <c r="T1820" s="77"/>
      <c r="U1820" s="1893"/>
      <c r="V1820" s="2079">
        <f t="shared" si="438"/>
        <v>0</v>
      </c>
      <c r="W1820" s="78">
        <f t="shared" si="439"/>
        <v>332.15819999999997</v>
      </c>
      <c r="X1820" s="1878" t="str">
        <f t="shared" si="437"/>
        <v xml:space="preserve">19.- C Vikrant 1070705-OT_203527  Reencauche 030-0043336 </v>
      </c>
      <c r="Z1820" s="19" t="str">
        <f t="shared" si="447"/>
        <v>ReencaucheReencauchadora RENOVA</v>
      </c>
    </row>
    <row r="1821" spans="2:26" ht="15.2" customHeight="1" outlineLevel="1">
      <c r="B1821" s="37"/>
      <c r="C1821" s="2">
        <f t="shared" si="449"/>
        <v>218</v>
      </c>
      <c r="D1821" s="3">
        <f t="shared" si="450"/>
        <v>11</v>
      </c>
      <c r="E1821" s="66">
        <v>20</v>
      </c>
      <c r="F1821" s="67" t="s">
        <v>732</v>
      </c>
      <c r="G1821" s="68" t="s">
        <v>737</v>
      </c>
      <c r="H1821" s="69" t="s">
        <v>1279</v>
      </c>
      <c r="I1821" s="68" t="s">
        <v>726</v>
      </c>
      <c r="J1821" s="70" t="s">
        <v>760</v>
      </c>
      <c r="K1821" s="71" t="s">
        <v>1262</v>
      </c>
      <c r="L1821" s="72">
        <v>41948</v>
      </c>
      <c r="M1821" s="73" t="s">
        <v>729</v>
      </c>
      <c r="N1821" s="74">
        <v>41954</v>
      </c>
      <c r="O1821" s="75">
        <v>41954</v>
      </c>
      <c r="P1821" s="2765" t="s">
        <v>1278</v>
      </c>
      <c r="Q1821" s="2954"/>
      <c r="R1821" s="76">
        <v>281.49</v>
      </c>
      <c r="S1821" s="1945" t="s">
        <v>731</v>
      </c>
      <c r="T1821" s="77"/>
      <c r="U1821" s="1893"/>
      <c r="V1821" s="2079">
        <f t="shared" si="438"/>
        <v>0</v>
      </c>
      <c r="W1821" s="78">
        <f t="shared" si="439"/>
        <v>332.15819999999997</v>
      </c>
      <c r="X1821" s="1878" t="str">
        <f t="shared" si="437"/>
        <v xml:space="preserve">20.- C Vikrant 0190111-OT_203527  Reencauche 030-0043336 </v>
      </c>
      <c r="Z1821" s="19" t="str">
        <f t="shared" si="447"/>
        <v>ReencaucheReencauchadora RENOVA</v>
      </c>
    </row>
    <row r="1822" spans="2:26" ht="15.2" customHeight="1" outlineLevel="1">
      <c r="B1822" s="37"/>
      <c r="C1822" s="2">
        <f t="shared" si="449"/>
        <v>217</v>
      </c>
      <c r="D1822" s="3">
        <f t="shared" si="450"/>
        <v>10</v>
      </c>
      <c r="E1822" s="66">
        <v>21</v>
      </c>
      <c r="F1822" s="67" t="s">
        <v>732</v>
      </c>
      <c r="G1822" s="68" t="s">
        <v>737</v>
      </c>
      <c r="H1822" s="69" t="s">
        <v>1280</v>
      </c>
      <c r="I1822" s="68" t="s">
        <v>726</v>
      </c>
      <c r="J1822" s="70" t="s">
        <v>760</v>
      </c>
      <c r="K1822" s="71" t="s">
        <v>1262</v>
      </c>
      <c r="L1822" s="72">
        <v>41948</v>
      </c>
      <c r="M1822" s="73" t="s">
        <v>729</v>
      </c>
      <c r="N1822" s="74">
        <v>41954</v>
      </c>
      <c r="O1822" s="75">
        <v>41954</v>
      </c>
      <c r="P1822" s="2765" t="s">
        <v>1278</v>
      </c>
      <c r="Q1822" s="2954"/>
      <c r="R1822" s="76">
        <v>281.49</v>
      </c>
      <c r="S1822" s="1945" t="s">
        <v>731</v>
      </c>
      <c r="T1822" s="77"/>
      <c r="U1822" s="1893"/>
      <c r="V1822" s="2079">
        <f t="shared" si="438"/>
        <v>0</v>
      </c>
      <c r="W1822" s="78">
        <f t="shared" si="439"/>
        <v>332.15819999999997</v>
      </c>
      <c r="X1822" s="1878" t="str">
        <f t="shared" si="437"/>
        <v xml:space="preserve">21.- C Vikrant 0410506-OT_203527  Reencauche 030-0043336 </v>
      </c>
      <c r="Z1822" s="19" t="str">
        <f t="shared" si="447"/>
        <v>ReencaucheReencauchadora RENOVA</v>
      </c>
    </row>
    <row r="1823" spans="2:26" ht="15.2" customHeight="1" outlineLevel="1">
      <c r="B1823" s="37"/>
      <c r="C1823" s="2">
        <f t="shared" si="449"/>
        <v>216</v>
      </c>
      <c r="D1823" s="3">
        <f t="shared" si="450"/>
        <v>9</v>
      </c>
      <c r="E1823" s="66">
        <v>22</v>
      </c>
      <c r="F1823" s="67" t="s">
        <v>732</v>
      </c>
      <c r="G1823" s="68" t="s">
        <v>737</v>
      </c>
      <c r="H1823" s="69" t="s">
        <v>1257</v>
      </c>
      <c r="I1823" s="68" t="s">
        <v>726</v>
      </c>
      <c r="J1823" s="70" t="s">
        <v>760</v>
      </c>
      <c r="K1823" s="71" t="s">
        <v>1262</v>
      </c>
      <c r="L1823" s="72">
        <v>41948</v>
      </c>
      <c r="M1823" s="73" t="s">
        <v>729</v>
      </c>
      <c r="N1823" s="74">
        <v>41954</v>
      </c>
      <c r="O1823" s="75">
        <v>41954</v>
      </c>
      <c r="P1823" s="2765" t="s">
        <v>1278</v>
      </c>
      <c r="Q1823" s="2954"/>
      <c r="R1823" s="76">
        <v>281.49</v>
      </c>
      <c r="S1823" s="1945" t="s">
        <v>731</v>
      </c>
      <c r="T1823" s="77"/>
      <c r="U1823" s="1893"/>
      <c r="V1823" s="2079">
        <f t="shared" si="438"/>
        <v>0</v>
      </c>
      <c r="W1823" s="78">
        <f t="shared" si="439"/>
        <v>332.15819999999997</v>
      </c>
      <c r="X1823" s="1878" t="str">
        <f t="shared" si="437"/>
        <v xml:space="preserve">22.- C Vikrant 0170111-OT_203527  Reencauche 030-0043336 </v>
      </c>
      <c r="Z1823" s="19" t="str">
        <f t="shared" si="447"/>
        <v>ReencaucheReencauchadora RENOVA</v>
      </c>
    </row>
    <row r="1824" spans="2:26" ht="15.2" customHeight="1" outlineLevel="1">
      <c r="B1824" s="37"/>
      <c r="C1824" s="2">
        <f t="shared" si="449"/>
        <v>215</v>
      </c>
      <c r="D1824" s="3">
        <f t="shared" si="450"/>
        <v>8</v>
      </c>
      <c r="E1824" s="66">
        <v>23</v>
      </c>
      <c r="F1824" s="67" t="s">
        <v>732</v>
      </c>
      <c r="G1824" s="68" t="s">
        <v>733</v>
      </c>
      <c r="H1824" s="69" t="s">
        <v>1281</v>
      </c>
      <c r="I1824" s="68" t="s">
        <v>726</v>
      </c>
      <c r="J1824" s="70" t="s">
        <v>760</v>
      </c>
      <c r="K1824" s="71" t="s">
        <v>1267</v>
      </c>
      <c r="L1824" s="72">
        <v>41948</v>
      </c>
      <c r="M1824" s="73" t="s">
        <v>729</v>
      </c>
      <c r="N1824" s="74">
        <v>41954</v>
      </c>
      <c r="O1824" s="75">
        <v>41954</v>
      </c>
      <c r="P1824" s="2765" t="s">
        <v>1278</v>
      </c>
      <c r="Q1824" s="2954"/>
      <c r="R1824" s="76">
        <v>281.49</v>
      </c>
      <c r="S1824" s="1945" t="s">
        <v>731</v>
      </c>
      <c r="T1824" s="77"/>
      <c r="U1824" s="1893"/>
      <c r="V1824" s="2079">
        <f t="shared" si="438"/>
        <v>0</v>
      </c>
      <c r="W1824" s="78">
        <f t="shared" si="439"/>
        <v>332.15819999999997</v>
      </c>
      <c r="X1824" s="1878" t="str">
        <f t="shared" si="437"/>
        <v xml:space="preserve">23.- C Lima Caucho 0650810-OT_203528  Reencauche 030-0043336 </v>
      </c>
      <c r="Z1824" s="19" t="str">
        <f t="shared" si="447"/>
        <v>ReencaucheReencauchadora RENOVA</v>
      </c>
    </row>
    <row r="1825" spans="2:26" ht="15.2" customHeight="1" outlineLevel="1">
      <c r="B1825" s="37"/>
      <c r="C1825" s="2">
        <f t="shared" si="449"/>
        <v>214</v>
      </c>
      <c r="D1825" s="3">
        <f t="shared" si="450"/>
        <v>7</v>
      </c>
      <c r="E1825" s="66">
        <v>24</v>
      </c>
      <c r="F1825" s="67" t="s">
        <v>732</v>
      </c>
      <c r="G1825" s="68" t="s">
        <v>733</v>
      </c>
      <c r="H1825" s="69" t="s">
        <v>772</v>
      </c>
      <c r="I1825" s="68" t="s">
        <v>726</v>
      </c>
      <c r="J1825" s="70" t="s">
        <v>760</v>
      </c>
      <c r="K1825" s="71" t="s">
        <v>1267</v>
      </c>
      <c r="L1825" s="72">
        <v>41948</v>
      </c>
      <c r="M1825" s="73" t="s">
        <v>729</v>
      </c>
      <c r="N1825" s="74">
        <v>41954</v>
      </c>
      <c r="O1825" s="75">
        <f>+N1825</f>
        <v>41954</v>
      </c>
      <c r="P1825" s="2765" t="s">
        <v>1278</v>
      </c>
      <c r="Q1825" s="2954"/>
      <c r="R1825" s="76">
        <v>281.49</v>
      </c>
      <c r="S1825" s="1945" t="s">
        <v>731</v>
      </c>
      <c r="T1825" s="77"/>
      <c r="U1825" s="1893"/>
      <c r="V1825" s="2079">
        <f t="shared" si="438"/>
        <v>0</v>
      </c>
      <c r="W1825" s="78">
        <f t="shared" si="439"/>
        <v>332.15819999999997</v>
      </c>
      <c r="X1825" s="1878" t="str">
        <f t="shared" si="437"/>
        <v xml:space="preserve">24.- C Lima Caucho 1181210-OT_203528  Reencauche 030-0043336 </v>
      </c>
      <c r="Z1825" s="19" t="str">
        <f t="shared" si="447"/>
        <v>ReencaucheReenc. MASTERCAUCHO</v>
      </c>
    </row>
    <row r="1826" spans="2:26" ht="15.2" customHeight="1" outlineLevel="1">
      <c r="B1826" s="37"/>
      <c r="C1826" s="2">
        <f t="shared" si="449"/>
        <v>213</v>
      </c>
      <c r="D1826" s="3">
        <f t="shared" si="450"/>
        <v>6</v>
      </c>
      <c r="E1826" s="66">
        <v>25</v>
      </c>
      <c r="F1826" s="67" t="s">
        <v>732</v>
      </c>
      <c r="G1826" s="68" t="s">
        <v>737</v>
      </c>
      <c r="H1826" s="69" t="s">
        <v>1282</v>
      </c>
      <c r="I1826" s="68" t="s">
        <v>726</v>
      </c>
      <c r="J1826" s="70" t="s">
        <v>760</v>
      </c>
      <c r="K1826" s="71" t="s">
        <v>1260</v>
      </c>
      <c r="L1826" s="72">
        <v>41948</v>
      </c>
      <c r="M1826" s="73" t="s">
        <v>729</v>
      </c>
      <c r="N1826" s="74">
        <v>41954</v>
      </c>
      <c r="O1826" s="75">
        <v>41954</v>
      </c>
      <c r="P1826" s="2765" t="s">
        <v>1278</v>
      </c>
      <c r="Q1826" s="2954"/>
      <c r="R1826" s="76">
        <v>281.49</v>
      </c>
      <c r="S1826" s="1945" t="s">
        <v>731</v>
      </c>
      <c r="T1826" s="77"/>
      <c r="U1826" s="1893"/>
      <c r="V1826" s="2079">
        <f t="shared" si="438"/>
        <v>0</v>
      </c>
      <c r="W1826" s="78">
        <f t="shared" si="439"/>
        <v>332.15819999999997</v>
      </c>
      <c r="X1826" s="1878" t="str">
        <f t="shared" ref="X1826:X1889" si="451">CONCATENATE(E1826,".- ",F1826," ",G1826," ",H1826,"-OT_",K1826," "," ",I1826," ",P1826," ",T1826)</f>
        <v xml:space="preserve">25.- C Vikrant 0140310-OT_203529  Reencauche 030-0043336 </v>
      </c>
      <c r="Z1826" s="19" t="str">
        <f t="shared" si="447"/>
        <v>ReencaucheReenc. MASTERCAUCHO</v>
      </c>
    </row>
    <row r="1827" spans="2:26" ht="15.2" customHeight="1" outlineLevel="1">
      <c r="B1827" s="37"/>
      <c r="C1827" s="2">
        <f t="shared" si="449"/>
        <v>212</v>
      </c>
      <c r="D1827" s="3">
        <f t="shared" si="450"/>
        <v>5</v>
      </c>
      <c r="E1827" s="79">
        <v>26</v>
      </c>
      <c r="F1827" s="80" t="s">
        <v>732</v>
      </c>
      <c r="G1827" s="81" t="s">
        <v>733</v>
      </c>
      <c r="H1827" s="82" t="s">
        <v>1284</v>
      </c>
      <c r="I1827" s="81" t="s">
        <v>726</v>
      </c>
      <c r="J1827" s="83" t="s">
        <v>760</v>
      </c>
      <c r="K1827" s="84" t="s">
        <v>1260</v>
      </c>
      <c r="L1827" s="85">
        <v>41948</v>
      </c>
      <c r="M1827" s="86" t="s">
        <v>729</v>
      </c>
      <c r="N1827" s="87">
        <v>41954</v>
      </c>
      <c r="O1827" s="88">
        <v>41954</v>
      </c>
      <c r="P1827" s="2766" t="s">
        <v>1278</v>
      </c>
      <c r="Q1827" s="2955"/>
      <c r="R1827" s="89">
        <v>281.49</v>
      </c>
      <c r="S1827" s="1946" t="s">
        <v>731</v>
      </c>
      <c r="T1827" s="77"/>
      <c r="U1827" s="1893"/>
      <c r="V1827" s="2079">
        <f t="shared" ref="V1827:V1890" si="452">+Q1827*(1.18)</f>
        <v>0</v>
      </c>
      <c r="W1827" s="78">
        <f t="shared" ref="W1827:W1890" si="453">+R1827*(1.18)</f>
        <v>332.15819999999997</v>
      </c>
      <c r="X1827" s="1878" t="str">
        <f t="shared" si="451"/>
        <v xml:space="preserve">26.- C Lima Caucho 0560807-OT_203529  Reencauche 030-0043336 </v>
      </c>
      <c r="Z1827" s="19" t="str">
        <f t="shared" si="447"/>
        <v>ReencaucheReenc. MASTERCAUCHO</v>
      </c>
    </row>
    <row r="1828" spans="2:26" ht="15.2" customHeight="1" outlineLevel="1">
      <c r="B1828" s="37"/>
      <c r="C1828" s="2">
        <f t="shared" si="449"/>
        <v>211</v>
      </c>
      <c r="D1828" s="3">
        <f t="shared" si="450"/>
        <v>4</v>
      </c>
      <c r="E1828" s="66">
        <v>1</v>
      </c>
      <c r="F1828" s="67" t="s">
        <v>732</v>
      </c>
      <c r="G1828" s="68" t="s">
        <v>733</v>
      </c>
      <c r="H1828" s="69" t="s">
        <v>1285</v>
      </c>
      <c r="I1828" s="68" t="s">
        <v>726</v>
      </c>
      <c r="J1828" s="70" t="s">
        <v>727</v>
      </c>
      <c r="K1828" s="71" t="s">
        <v>1286</v>
      </c>
      <c r="L1828" s="72">
        <v>41940</v>
      </c>
      <c r="M1828" s="73" t="s">
        <v>729</v>
      </c>
      <c r="N1828" s="74">
        <v>41949</v>
      </c>
      <c r="O1828" s="75">
        <f>+N1828</f>
        <v>41949</v>
      </c>
      <c r="P1828" s="2765" t="s">
        <v>1287</v>
      </c>
      <c r="Q1828" s="2954"/>
      <c r="R1828" s="76">
        <v>254.24</v>
      </c>
      <c r="S1828" s="1945" t="s">
        <v>731</v>
      </c>
      <c r="T1828" s="77"/>
      <c r="U1828" s="1893"/>
      <c r="V1828" s="2079">
        <f t="shared" si="452"/>
        <v>0</v>
      </c>
      <c r="W1828" s="78">
        <f t="shared" si="453"/>
        <v>300.00319999999999</v>
      </c>
      <c r="X1828" s="1878" t="str">
        <f t="shared" si="451"/>
        <v xml:space="preserve">1.- C Lima Caucho 0540807-OT_000052  Reencauche 0001-001882 </v>
      </c>
      <c r="Z1828" s="19" t="str">
        <f t="shared" si="447"/>
        <v>Transpl BandaReenc. MASTERCAUCHO</v>
      </c>
    </row>
    <row r="1829" spans="2:26" ht="15.2" customHeight="1" outlineLevel="1">
      <c r="B1829" s="37"/>
      <c r="C1829" s="2">
        <f t="shared" si="449"/>
        <v>210</v>
      </c>
      <c r="D1829" s="3">
        <f t="shared" si="450"/>
        <v>3</v>
      </c>
      <c r="E1829" s="66">
        <v>2</v>
      </c>
      <c r="F1829" s="67" t="s">
        <v>732</v>
      </c>
      <c r="G1829" s="68" t="s">
        <v>757</v>
      </c>
      <c r="H1829" s="69" t="s">
        <v>1288</v>
      </c>
      <c r="I1829" s="68" t="s">
        <v>726</v>
      </c>
      <c r="J1829" s="70" t="s">
        <v>727</v>
      </c>
      <c r="K1829" s="71" t="s">
        <v>1286</v>
      </c>
      <c r="L1829" s="72">
        <v>41940</v>
      </c>
      <c r="M1829" s="73" t="s">
        <v>729</v>
      </c>
      <c r="N1829" s="74">
        <v>41949</v>
      </c>
      <c r="O1829" s="75">
        <f>+N1829</f>
        <v>41949</v>
      </c>
      <c r="P1829" s="2765" t="s">
        <v>1287</v>
      </c>
      <c r="Q1829" s="2954"/>
      <c r="R1829" s="76">
        <v>254.24</v>
      </c>
      <c r="S1829" s="1945" t="s">
        <v>731</v>
      </c>
      <c r="T1829" s="77"/>
      <c r="U1829" s="1893"/>
      <c r="V1829" s="2079">
        <f t="shared" si="452"/>
        <v>0</v>
      </c>
      <c r="W1829" s="78">
        <f t="shared" si="453"/>
        <v>300.00319999999999</v>
      </c>
      <c r="X1829" s="1878" t="str">
        <f t="shared" si="451"/>
        <v xml:space="preserve">2.- C Goodyear 0200205-OT_000052  Reencauche 0001-001882 </v>
      </c>
      <c r="Z1829" s="19" t="str">
        <f t="shared" si="447"/>
        <v>Sacar_BandaReenc. MASTERCAUCHO</v>
      </c>
    </row>
    <row r="1830" spans="2:26" ht="15.2" customHeight="1">
      <c r="B1830" s="37"/>
      <c r="C1830" s="2">
        <f t="shared" si="449"/>
        <v>209</v>
      </c>
      <c r="D1830" s="3">
        <f t="shared" si="450"/>
        <v>2</v>
      </c>
      <c r="E1830" s="66">
        <v>3</v>
      </c>
      <c r="F1830" s="67" t="s">
        <v>732</v>
      </c>
      <c r="G1830" s="68" t="s">
        <v>737</v>
      </c>
      <c r="H1830" s="69" t="s">
        <v>1289</v>
      </c>
      <c r="I1830" s="68" t="s">
        <v>726</v>
      </c>
      <c r="J1830" s="70" t="s">
        <v>727</v>
      </c>
      <c r="K1830" s="71" t="s">
        <v>1286</v>
      </c>
      <c r="L1830" s="72">
        <v>41940</v>
      </c>
      <c r="M1830" s="73" t="s">
        <v>729</v>
      </c>
      <c r="N1830" s="74">
        <v>41949</v>
      </c>
      <c r="O1830" s="75">
        <f>+N1830</f>
        <v>41949</v>
      </c>
      <c r="P1830" s="2765" t="s">
        <v>1287</v>
      </c>
      <c r="Q1830" s="2954"/>
      <c r="R1830" s="76">
        <v>254.24</v>
      </c>
      <c r="S1830" s="1945" t="s">
        <v>731</v>
      </c>
      <c r="T1830" s="77"/>
      <c r="U1830" s="1893"/>
      <c r="V1830" s="2079">
        <f t="shared" si="452"/>
        <v>0</v>
      </c>
      <c r="W1830" s="78">
        <f t="shared" si="453"/>
        <v>300.00319999999999</v>
      </c>
      <c r="X1830" s="1878" t="str">
        <f t="shared" si="451"/>
        <v xml:space="preserve">3.- C Vikrant 0420506-OT_000052  Reencauche 0001-001882 </v>
      </c>
    </row>
    <row r="1831" spans="2:26" ht="15.2" customHeight="1" outlineLevel="1">
      <c r="B1831" s="37"/>
      <c r="C1831" s="2">
        <f>+C1834+1</f>
        <v>208</v>
      </c>
      <c r="D1831" s="3">
        <v>1</v>
      </c>
      <c r="E1831" s="66">
        <v>4</v>
      </c>
      <c r="F1831" s="67" t="s">
        <v>732</v>
      </c>
      <c r="G1831" s="68" t="s">
        <v>757</v>
      </c>
      <c r="H1831" s="69" t="s">
        <v>1290</v>
      </c>
      <c r="I1831" s="90" t="s">
        <v>740</v>
      </c>
      <c r="J1831" s="92" t="s">
        <v>727</v>
      </c>
      <c r="K1831" s="71" t="s">
        <v>1286</v>
      </c>
      <c r="L1831" s="72">
        <v>41940</v>
      </c>
      <c r="M1831" s="73" t="s">
        <v>729</v>
      </c>
      <c r="N1831" s="74">
        <v>41949</v>
      </c>
      <c r="O1831" s="75">
        <f>+N1831</f>
        <v>41949</v>
      </c>
      <c r="P1831" s="2765" t="s">
        <v>1287</v>
      </c>
      <c r="Q1831" s="2954"/>
      <c r="R1831" s="76">
        <v>127.12</v>
      </c>
      <c r="S1831" s="1945" t="s">
        <v>731</v>
      </c>
      <c r="T1831" s="77"/>
      <c r="U1831" s="1893"/>
      <c r="V1831" s="2079">
        <f t="shared" si="452"/>
        <v>0</v>
      </c>
      <c r="W1831" s="78">
        <f t="shared" si="453"/>
        <v>150.0016</v>
      </c>
      <c r="X1831" s="1878" t="str">
        <f t="shared" si="451"/>
        <v xml:space="preserve">4.- C Goodyear 0471001-OT_000052  Transpl Banda 0001-001882 </v>
      </c>
      <c r="Z1831" s="19" t="str">
        <f t="shared" ref="Z1831:Z1838" si="454">CONCATENATE(I1834,J1834)</f>
        <v>Vulcanizado (curación)Reenc. MASTERCAUCHO</v>
      </c>
    </row>
    <row r="1832" spans="2:26" ht="15.2" customHeight="1" outlineLevel="1">
      <c r="B1832" s="37"/>
      <c r="E1832" s="79">
        <v>5</v>
      </c>
      <c r="F1832" s="80" t="s">
        <v>732</v>
      </c>
      <c r="G1832" s="81" t="s">
        <v>737</v>
      </c>
      <c r="H1832" s="82" t="s">
        <v>1291</v>
      </c>
      <c r="I1832" s="114" t="s">
        <v>744</v>
      </c>
      <c r="J1832" s="93" t="s">
        <v>727</v>
      </c>
      <c r="K1832" s="84" t="s">
        <v>1286</v>
      </c>
      <c r="L1832" s="85">
        <v>41940</v>
      </c>
      <c r="M1832" s="86" t="s">
        <v>729</v>
      </c>
      <c r="N1832" s="87">
        <v>41949</v>
      </c>
      <c r="O1832" s="88">
        <f>+N1832</f>
        <v>41949</v>
      </c>
      <c r="P1832" s="2766" t="s">
        <v>1287</v>
      </c>
      <c r="Q1832" s="2955"/>
      <c r="R1832" s="89">
        <v>0</v>
      </c>
      <c r="S1832" s="1946" t="s">
        <v>731</v>
      </c>
      <c r="T1832" s="77"/>
      <c r="U1832" s="1893"/>
      <c r="V1832" s="2079">
        <f t="shared" si="452"/>
        <v>0</v>
      </c>
      <c r="W1832" s="78">
        <f t="shared" si="453"/>
        <v>0</v>
      </c>
      <c r="X1832" s="1878" t="str">
        <f t="shared" si="451"/>
        <v xml:space="preserve">5.- C Vikrant 0871206-OT_000052  Sacar_Banda 0001-001882 </v>
      </c>
      <c r="Z1832" s="19" t="str">
        <f t="shared" si="454"/>
        <v>Transpl BandaReenc. MASTERCAUCHO</v>
      </c>
    </row>
    <row r="1833" spans="2:26" ht="15.2" customHeight="1" outlineLevel="1">
      <c r="B1833" s="1">
        <v>41913</v>
      </c>
      <c r="C1833" s="1"/>
      <c r="D1833" s="173">
        <f>+D1834</f>
        <v>5</v>
      </c>
      <c r="E1833" s="66"/>
      <c r="F1833" s="67"/>
      <c r="G1833" s="68"/>
      <c r="H1833" s="69"/>
      <c r="I1833" s="68"/>
      <c r="J1833" s="70"/>
      <c r="K1833" s="71"/>
      <c r="L1833" s="72"/>
      <c r="M1833" s="73"/>
      <c r="N1833" s="74"/>
      <c r="O1833" s="75"/>
      <c r="P1833" s="2765"/>
      <c r="Q1833" s="2954"/>
      <c r="R1833" s="76"/>
      <c r="S1833" s="1945"/>
      <c r="T1833" s="77"/>
      <c r="U1833" s="1893"/>
      <c r="V1833" s="2079">
        <f t="shared" si="452"/>
        <v>0</v>
      </c>
      <c r="W1833" s="78">
        <f t="shared" si="453"/>
        <v>0</v>
      </c>
      <c r="X1833" s="1878" t="str">
        <f t="shared" si="451"/>
        <v xml:space="preserve">.-   -OT_    </v>
      </c>
      <c r="Z1833" s="19" t="str">
        <f t="shared" si="454"/>
        <v>Transpl BandaReenc. MASTERCAUCHO</v>
      </c>
    </row>
    <row r="1834" spans="2:26" ht="15.2" customHeight="1" outlineLevel="1">
      <c r="B1834" s="37"/>
      <c r="C1834" s="2">
        <f t="shared" ref="C1834:D1837" si="455">1+C1835</f>
        <v>207</v>
      </c>
      <c r="D1834" s="3">
        <f t="shared" si="455"/>
        <v>5</v>
      </c>
      <c r="E1834" s="79">
        <v>1</v>
      </c>
      <c r="F1834" s="80" t="s">
        <v>723</v>
      </c>
      <c r="G1834" s="134" t="s">
        <v>724</v>
      </c>
      <c r="H1834" s="135" t="s">
        <v>881</v>
      </c>
      <c r="I1834" s="134" t="s">
        <v>811</v>
      </c>
      <c r="J1834" s="190" t="s">
        <v>727</v>
      </c>
      <c r="K1834" s="84" t="s">
        <v>1292</v>
      </c>
      <c r="L1834" s="85">
        <v>41933</v>
      </c>
      <c r="M1834" s="86" t="s">
        <v>729</v>
      </c>
      <c r="N1834" s="87">
        <v>41936</v>
      </c>
      <c r="O1834" s="88">
        <f>+N1834</f>
        <v>41936</v>
      </c>
      <c r="P1834" s="2766" t="s">
        <v>1296</v>
      </c>
      <c r="Q1834" s="2955"/>
      <c r="R1834" s="89">
        <v>105.93</v>
      </c>
      <c r="S1834" s="1946" t="s">
        <v>731</v>
      </c>
      <c r="T1834" s="77"/>
      <c r="U1834" s="1893" t="s">
        <v>694</v>
      </c>
      <c r="V1834" s="2079">
        <f t="shared" si="452"/>
        <v>0</v>
      </c>
      <c r="W1834" s="78">
        <f t="shared" si="453"/>
        <v>124.9974</v>
      </c>
      <c r="X1834" s="1878" t="str">
        <f t="shared" si="451"/>
        <v xml:space="preserve">1.- R Aeolus 0300912-OT_000015  Vulcanizado (curación) 0001-001823 </v>
      </c>
      <c r="Z1834" s="19" t="str">
        <f t="shared" si="454"/>
        <v>Transpl BandaReenc. MASTERCAUCHO</v>
      </c>
    </row>
    <row r="1835" spans="2:26" ht="15.2" customHeight="1" outlineLevel="1">
      <c r="B1835" s="37"/>
      <c r="C1835" s="2">
        <f t="shared" si="455"/>
        <v>206</v>
      </c>
      <c r="D1835" s="3">
        <f t="shared" si="455"/>
        <v>4</v>
      </c>
      <c r="E1835" s="66">
        <v>1</v>
      </c>
      <c r="F1835" s="67" t="s">
        <v>732</v>
      </c>
      <c r="G1835" s="68" t="s">
        <v>776</v>
      </c>
      <c r="H1835" s="69" t="s">
        <v>1297</v>
      </c>
      <c r="I1835" s="90" t="s">
        <v>740</v>
      </c>
      <c r="J1835" s="92" t="s">
        <v>727</v>
      </c>
      <c r="K1835" s="71" t="s">
        <v>1298</v>
      </c>
      <c r="L1835" s="72">
        <v>41918</v>
      </c>
      <c r="M1835" s="73" t="s">
        <v>729</v>
      </c>
      <c r="N1835" s="74">
        <v>41933</v>
      </c>
      <c r="O1835" s="75">
        <v>41933</v>
      </c>
      <c r="P1835" s="2765" t="s">
        <v>1299</v>
      </c>
      <c r="Q1835" s="2954"/>
      <c r="R1835" s="76">
        <v>127.12</v>
      </c>
      <c r="S1835" s="1945" t="s">
        <v>731</v>
      </c>
      <c r="T1835" s="77"/>
      <c r="U1835" s="1893"/>
      <c r="V1835" s="2079">
        <f t="shared" si="452"/>
        <v>0</v>
      </c>
      <c r="W1835" s="78">
        <f t="shared" si="453"/>
        <v>150.0016</v>
      </c>
      <c r="X1835" s="1878" t="str">
        <f t="shared" si="451"/>
        <v xml:space="preserve">1.- C Altura 0620911-OT_000001  Transpl Banda 0001-001804 </v>
      </c>
      <c r="Z1835" s="19" t="str">
        <f t="shared" si="454"/>
        <v>Banda de 2ª usadaReenc. MASTERCAUCHO</v>
      </c>
    </row>
    <row r="1836" spans="2:26" ht="15.2" customHeight="1" outlineLevel="1">
      <c r="B1836" s="37"/>
      <c r="C1836" s="2">
        <f t="shared" si="455"/>
        <v>205</v>
      </c>
      <c r="D1836" s="3">
        <f t="shared" si="455"/>
        <v>3</v>
      </c>
      <c r="E1836" s="66">
        <v>2</v>
      </c>
      <c r="F1836" s="67" t="s">
        <v>732</v>
      </c>
      <c r="G1836" s="68" t="s">
        <v>831</v>
      </c>
      <c r="H1836" s="69" t="s">
        <v>832</v>
      </c>
      <c r="I1836" s="90" t="s">
        <v>740</v>
      </c>
      <c r="J1836" s="92" t="s">
        <v>727</v>
      </c>
      <c r="K1836" s="71" t="s">
        <v>1298</v>
      </c>
      <c r="L1836" s="72">
        <v>41918</v>
      </c>
      <c r="M1836" s="73" t="s">
        <v>729</v>
      </c>
      <c r="N1836" s="74">
        <v>41933</v>
      </c>
      <c r="O1836" s="75">
        <v>41933</v>
      </c>
      <c r="P1836" s="2765" t="s">
        <v>1299</v>
      </c>
      <c r="Q1836" s="2954"/>
      <c r="R1836" s="76">
        <v>127.12</v>
      </c>
      <c r="S1836" s="1945" t="s">
        <v>731</v>
      </c>
      <c r="T1836" s="77"/>
      <c r="U1836" s="1893"/>
      <c r="V1836" s="2079">
        <f t="shared" si="452"/>
        <v>0</v>
      </c>
      <c r="W1836" s="78">
        <f t="shared" si="453"/>
        <v>150.0016</v>
      </c>
      <c r="X1836" s="1878" t="str">
        <f t="shared" si="451"/>
        <v xml:space="preserve">2.- C Kumho 0230305-OT_000001  Transpl Banda 0001-001804 </v>
      </c>
      <c r="Z1836" s="19" t="str">
        <f t="shared" si="454"/>
        <v>Sacar_BandaReenc. MASTERCAUCHO</v>
      </c>
    </row>
    <row r="1837" spans="2:26" ht="15.2" customHeight="1" outlineLevel="1">
      <c r="B1837" s="37"/>
      <c r="C1837" s="2">
        <f t="shared" si="455"/>
        <v>204</v>
      </c>
      <c r="D1837" s="3">
        <f t="shared" si="455"/>
        <v>2</v>
      </c>
      <c r="E1837" s="66">
        <v>3</v>
      </c>
      <c r="F1837" s="67" t="s">
        <v>732</v>
      </c>
      <c r="G1837" s="68" t="s">
        <v>737</v>
      </c>
      <c r="H1837" s="69" t="s">
        <v>1243</v>
      </c>
      <c r="I1837" s="90" t="s">
        <v>740</v>
      </c>
      <c r="J1837" s="92" t="s">
        <v>727</v>
      </c>
      <c r="K1837" s="71" t="s">
        <v>1298</v>
      </c>
      <c r="L1837" s="72">
        <v>41918</v>
      </c>
      <c r="M1837" s="73" t="s">
        <v>729</v>
      </c>
      <c r="N1837" s="74">
        <v>41933</v>
      </c>
      <c r="O1837" s="75">
        <v>41933</v>
      </c>
      <c r="P1837" s="2765" t="s">
        <v>1299</v>
      </c>
      <c r="Q1837" s="2954"/>
      <c r="R1837" s="76">
        <v>127.12</v>
      </c>
      <c r="S1837" s="1945" t="s">
        <v>731</v>
      </c>
      <c r="T1837" s="77"/>
      <c r="U1837" s="1893"/>
      <c r="V1837" s="2079">
        <f t="shared" si="452"/>
        <v>0</v>
      </c>
      <c r="W1837" s="78">
        <f t="shared" si="453"/>
        <v>150.0016</v>
      </c>
      <c r="X1837" s="1878" t="str">
        <f t="shared" si="451"/>
        <v xml:space="preserve">3.- C Vikrant 1290805-OT_000001  Transpl Banda 0001-001804 </v>
      </c>
      <c r="Z1837" s="19" t="str">
        <f t="shared" si="454"/>
        <v>Sacar_BandaReenc. MASTERCAUCHO</v>
      </c>
    </row>
    <row r="1838" spans="2:26" ht="15.2" customHeight="1" outlineLevel="1">
      <c r="B1838" s="37"/>
      <c r="C1838" s="2">
        <f>+C1843+1</f>
        <v>203</v>
      </c>
      <c r="D1838" s="3">
        <v>1</v>
      </c>
      <c r="E1838" s="66">
        <v>4</v>
      </c>
      <c r="F1838" s="67" t="s">
        <v>732</v>
      </c>
      <c r="G1838" s="68" t="s">
        <v>769</v>
      </c>
      <c r="H1838" s="69" t="s">
        <v>1300</v>
      </c>
      <c r="I1838" s="90" t="s">
        <v>742</v>
      </c>
      <c r="J1838" s="92" t="s">
        <v>727</v>
      </c>
      <c r="K1838" s="71" t="s">
        <v>1298</v>
      </c>
      <c r="L1838" s="72">
        <v>41918</v>
      </c>
      <c r="M1838" s="73" t="s">
        <v>729</v>
      </c>
      <c r="N1838" s="74">
        <v>41933</v>
      </c>
      <c r="O1838" s="75">
        <v>41933</v>
      </c>
      <c r="P1838" s="2765" t="s">
        <v>1299</v>
      </c>
      <c r="Q1838" s="2954"/>
      <c r="R1838" s="76">
        <v>211.86</v>
      </c>
      <c r="S1838" s="1945" t="s">
        <v>731</v>
      </c>
      <c r="T1838" s="77"/>
      <c r="U1838" s="1893"/>
      <c r="V1838" s="2079">
        <f t="shared" si="452"/>
        <v>0</v>
      </c>
      <c r="W1838" s="78">
        <f t="shared" si="453"/>
        <v>249.9948</v>
      </c>
      <c r="X1838" s="1878" t="str">
        <f t="shared" si="451"/>
        <v xml:space="preserve">4.- C Lu He 0330209-OT_000001  Banda de 2ª usada 0001-001804 </v>
      </c>
      <c r="Z1838" s="19" t="str">
        <f t="shared" si="454"/>
        <v>Sacar_BandaReenc. MASTERCAUCHO</v>
      </c>
    </row>
    <row r="1839" spans="2:26" ht="15.2" customHeight="1">
      <c r="B1839" s="37"/>
      <c r="E1839" s="66">
        <v>5</v>
      </c>
      <c r="F1839" s="67" t="s">
        <v>732</v>
      </c>
      <c r="G1839" s="68" t="s">
        <v>737</v>
      </c>
      <c r="H1839" s="69" t="s">
        <v>1308</v>
      </c>
      <c r="I1839" s="90" t="s">
        <v>744</v>
      </c>
      <c r="J1839" s="92" t="s">
        <v>727</v>
      </c>
      <c r="K1839" s="71" t="s">
        <v>1298</v>
      </c>
      <c r="L1839" s="72">
        <v>41918</v>
      </c>
      <c r="M1839" s="73" t="s">
        <v>729</v>
      </c>
      <c r="N1839" s="74">
        <v>41933</v>
      </c>
      <c r="O1839" s="75">
        <v>41933</v>
      </c>
      <c r="P1839" s="2765" t="s">
        <v>1299</v>
      </c>
      <c r="Q1839" s="2954"/>
      <c r="R1839" s="76">
        <v>0</v>
      </c>
      <c r="S1839" s="1945" t="s">
        <v>731</v>
      </c>
      <c r="T1839" s="77"/>
      <c r="U1839" s="1893"/>
      <c r="V1839" s="2079">
        <f t="shared" si="452"/>
        <v>0</v>
      </c>
      <c r="W1839" s="78">
        <f t="shared" si="453"/>
        <v>0</v>
      </c>
      <c r="X1839" s="1878" t="str">
        <f t="shared" si="451"/>
        <v xml:space="preserve">5.- C Vikrant 1001206-OT_000001  Sacar_Banda 0001-001804 </v>
      </c>
    </row>
    <row r="1840" spans="2:26" ht="15.2" customHeight="1" outlineLevel="1">
      <c r="B1840" s="37"/>
      <c r="E1840" s="66">
        <v>6</v>
      </c>
      <c r="F1840" s="67" t="s">
        <v>732</v>
      </c>
      <c r="G1840" s="68" t="s">
        <v>733</v>
      </c>
      <c r="H1840" s="69" t="s">
        <v>1309</v>
      </c>
      <c r="I1840" s="90" t="s">
        <v>744</v>
      </c>
      <c r="J1840" s="92" t="s">
        <v>727</v>
      </c>
      <c r="K1840" s="71" t="s">
        <v>1298</v>
      </c>
      <c r="L1840" s="72">
        <v>41918</v>
      </c>
      <c r="M1840" s="73" t="s">
        <v>729</v>
      </c>
      <c r="N1840" s="74">
        <v>41933</v>
      </c>
      <c r="O1840" s="75">
        <v>41933</v>
      </c>
      <c r="P1840" s="2765" t="s">
        <v>1299</v>
      </c>
      <c r="Q1840" s="2954"/>
      <c r="R1840" s="76">
        <v>0</v>
      </c>
      <c r="S1840" s="1945" t="s">
        <v>731</v>
      </c>
      <c r="T1840" s="77"/>
      <c r="U1840" s="1893"/>
      <c r="V1840" s="2079">
        <f t="shared" si="452"/>
        <v>0</v>
      </c>
      <c r="W1840" s="78">
        <f t="shared" si="453"/>
        <v>0</v>
      </c>
      <c r="X1840" s="1878" t="str">
        <f t="shared" si="451"/>
        <v xml:space="preserve">6.- C Lima Caucho 1061106-OT_000001  Sacar_Banda 0001-001804 </v>
      </c>
      <c r="Z1840" s="19" t="str">
        <f t="shared" ref="Z1840:Z1870" si="456">CONCATENATE(I1843,J1843)</f>
        <v>ReencaucheReencauchadora RENOVA</v>
      </c>
    </row>
    <row r="1841" spans="2:26" ht="15.2" customHeight="1" outlineLevel="1">
      <c r="B1841" s="37"/>
      <c r="E1841" s="79">
        <v>7</v>
      </c>
      <c r="F1841" s="80" t="s">
        <v>732</v>
      </c>
      <c r="G1841" s="81" t="s">
        <v>733</v>
      </c>
      <c r="H1841" s="82" t="s">
        <v>1310</v>
      </c>
      <c r="I1841" s="114" t="s">
        <v>744</v>
      </c>
      <c r="J1841" s="93" t="s">
        <v>727</v>
      </c>
      <c r="K1841" s="84" t="s">
        <v>1298</v>
      </c>
      <c r="L1841" s="85">
        <v>41918</v>
      </c>
      <c r="M1841" s="86" t="s">
        <v>729</v>
      </c>
      <c r="N1841" s="87">
        <v>41933</v>
      </c>
      <c r="O1841" s="88">
        <f>+N1841</f>
        <v>41933</v>
      </c>
      <c r="P1841" s="2766" t="s">
        <v>1299</v>
      </c>
      <c r="Q1841" s="2955"/>
      <c r="R1841" s="89">
        <v>0</v>
      </c>
      <c r="S1841" s="1946" t="s">
        <v>731</v>
      </c>
      <c r="T1841" s="77"/>
      <c r="U1841" s="1893"/>
      <c r="V1841" s="2079">
        <f t="shared" si="452"/>
        <v>0</v>
      </c>
      <c r="W1841" s="78">
        <f t="shared" si="453"/>
        <v>0</v>
      </c>
      <c r="X1841" s="1878" t="str">
        <f t="shared" si="451"/>
        <v xml:space="preserve">7.- C Lima Caucho 0871010-OT_000001  Sacar_Banda 0001-001804 </v>
      </c>
      <c r="Z1841" s="19" t="str">
        <f t="shared" si="456"/>
        <v>ReencaucheReencauchadora RENOVA</v>
      </c>
    </row>
    <row r="1842" spans="2:26" ht="15.2" customHeight="1" outlineLevel="1">
      <c r="B1842" s="1">
        <v>41883</v>
      </c>
      <c r="C1842" s="1"/>
      <c r="D1842" s="173">
        <f>+D1843</f>
        <v>31</v>
      </c>
      <c r="E1842" s="66"/>
      <c r="F1842" s="67"/>
      <c r="G1842" s="68"/>
      <c r="H1842" s="69"/>
      <c r="I1842" s="68"/>
      <c r="J1842" s="70"/>
      <c r="K1842" s="71"/>
      <c r="L1842" s="72"/>
      <c r="M1842" s="73"/>
      <c r="N1842" s="74"/>
      <c r="O1842" s="75"/>
      <c r="P1842" s="2765"/>
      <c r="Q1842" s="2954"/>
      <c r="R1842" s="76"/>
      <c r="S1842" s="1945"/>
      <c r="T1842" s="77"/>
      <c r="U1842" s="1893"/>
      <c r="V1842" s="2079">
        <f t="shared" si="452"/>
        <v>0</v>
      </c>
      <c r="W1842" s="78">
        <f t="shared" si="453"/>
        <v>0</v>
      </c>
      <c r="X1842" s="1878" t="str">
        <f t="shared" si="451"/>
        <v xml:space="preserve">.-   -OT_    </v>
      </c>
      <c r="Z1842" s="19" t="str">
        <f t="shared" si="456"/>
        <v>ReencaucheReencauchadora RENOVA</v>
      </c>
    </row>
    <row r="1843" spans="2:26" ht="15.2" customHeight="1" outlineLevel="1">
      <c r="B1843" s="37"/>
      <c r="C1843" s="2">
        <f t="shared" ref="C1843:C1872" si="457">1+C1844</f>
        <v>202</v>
      </c>
      <c r="D1843" s="3">
        <f t="shared" ref="D1843:D1872" si="458">1+D1844</f>
        <v>31</v>
      </c>
      <c r="E1843" s="66">
        <v>1</v>
      </c>
      <c r="F1843" s="67" t="s">
        <v>732</v>
      </c>
      <c r="G1843" s="68" t="s">
        <v>737</v>
      </c>
      <c r="H1843" s="69" t="s">
        <v>1311</v>
      </c>
      <c r="I1843" s="68" t="s">
        <v>726</v>
      </c>
      <c r="J1843" s="70" t="s">
        <v>760</v>
      </c>
      <c r="K1843" s="71" t="s">
        <v>1312</v>
      </c>
      <c r="L1843" s="72">
        <v>41886</v>
      </c>
      <c r="M1843" s="73" t="s">
        <v>729</v>
      </c>
      <c r="N1843" s="74">
        <v>41905</v>
      </c>
      <c r="O1843" s="75">
        <v>41905</v>
      </c>
      <c r="P1843" s="2765" t="s">
        <v>1313</v>
      </c>
      <c r="Q1843" s="2954"/>
      <c r="R1843" s="76">
        <v>281.49</v>
      </c>
      <c r="S1843" s="1945" t="s">
        <v>731</v>
      </c>
      <c r="T1843" s="77"/>
      <c r="U1843" s="1893"/>
      <c r="V1843" s="2079">
        <f t="shared" si="452"/>
        <v>0</v>
      </c>
      <c r="W1843" s="78">
        <f t="shared" si="453"/>
        <v>332.15819999999997</v>
      </c>
      <c r="X1843" s="1878" t="str">
        <f t="shared" si="451"/>
        <v xml:space="preserve">1.- C Vikrant 0960705-OT_202365  Reencauche 030-0036393 </v>
      </c>
      <c r="Z1843" s="19" t="str">
        <f t="shared" si="456"/>
        <v>ReencaucheReencauchadora RENOVA</v>
      </c>
    </row>
    <row r="1844" spans="2:26" ht="15.2" customHeight="1" outlineLevel="1">
      <c r="B1844" s="37"/>
      <c r="C1844" s="2">
        <f t="shared" si="457"/>
        <v>201</v>
      </c>
      <c r="D1844" s="3">
        <f t="shared" si="458"/>
        <v>30</v>
      </c>
      <c r="E1844" s="66">
        <v>2</v>
      </c>
      <c r="F1844" s="67" t="s">
        <v>732</v>
      </c>
      <c r="G1844" s="68" t="s">
        <v>737</v>
      </c>
      <c r="H1844" s="69" t="s">
        <v>1314</v>
      </c>
      <c r="I1844" s="68" t="s">
        <v>726</v>
      </c>
      <c r="J1844" s="70" t="s">
        <v>760</v>
      </c>
      <c r="K1844" s="71" t="s">
        <v>1312</v>
      </c>
      <c r="L1844" s="72">
        <v>41886</v>
      </c>
      <c r="M1844" s="73" t="s">
        <v>729</v>
      </c>
      <c r="N1844" s="74">
        <v>41905</v>
      </c>
      <c r="O1844" s="75">
        <v>41905</v>
      </c>
      <c r="P1844" s="2765" t="s">
        <v>1313</v>
      </c>
      <c r="Q1844" s="2954"/>
      <c r="R1844" s="76">
        <v>281.49</v>
      </c>
      <c r="S1844" s="1945" t="s">
        <v>731</v>
      </c>
      <c r="T1844" s="77"/>
      <c r="U1844" s="1893"/>
      <c r="V1844" s="2079">
        <f t="shared" si="452"/>
        <v>0</v>
      </c>
      <c r="W1844" s="78">
        <f t="shared" si="453"/>
        <v>332.15819999999997</v>
      </c>
      <c r="X1844" s="1878" t="str">
        <f t="shared" si="451"/>
        <v xml:space="preserve">2.- C Vikrant 0400510-OT_202365  Reencauche 030-0036393 </v>
      </c>
      <c r="Z1844" s="19" t="str">
        <f t="shared" si="456"/>
        <v>ReencaucheReencauchadora RENOVA</v>
      </c>
    </row>
    <row r="1845" spans="2:26" ht="15.2" customHeight="1" outlineLevel="1">
      <c r="B1845" s="37"/>
      <c r="C1845" s="2">
        <f t="shared" si="457"/>
        <v>200</v>
      </c>
      <c r="D1845" s="3">
        <f t="shared" si="458"/>
        <v>29</v>
      </c>
      <c r="E1845" s="66">
        <v>3</v>
      </c>
      <c r="F1845" s="67" t="s">
        <v>732</v>
      </c>
      <c r="G1845" s="68" t="s">
        <v>737</v>
      </c>
      <c r="H1845" s="69" t="s">
        <v>905</v>
      </c>
      <c r="I1845" s="68" t="s">
        <v>726</v>
      </c>
      <c r="J1845" s="70" t="s">
        <v>760</v>
      </c>
      <c r="K1845" s="71" t="s">
        <v>1312</v>
      </c>
      <c r="L1845" s="72">
        <v>41886</v>
      </c>
      <c r="M1845" s="73" t="s">
        <v>729</v>
      </c>
      <c r="N1845" s="74">
        <v>41905</v>
      </c>
      <c r="O1845" s="75">
        <v>41905</v>
      </c>
      <c r="P1845" s="2765" t="s">
        <v>1313</v>
      </c>
      <c r="Q1845" s="2954"/>
      <c r="R1845" s="76">
        <v>281.49</v>
      </c>
      <c r="S1845" s="1945" t="s">
        <v>731</v>
      </c>
      <c r="T1845" s="77"/>
      <c r="U1845" s="1893"/>
      <c r="V1845" s="2079">
        <f t="shared" si="452"/>
        <v>0</v>
      </c>
      <c r="W1845" s="78">
        <f t="shared" si="453"/>
        <v>332.15819999999997</v>
      </c>
      <c r="X1845" s="1878" t="str">
        <f t="shared" si="451"/>
        <v xml:space="preserve">3.- C Vikrant 0050111-OT_202365  Reencauche 030-0036393 </v>
      </c>
      <c r="Z1845" s="19" t="str">
        <f t="shared" si="456"/>
        <v>ReencaucheReencauchadora RENOVA</v>
      </c>
    </row>
    <row r="1846" spans="2:26" ht="15.2" customHeight="1" outlineLevel="1">
      <c r="B1846" s="37"/>
      <c r="C1846" s="2">
        <f t="shared" si="457"/>
        <v>199</v>
      </c>
      <c r="D1846" s="3">
        <f t="shared" si="458"/>
        <v>28</v>
      </c>
      <c r="E1846" s="66">
        <v>4</v>
      </c>
      <c r="F1846" s="67" t="s">
        <v>732</v>
      </c>
      <c r="G1846" s="68" t="s">
        <v>737</v>
      </c>
      <c r="H1846" s="69" t="s">
        <v>1315</v>
      </c>
      <c r="I1846" s="68" t="s">
        <v>726</v>
      </c>
      <c r="J1846" s="70" t="s">
        <v>760</v>
      </c>
      <c r="K1846" s="71" t="s">
        <v>1312</v>
      </c>
      <c r="L1846" s="72">
        <v>41886</v>
      </c>
      <c r="M1846" s="73" t="s">
        <v>729</v>
      </c>
      <c r="N1846" s="74">
        <v>41905</v>
      </c>
      <c r="O1846" s="75">
        <v>41905</v>
      </c>
      <c r="P1846" s="2765" t="s">
        <v>1313</v>
      </c>
      <c r="Q1846" s="2954"/>
      <c r="R1846" s="76">
        <v>281.49</v>
      </c>
      <c r="S1846" s="1945" t="s">
        <v>731</v>
      </c>
      <c r="T1846" s="77"/>
      <c r="U1846" s="1893"/>
      <c r="V1846" s="2079">
        <f t="shared" si="452"/>
        <v>0</v>
      </c>
      <c r="W1846" s="78">
        <f t="shared" si="453"/>
        <v>332.15819999999997</v>
      </c>
      <c r="X1846" s="1878" t="str">
        <f t="shared" si="451"/>
        <v xml:space="preserve">4.- C Vikrant 0610709-OT_202365  Reencauche 030-0036393 </v>
      </c>
      <c r="Z1846" s="19" t="str">
        <f t="shared" si="456"/>
        <v>ReencaucheReencauchadora RENOVA</v>
      </c>
    </row>
    <row r="1847" spans="2:26" ht="15.2" customHeight="1" outlineLevel="1">
      <c r="B1847" s="37"/>
      <c r="C1847" s="2">
        <f t="shared" si="457"/>
        <v>198</v>
      </c>
      <c r="D1847" s="3">
        <f t="shared" si="458"/>
        <v>27</v>
      </c>
      <c r="E1847" s="66">
        <v>5</v>
      </c>
      <c r="F1847" s="67" t="s">
        <v>732</v>
      </c>
      <c r="G1847" s="68" t="s">
        <v>737</v>
      </c>
      <c r="H1847" s="69" t="s">
        <v>1316</v>
      </c>
      <c r="I1847" s="68" t="s">
        <v>726</v>
      </c>
      <c r="J1847" s="70" t="s">
        <v>760</v>
      </c>
      <c r="K1847" s="71" t="s">
        <v>1312</v>
      </c>
      <c r="L1847" s="72">
        <v>41886</v>
      </c>
      <c r="M1847" s="73" t="s">
        <v>729</v>
      </c>
      <c r="N1847" s="74">
        <v>41905</v>
      </c>
      <c r="O1847" s="75">
        <v>41905</v>
      </c>
      <c r="P1847" s="2765" t="s">
        <v>1313</v>
      </c>
      <c r="Q1847" s="2954"/>
      <c r="R1847" s="76">
        <v>281.49</v>
      </c>
      <c r="S1847" s="1945" t="s">
        <v>731</v>
      </c>
      <c r="T1847" s="77"/>
      <c r="U1847" s="1893"/>
      <c r="V1847" s="2079">
        <f t="shared" si="452"/>
        <v>0</v>
      </c>
      <c r="W1847" s="78">
        <f t="shared" si="453"/>
        <v>332.15819999999997</v>
      </c>
      <c r="X1847" s="1878" t="str">
        <f t="shared" si="451"/>
        <v xml:space="preserve">5.- C Vikrant 0310211-OT_202365  Reencauche 030-0036393 </v>
      </c>
      <c r="Z1847" s="19" t="str">
        <f t="shared" si="456"/>
        <v>ReencaucheReencauchadora RENOVA</v>
      </c>
    </row>
    <row r="1848" spans="2:26" ht="15.2" customHeight="1" outlineLevel="1">
      <c r="B1848" s="37"/>
      <c r="C1848" s="2">
        <f t="shared" si="457"/>
        <v>197</v>
      </c>
      <c r="D1848" s="3">
        <f t="shared" si="458"/>
        <v>26</v>
      </c>
      <c r="E1848" s="66">
        <v>6</v>
      </c>
      <c r="F1848" s="67" t="s">
        <v>732</v>
      </c>
      <c r="G1848" s="68" t="s">
        <v>737</v>
      </c>
      <c r="H1848" s="69" t="s">
        <v>1317</v>
      </c>
      <c r="I1848" s="68" t="s">
        <v>726</v>
      </c>
      <c r="J1848" s="70" t="s">
        <v>760</v>
      </c>
      <c r="K1848" s="71" t="s">
        <v>1312</v>
      </c>
      <c r="L1848" s="72">
        <v>41886</v>
      </c>
      <c r="M1848" s="73" t="s">
        <v>729</v>
      </c>
      <c r="N1848" s="74">
        <v>41905</v>
      </c>
      <c r="O1848" s="75">
        <v>41905</v>
      </c>
      <c r="P1848" s="2765" t="s">
        <v>1313</v>
      </c>
      <c r="Q1848" s="2954"/>
      <c r="R1848" s="76">
        <v>281.49</v>
      </c>
      <c r="S1848" s="1945" t="s">
        <v>731</v>
      </c>
      <c r="T1848" s="77"/>
      <c r="U1848" s="1893"/>
      <c r="V1848" s="2079">
        <f t="shared" si="452"/>
        <v>0</v>
      </c>
      <c r="W1848" s="78">
        <f t="shared" si="453"/>
        <v>332.15819999999997</v>
      </c>
      <c r="X1848" s="1878" t="str">
        <f t="shared" si="451"/>
        <v xml:space="preserve">6.- C Vikrant 0310410-OT_202365  Reencauche 030-0036393 </v>
      </c>
      <c r="Z1848" s="19" t="str">
        <f t="shared" si="456"/>
        <v>ReencaucheReencauchadora RENOVA</v>
      </c>
    </row>
    <row r="1849" spans="2:26" ht="15.2" customHeight="1" outlineLevel="1">
      <c r="B1849" s="37"/>
      <c r="C1849" s="2">
        <f t="shared" si="457"/>
        <v>196</v>
      </c>
      <c r="D1849" s="3">
        <f t="shared" si="458"/>
        <v>25</v>
      </c>
      <c r="E1849" s="66">
        <v>7</v>
      </c>
      <c r="F1849" s="67" t="s">
        <v>732</v>
      </c>
      <c r="G1849" s="68" t="s">
        <v>737</v>
      </c>
      <c r="H1849" s="69" t="s">
        <v>1318</v>
      </c>
      <c r="I1849" s="68" t="s">
        <v>726</v>
      </c>
      <c r="J1849" s="70" t="s">
        <v>760</v>
      </c>
      <c r="K1849" s="71" t="s">
        <v>1312</v>
      </c>
      <c r="L1849" s="72">
        <v>41886</v>
      </c>
      <c r="M1849" s="73" t="s">
        <v>729</v>
      </c>
      <c r="N1849" s="74">
        <v>41905</v>
      </c>
      <c r="O1849" s="75">
        <v>41905</v>
      </c>
      <c r="P1849" s="2765" t="s">
        <v>1313</v>
      </c>
      <c r="Q1849" s="2954"/>
      <c r="R1849" s="76">
        <v>281.49</v>
      </c>
      <c r="S1849" s="1945" t="s">
        <v>731</v>
      </c>
      <c r="T1849" s="77"/>
      <c r="U1849" s="1893"/>
      <c r="V1849" s="2079">
        <f t="shared" si="452"/>
        <v>0</v>
      </c>
      <c r="W1849" s="78">
        <f t="shared" si="453"/>
        <v>332.15819999999997</v>
      </c>
      <c r="X1849" s="1878" t="str">
        <f t="shared" si="451"/>
        <v xml:space="preserve">7.- C Vikrant 0330410-OT_202365  Reencauche 030-0036393 </v>
      </c>
      <c r="Z1849" s="19" t="str">
        <f t="shared" si="456"/>
        <v>ReencaucheReencauchadora RENOVA</v>
      </c>
    </row>
    <row r="1850" spans="2:26" ht="15.2" customHeight="1" outlineLevel="1">
      <c r="B1850" s="37"/>
      <c r="C1850" s="2">
        <f t="shared" si="457"/>
        <v>195</v>
      </c>
      <c r="D1850" s="3">
        <f t="shared" si="458"/>
        <v>24</v>
      </c>
      <c r="E1850" s="66">
        <v>8</v>
      </c>
      <c r="F1850" s="67" t="s">
        <v>732</v>
      </c>
      <c r="G1850" s="68" t="s">
        <v>737</v>
      </c>
      <c r="H1850" s="69" t="s">
        <v>1319</v>
      </c>
      <c r="I1850" s="68" t="s">
        <v>726</v>
      </c>
      <c r="J1850" s="70" t="s">
        <v>760</v>
      </c>
      <c r="K1850" s="71" t="s">
        <v>1312</v>
      </c>
      <c r="L1850" s="72">
        <v>41886</v>
      </c>
      <c r="M1850" s="73" t="s">
        <v>729</v>
      </c>
      <c r="N1850" s="74">
        <v>41905</v>
      </c>
      <c r="O1850" s="75">
        <v>41905</v>
      </c>
      <c r="P1850" s="2765" t="s">
        <v>1313</v>
      </c>
      <c r="Q1850" s="2954"/>
      <c r="R1850" s="76">
        <v>281.49</v>
      </c>
      <c r="S1850" s="1945" t="s">
        <v>731</v>
      </c>
      <c r="T1850" s="77"/>
      <c r="U1850" s="1893"/>
      <c r="V1850" s="2079">
        <f t="shared" si="452"/>
        <v>0</v>
      </c>
      <c r="W1850" s="78">
        <f t="shared" si="453"/>
        <v>332.15819999999997</v>
      </c>
      <c r="X1850" s="1878" t="str">
        <f t="shared" si="451"/>
        <v xml:space="preserve">8.- C Vikrant 0831206-OT_202365  Reencauche 030-0036393 </v>
      </c>
      <c r="Z1850" s="19" t="str">
        <f t="shared" si="456"/>
        <v>ReencaucheReencauchadora RENOVA</v>
      </c>
    </row>
    <row r="1851" spans="2:26" ht="15.2" customHeight="1" outlineLevel="1">
      <c r="B1851" s="37"/>
      <c r="C1851" s="2">
        <f t="shared" si="457"/>
        <v>194</v>
      </c>
      <c r="D1851" s="3">
        <f t="shared" si="458"/>
        <v>23</v>
      </c>
      <c r="E1851" s="66">
        <v>9</v>
      </c>
      <c r="F1851" s="67" t="s">
        <v>732</v>
      </c>
      <c r="G1851" s="68" t="s">
        <v>737</v>
      </c>
      <c r="H1851" s="69" t="s">
        <v>1320</v>
      </c>
      <c r="I1851" s="68" t="s">
        <v>726</v>
      </c>
      <c r="J1851" s="70" t="s">
        <v>760</v>
      </c>
      <c r="K1851" s="71" t="s">
        <v>1312</v>
      </c>
      <c r="L1851" s="72">
        <v>41886</v>
      </c>
      <c r="M1851" s="73" t="s">
        <v>729</v>
      </c>
      <c r="N1851" s="74">
        <v>41905</v>
      </c>
      <c r="O1851" s="75">
        <f>+N1851</f>
        <v>41905</v>
      </c>
      <c r="P1851" s="2765" t="s">
        <v>1313</v>
      </c>
      <c r="Q1851" s="2954"/>
      <c r="R1851" s="76">
        <v>281.49</v>
      </c>
      <c r="S1851" s="1945" t="s">
        <v>731</v>
      </c>
      <c r="T1851" s="77"/>
      <c r="U1851" s="1893"/>
      <c r="V1851" s="2079">
        <f t="shared" si="452"/>
        <v>0</v>
      </c>
      <c r="W1851" s="78">
        <f t="shared" si="453"/>
        <v>332.15819999999997</v>
      </c>
      <c r="X1851" s="1878" t="str">
        <f t="shared" si="451"/>
        <v xml:space="preserve">9.- C Vikrant 0010109-OT_202365  Reencauche 030-0036393 </v>
      </c>
      <c r="Z1851" s="19" t="str">
        <f t="shared" si="456"/>
        <v>ReencaucheReencauchadora RENOVA</v>
      </c>
    </row>
    <row r="1852" spans="2:26" ht="15.2" customHeight="1" outlineLevel="1">
      <c r="B1852" s="37"/>
      <c r="C1852" s="2">
        <f t="shared" si="457"/>
        <v>193</v>
      </c>
      <c r="D1852" s="3">
        <f t="shared" si="458"/>
        <v>22</v>
      </c>
      <c r="E1852" s="66">
        <v>10</v>
      </c>
      <c r="F1852" s="67" t="s">
        <v>732</v>
      </c>
      <c r="G1852" s="68" t="s">
        <v>737</v>
      </c>
      <c r="H1852" s="69" t="s">
        <v>1321</v>
      </c>
      <c r="I1852" s="68" t="s">
        <v>726</v>
      </c>
      <c r="J1852" s="70" t="s">
        <v>760</v>
      </c>
      <c r="K1852" s="71" t="s">
        <v>1312</v>
      </c>
      <c r="L1852" s="72">
        <v>41886</v>
      </c>
      <c r="M1852" s="73" t="s">
        <v>729</v>
      </c>
      <c r="N1852" s="74">
        <v>41905</v>
      </c>
      <c r="O1852" s="75">
        <v>41905</v>
      </c>
      <c r="P1852" s="2765" t="s">
        <v>1313</v>
      </c>
      <c r="Q1852" s="2954"/>
      <c r="R1852" s="76">
        <v>281.49</v>
      </c>
      <c r="S1852" s="1945" t="s">
        <v>731</v>
      </c>
      <c r="T1852" s="77"/>
      <c r="U1852" s="1893"/>
      <c r="V1852" s="2079">
        <f t="shared" si="452"/>
        <v>0</v>
      </c>
      <c r="W1852" s="78">
        <f t="shared" si="453"/>
        <v>332.15819999999997</v>
      </c>
      <c r="X1852" s="1878" t="str">
        <f t="shared" si="451"/>
        <v xml:space="preserve">10.- C Vikrant 004011-OT_202365  Reencauche 030-0036393 </v>
      </c>
      <c r="Z1852" s="19" t="str">
        <f t="shared" si="456"/>
        <v>ReencaucheReencauchadora RENOVA</v>
      </c>
    </row>
    <row r="1853" spans="2:26" ht="15.2" customHeight="1" outlineLevel="1">
      <c r="B1853" s="37"/>
      <c r="C1853" s="2">
        <f t="shared" si="457"/>
        <v>192</v>
      </c>
      <c r="D1853" s="3">
        <f t="shared" si="458"/>
        <v>21</v>
      </c>
      <c r="E1853" s="66">
        <v>11</v>
      </c>
      <c r="F1853" s="67" t="s">
        <v>732</v>
      </c>
      <c r="G1853" s="68" t="s">
        <v>733</v>
      </c>
      <c r="H1853" s="69" t="s">
        <v>1322</v>
      </c>
      <c r="I1853" s="68" t="s">
        <v>726</v>
      </c>
      <c r="J1853" s="70" t="s">
        <v>760</v>
      </c>
      <c r="K1853" s="71" t="s">
        <v>1323</v>
      </c>
      <c r="L1853" s="72">
        <v>41886</v>
      </c>
      <c r="M1853" s="73" t="s">
        <v>729</v>
      </c>
      <c r="N1853" s="74">
        <v>41905</v>
      </c>
      <c r="O1853" s="75">
        <v>41905</v>
      </c>
      <c r="P1853" s="2765" t="s">
        <v>1313</v>
      </c>
      <c r="Q1853" s="2954"/>
      <c r="R1853" s="76">
        <v>281.49</v>
      </c>
      <c r="S1853" s="1945" t="s">
        <v>731</v>
      </c>
      <c r="T1853" s="77"/>
      <c r="U1853" s="1893"/>
      <c r="V1853" s="2079">
        <f t="shared" si="452"/>
        <v>0</v>
      </c>
      <c r="W1853" s="78">
        <f t="shared" si="453"/>
        <v>332.15819999999997</v>
      </c>
      <c r="X1853" s="1878" t="str">
        <f t="shared" si="451"/>
        <v xml:space="preserve">11.- C Lima Caucho 0100107-OT_202366  Reencauche 030-0036393 </v>
      </c>
      <c r="Z1853" s="19" t="str">
        <f t="shared" si="456"/>
        <v>ReencaucheReencauchadora RENOVA</v>
      </c>
    </row>
    <row r="1854" spans="2:26" ht="15.2" customHeight="1" outlineLevel="1">
      <c r="B1854" s="37"/>
      <c r="C1854" s="2">
        <f t="shared" si="457"/>
        <v>191</v>
      </c>
      <c r="D1854" s="3">
        <f t="shared" si="458"/>
        <v>20</v>
      </c>
      <c r="E1854" s="66">
        <v>12</v>
      </c>
      <c r="F1854" s="67" t="s">
        <v>732</v>
      </c>
      <c r="G1854" s="68" t="s">
        <v>733</v>
      </c>
      <c r="H1854" s="69" t="s">
        <v>1324</v>
      </c>
      <c r="I1854" s="68" t="s">
        <v>726</v>
      </c>
      <c r="J1854" s="70" t="s">
        <v>760</v>
      </c>
      <c r="K1854" s="71" t="s">
        <v>1323</v>
      </c>
      <c r="L1854" s="72">
        <v>41886</v>
      </c>
      <c r="M1854" s="73" t="s">
        <v>729</v>
      </c>
      <c r="N1854" s="74">
        <v>41905</v>
      </c>
      <c r="O1854" s="75">
        <v>41905</v>
      </c>
      <c r="P1854" s="2765" t="s">
        <v>1313</v>
      </c>
      <c r="Q1854" s="2954"/>
      <c r="R1854" s="76">
        <v>281.49</v>
      </c>
      <c r="S1854" s="1945" t="s">
        <v>731</v>
      </c>
      <c r="T1854" s="77"/>
      <c r="U1854" s="1893"/>
      <c r="V1854" s="2079">
        <f t="shared" si="452"/>
        <v>0</v>
      </c>
      <c r="W1854" s="78">
        <f t="shared" si="453"/>
        <v>332.15819999999997</v>
      </c>
      <c r="X1854" s="1878" t="str">
        <f t="shared" si="451"/>
        <v xml:space="preserve">12.- C Lima Caucho 0060113-OT_202366  Reencauche 030-0036393 </v>
      </c>
      <c r="Z1854" s="19" t="str">
        <f t="shared" si="456"/>
        <v>ReencaucheReencauchadora RENOVA</v>
      </c>
    </row>
    <row r="1855" spans="2:26" ht="15.2" customHeight="1" outlineLevel="1">
      <c r="B1855" s="37"/>
      <c r="C1855" s="2">
        <f t="shared" si="457"/>
        <v>190</v>
      </c>
      <c r="D1855" s="3">
        <f t="shared" si="458"/>
        <v>19</v>
      </c>
      <c r="E1855" s="191">
        <v>13</v>
      </c>
      <c r="F1855" s="192" t="s">
        <v>732</v>
      </c>
      <c r="G1855" s="193" t="s">
        <v>733</v>
      </c>
      <c r="H1855" s="194" t="s">
        <v>774</v>
      </c>
      <c r="I1855" s="193" t="s">
        <v>726</v>
      </c>
      <c r="J1855" s="195" t="s">
        <v>760</v>
      </c>
      <c r="K1855" s="196" t="s">
        <v>1323</v>
      </c>
      <c r="L1855" s="197">
        <v>41886</v>
      </c>
      <c r="M1855" s="198" t="s">
        <v>729</v>
      </c>
      <c r="N1855" s="199">
        <v>41905</v>
      </c>
      <c r="O1855" s="200">
        <v>41905</v>
      </c>
      <c r="P1855" s="2778" t="s">
        <v>1313</v>
      </c>
      <c r="Q1855" s="2967"/>
      <c r="R1855" s="201">
        <v>281.49</v>
      </c>
      <c r="S1855" s="1953" t="s">
        <v>731</v>
      </c>
      <c r="T1855" s="77"/>
      <c r="U1855" s="1893"/>
      <c r="V1855" s="2079">
        <f t="shared" si="452"/>
        <v>0</v>
      </c>
      <c r="W1855" s="78">
        <f t="shared" si="453"/>
        <v>332.15819999999997</v>
      </c>
      <c r="X1855" s="1878" t="str">
        <f t="shared" si="451"/>
        <v xml:space="preserve">13.- C Lima Caucho 0050113-OT_202366  Reencauche 030-0036393 </v>
      </c>
      <c r="Z1855" s="19" t="str">
        <f t="shared" si="456"/>
        <v>ReencaucheReencauchadora RENOVA</v>
      </c>
    </row>
    <row r="1856" spans="2:26" ht="15.2" customHeight="1" outlineLevel="1">
      <c r="B1856" s="37"/>
      <c r="C1856" s="2">
        <f t="shared" si="457"/>
        <v>189</v>
      </c>
      <c r="D1856" s="3">
        <f t="shared" si="458"/>
        <v>18</v>
      </c>
      <c r="E1856" s="66">
        <v>14</v>
      </c>
      <c r="F1856" s="67" t="s">
        <v>732</v>
      </c>
      <c r="G1856" s="68" t="s">
        <v>737</v>
      </c>
      <c r="H1856" s="69" t="s">
        <v>1325</v>
      </c>
      <c r="I1856" s="68" t="s">
        <v>726</v>
      </c>
      <c r="J1856" s="70" t="s">
        <v>760</v>
      </c>
      <c r="K1856" s="71" t="s">
        <v>1323</v>
      </c>
      <c r="L1856" s="72">
        <v>41886</v>
      </c>
      <c r="M1856" s="73" t="s">
        <v>729</v>
      </c>
      <c r="N1856" s="74">
        <v>41891</v>
      </c>
      <c r="O1856" s="75">
        <v>41891</v>
      </c>
      <c r="P1856" s="2765" t="s">
        <v>1326</v>
      </c>
      <c r="Q1856" s="2954"/>
      <c r="R1856" s="76">
        <v>281.49</v>
      </c>
      <c r="S1856" s="1945" t="s">
        <v>731</v>
      </c>
      <c r="T1856" s="77"/>
      <c r="U1856" s="1893"/>
      <c r="V1856" s="2079">
        <f t="shared" si="452"/>
        <v>0</v>
      </c>
      <c r="W1856" s="78">
        <f t="shared" si="453"/>
        <v>332.15819999999997</v>
      </c>
      <c r="X1856" s="1878" t="str">
        <f t="shared" si="451"/>
        <v xml:space="preserve">14.- C Vikrant 0080312-OT_202366  Reencauche 030-0036156 </v>
      </c>
      <c r="Z1856" s="19" t="str">
        <f t="shared" si="456"/>
        <v>ReencaucheReencauchadora RENOVA</v>
      </c>
    </row>
    <row r="1857" spans="2:26" ht="15.2" customHeight="1" outlineLevel="1">
      <c r="B1857" s="37"/>
      <c r="C1857" s="2">
        <f t="shared" si="457"/>
        <v>188</v>
      </c>
      <c r="D1857" s="3">
        <f t="shared" si="458"/>
        <v>17</v>
      </c>
      <c r="E1857" s="66">
        <v>15</v>
      </c>
      <c r="F1857" s="67" t="s">
        <v>732</v>
      </c>
      <c r="G1857" s="68" t="s">
        <v>737</v>
      </c>
      <c r="H1857" s="69" t="s">
        <v>1327</v>
      </c>
      <c r="I1857" s="68" t="s">
        <v>726</v>
      </c>
      <c r="J1857" s="70" t="s">
        <v>760</v>
      </c>
      <c r="K1857" s="71" t="s">
        <v>1323</v>
      </c>
      <c r="L1857" s="72">
        <v>41886</v>
      </c>
      <c r="M1857" s="73" t="s">
        <v>729</v>
      </c>
      <c r="N1857" s="74">
        <v>41891</v>
      </c>
      <c r="O1857" s="75">
        <v>41891</v>
      </c>
      <c r="P1857" s="2765" t="s">
        <v>1326</v>
      </c>
      <c r="Q1857" s="2954"/>
      <c r="R1857" s="76">
        <v>281.49</v>
      </c>
      <c r="S1857" s="1945" t="s">
        <v>731</v>
      </c>
      <c r="T1857" s="77"/>
      <c r="U1857" s="1893"/>
      <c r="V1857" s="2079">
        <f t="shared" si="452"/>
        <v>0</v>
      </c>
      <c r="W1857" s="78">
        <f t="shared" si="453"/>
        <v>332.15819999999997</v>
      </c>
      <c r="X1857" s="1878" t="str">
        <f t="shared" si="451"/>
        <v xml:space="preserve">15.- C Vikrant 0030109-OT_202366  Reencauche 030-0036156 </v>
      </c>
      <c r="Z1857" s="19" t="str">
        <f t="shared" si="456"/>
        <v>ReencaucheReencauchadora RENOVA</v>
      </c>
    </row>
    <row r="1858" spans="2:26" ht="15.2" customHeight="1" outlineLevel="1">
      <c r="B1858" s="37"/>
      <c r="C1858" s="2">
        <f t="shared" si="457"/>
        <v>187</v>
      </c>
      <c r="D1858" s="3">
        <f t="shared" si="458"/>
        <v>16</v>
      </c>
      <c r="E1858" s="66">
        <v>16</v>
      </c>
      <c r="F1858" s="67" t="s">
        <v>732</v>
      </c>
      <c r="G1858" s="68" t="s">
        <v>737</v>
      </c>
      <c r="H1858" s="69" t="s">
        <v>1328</v>
      </c>
      <c r="I1858" s="68" t="s">
        <v>726</v>
      </c>
      <c r="J1858" s="70" t="s">
        <v>760</v>
      </c>
      <c r="K1858" s="71" t="s">
        <v>1323</v>
      </c>
      <c r="L1858" s="72">
        <v>41886</v>
      </c>
      <c r="M1858" s="73" t="s">
        <v>729</v>
      </c>
      <c r="N1858" s="74">
        <v>41891</v>
      </c>
      <c r="O1858" s="75">
        <v>41891</v>
      </c>
      <c r="P1858" s="2765" t="s">
        <v>1326</v>
      </c>
      <c r="Q1858" s="2954"/>
      <c r="R1858" s="76">
        <v>281.49</v>
      </c>
      <c r="S1858" s="1945" t="s">
        <v>731</v>
      </c>
      <c r="T1858" s="77"/>
      <c r="U1858" s="1893"/>
      <c r="V1858" s="2079">
        <f t="shared" si="452"/>
        <v>0</v>
      </c>
      <c r="W1858" s="78">
        <f t="shared" si="453"/>
        <v>332.15819999999997</v>
      </c>
      <c r="X1858" s="1878" t="str">
        <f t="shared" si="451"/>
        <v xml:space="preserve">16.- C Vikrant 0180111-OT_202366  Reencauche 030-0036156 </v>
      </c>
      <c r="Z1858" s="19" t="str">
        <f t="shared" si="456"/>
        <v>ReencaucheReencauchadora RENOVA</v>
      </c>
    </row>
    <row r="1859" spans="2:26" ht="15.2" customHeight="1" outlineLevel="1">
      <c r="B1859" s="37"/>
      <c r="C1859" s="2">
        <f t="shared" si="457"/>
        <v>186</v>
      </c>
      <c r="D1859" s="3">
        <f t="shared" si="458"/>
        <v>15</v>
      </c>
      <c r="E1859" s="66">
        <v>17</v>
      </c>
      <c r="F1859" s="67" t="s">
        <v>732</v>
      </c>
      <c r="G1859" s="68" t="s">
        <v>737</v>
      </c>
      <c r="H1859" s="69" t="s">
        <v>1329</v>
      </c>
      <c r="I1859" s="68" t="s">
        <v>726</v>
      </c>
      <c r="J1859" s="70" t="s">
        <v>760</v>
      </c>
      <c r="K1859" s="71" t="s">
        <v>1323</v>
      </c>
      <c r="L1859" s="72">
        <v>41886</v>
      </c>
      <c r="M1859" s="73" t="s">
        <v>729</v>
      </c>
      <c r="N1859" s="74">
        <v>41891</v>
      </c>
      <c r="O1859" s="75">
        <v>41891</v>
      </c>
      <c r="P1859" s="2765" t="s">
        <v>1326</v>
      </c>
      <c r="Q1859" s="2954"/>
      <c r="R1859" s="76">
        <v>281.49</v>
      </c>
      <c r="S1859" s="1945" t="s">
        <v>731</v>
      </c>
      <c r="T1859" s="77"/>
      <c r="U1859" s="1893"/>
      <c r="V1859" s="2079">
        <f t="shared" si="452"/>
        <v>0</v>
      </c>
      <c r="W1859" s="78">
        <f t="shared" si="453"/>
        <v>332.15819999999997</v>
      </c>
      <c r="X1859" s="1878" t="str">
        <f t="shared" si="451"/>
        <v xml:space="preserve">17.- C Vikrant 0080111-OT_202366  Reencauche 030-0036156 </v>
      </c>
      <c r="Z1859" s="19" t="str">
        <f t="shared" si="456"/>
        <v>ReencaucheReencauchadora RENOVA</v>
      </c>
    </row>
    <row r="1860" spans="2:26" ht="15.2" customHeight="1" outlineLevel="1">
      <c r="B1860" s="37"/>
      <c r="C1860" s="2">
        <f t="shared" si="457"/>
        <v>185</v>
      </c>
      <c r="D1860" s="3">
        <f t="shared" si="458"/>
        <v>14</v>
      </c>
      <c r="E1860" s="66">
        <v>18</v>
      </c>
      <c r="F1860" s="67" t="s">
        <v>732</v>
      </c>
      <c r="G1860" s="68" t="s">
        <v>737</v>
      </c>
      <c r="H1860" s="69" t="s">
        <v>1330</v>
      </c>
      <c r="I1860" s="68" t="s">
        <v>726</v>
      </c>
      <c r="J1860" s="70" t="s">
        <v>760</v>
      </c>
      <c r="K1860" s="71" t="s">
        <v>1323</v>
      </c>
      <c r="L1860" s="72">
        <v>41886</v>
      </c>
      <c r="M1860" s="73" t="s">
        <v>729</v>
      </c>
      <c r="N1860" s="74">
        <v>41891</v>
      </c>
      <c r="O1860" s="75">
        <v>41891</v>
      </c>
      <c r="P1860" s="2765" t="s">
        <v>1326</v>
      </c>
      <c r="Q1860" s="2954"/>
      <c r="R1860" s="76">
        <v>281.49</v>
      </c>
      <c r="S1860" s="1945" t="s">
        <v>731</v>
      </c>
      <c r="T1860" s="77"/>
      <c r="U1860" s="1893"/>
      <c r="V1860" s="2079">
        <f t="shared" si="452"/>
        <v>0</v>
      </c>
      <c r="W1860" s="78">
        <f t="shared" si="453"/>
        <v>332.15819999999997</v>
      </c>
      <c r="X1860" s="1878" t="str">
        <f t="shared" si="451"/>
        <v xml:space="preserve">18.- C Vikrant 0831007-OT_202366  Reencauche 030-0036156 </v>
      </c>
      <c r="Z1860" s="19" t="str">
        <f t="shared" si="456"/>
        <v>ReencaucheReencauchadora RENOVA</v>
      </c>
    </row>
    <row r="1861" spans="2:26" ht="15.2" customHeight="1" outlineLevel="1">
      <c r="B1861" s="37"/>
      <c r="C1861" s="2">
        <f t="shared" si="457"/>
        <v>184</v>
      </c>
      <c r="D1861" s="3">
        <f t="shared" si="458"/>
        <v>13</v>
      </c>
      <c r="E1861" s="66">
        <v>19</v>
      </c>
      <c r="F1861" s="67" t="s">
        <v>732</v>
      </c>
      <c r="G1861" s="68" t="s">
        <v>737</v>
      </c>
      <c r="H1861" s="69" t="s">
        <v>1331</v>
      </c>
      <c r="I1861" s="68" t="s">
        <v>726</v>
      </c>
      <c r="J1861" s="70" t="s">
        <v>760</v>
      </c>
      <c r="K1861" s="71" t="s">
        <v>1323</v>
      </c>
      <c r="L1861" s="72">
        <v>41886</v>
      </c>
      <c r="M1861" s="73" t="s">
        <v>729</v>
      </c>
      <c r="N1861" s="74">
        <v>41891</v>
      </c>
      <c r="O1861" s="75">
        <f>+N1861</f>
        <v>41891</v>
      </c>
      <c r="P1861" s="2765" t="s">
        <v>1326</v>
      </c>
      <c r="Q1861" s="2954"/>
      <c r="R1861" s="76">
        <v>281.49</v>
      </c>
      <c r="S1861" s="1945" t="s">
        <v>731</v>
      </c>
      <c r="T1861" s="77"/>
      <c r="U1861" s="1893"/>
      <c r="V1861" s="2079">
        <f t="shared" si="452"/>
        <v>0</v>
      </c>
      <c r="W1861" s="78">
        <f t="shared" si="453"/>
        <v>332.15819999999997</v>
      </c>
      <c r="X1861" s="1878" t="str">
        <f t="shared" si="451"/>
        <v xml:space="preserve">19.- C Vikrant 0150310-OT_202366  Reencauche 030-0036156 </v>
      </c>
      <c r="Z1861" s="19" t="str">
        <f t="shared" si="456"/>
        <v>ReencaucheReencauchadora RENOVA</v>
      </c>
    </row>
    <row r="1862" spans="2:26" ht="15.2" customHeight="1" outlineLevel="1">
      <c r="B1862" s="37"/>
      <c r="C1862" s="2">
        <f t="shared" si="457"/>
        <v>183</v>
      </c>
      <c r="D1862" s="3">
        <f t="shared" si="458"/>
        <v>12</v>
      </c>
      <c r="E1862" s="66">
        <v>20</v>
      </c>
      <c r="F1862" s="67" t="s">
        <v>732</v>
      </c>
      <c r="G1862" s="68" t="s">
        <v>733</v>
      </c>
      <c r="H1862" s="69" t="s">
        <v>1332</v>
      </c>
      <c r="I1862" s="68" t="s">
        <v>726</v>
      </c>
      <c r="J1862" s="70" t="s">
        <v>760</v>
      </c>
      <c r="K1862" s="71" t="s">
        <v>1323</v>
      </c>
      <c r="L1862" s="72">
        <v>41886</v>
      </c>
      <c r="M1862" s="73" t="s">
        <v>729</v>
      </c>
      <c r="N1862" s="74">
        <v>41891</v>
      </c>
      <c r="O1862" s="75">
        <v>41891</v>
      </c>
      <c r="P1862" s="2765" t="s">
        <v>1326</v>
      </c>
      <c r="Q1862" s="2954"/>
      <c r="R1862" s="76">
        <v>281.49</v>
      </c>
      <c r="S1862" s="1945" t="s">
        <v>731</v>
      </c>
      <c r="T1862" s="77"/>
      <c r="U1862" s="1893"/>
      <c r="V1862" s="2079">
        <f t="shared" si="452"/>
        <v>0</v>
      </c>
      <c r="W1862" s="78">
        <f t="shared" si="453"/>
        <v>332.15819999999997</v>
      </c>
      <c r="X1862" s="1878" t="str">
        <f t="shared" si="451"/>
        <v xml:space="preserve">20.- C Lima Caucho 0421112-OT_202366  Reencauche 030-0036156 </v>
      </c>
      <c r="Z1862" s="19" t="str">
        <f t="shared" si="456"/>
        <v>ReencaucheReencauchadora RENOVA</v>
      </c>
    </row>
    <row r="1863" spans="2:26" ht="15.2" customHeight="1" outlineLevel="1">
      <c r="B1863" s="37"/>
      <c r="C1863" s="2">
        <f t="shared" si="457"/>
        <v>182</v>
      </c>
      <c r="D1863" s="3">
        <f t="shared" si="458"/>
        <v>11</v>
      </c>
      <c r="E1863" s="66">
        <v>21</v>
      </c>
      <c r="F1863" s="67" t="s">
        <v>732</v>
      </c>
      <c r="G1863" s="68" t="s">
        <v>733</v>
      </c>
      <c r="H1863" s="69" t="s">
        <v>1333</v>
      </c>
      <c r="I1863" s="68" t="s">
        <v>726</v>
      </c>
      <c r="J1863" s="70" t="s">
        <v>760</v>
      </c>
      <c r="K1863" s="71" t="s">
        <v>1334</v>
      </c>
      <c r="L1863" s="72">
        <v>41886</v>
      </c>
      <c r="M1863" s="73" t="s">
        <v>729</v>
      </c>
      <c r="N1863" s="74">
        <v>41891</v>
      </c>
      <c r="O1863" s="75">
        <v>41891</v>
      </c>
      <c r="P1863" s="2765" t="s">
        <v>1326</v>
      </c>
      <c r="Q1863" s="2954"/>
      <c r="R1863" s="76">
        <v>281.49</v>
      </c>
      <c r="S1863" s="1945" t="s">
        <v>731</v>
      </c>
      <c r="T1863" s="77"/>
      <c r="U1863" s="1893"/>
      <c r="V1863" s="2079">
        <f t="shared" si="452"/>
        <v>0</v>
      </c>
      <c r="W1863" s="78">
        <f t="shared" si="453"/>
        <v>332.15819999999997</v>
      </c>
      <c r="X1863" s="1878" t="str">
        <f t="shared" si="451"/>
        <v xml:space="preserve">21.- C Lima Caucho 0881010-OT_202367  Reencauche 030-0036156 </v>
      </c>
      <c r="Z1863" s="19" t="str">
        <f t="shared" si="456"/>
        <v>Vulcanizado (curación)Reenc. MASTERCAUCHO</v>
      </c>
    </row>
    <row r="1864" spans="2:26" ht="15.2" customHeight="1" outlineLevel="1">
      <c r="B1864" s="37"/>
      <c r="C1864" s="2">
        <f t="shared" si="457"/>
        <v>181</v>
      </c>
      <c r="D1864" s="3">
        <f t="shared" si="458"/>
        <v>10</v>
      </c>
      <c r="E1864" s="66">
        <v>22</v>
      </c>
      <c r="F1864" s="67" t="s">
        <v>732</v>
      </c>
      <c r="G1864" s="68" t="s">
        <v>733</v>
      </c>
      <c r="H1864" s="69" t="s">
        <v>804</v>
      </c>
      <c r="I1864" s="68" t="s">
        <v>726</v>
      </c>
      <c r="J1864" s="70" t="s">
        <v>760</v>
      </c>
      <c r="K1864" s="71" t="s">
        <v>1334</v>
      </c>
      <c r="L1864" s="72">
        <v>41886</v>
      </c>
      <c r="M1864" s="73" t="s">
        <v>729</v>
      </c>
      <c r="N1864" s="74">
        <v>41891</v>
      </c>
      <c r="O1864" s="75">
        <v>41891</v>
      </c>
      <c r="P1864" s="2765" t="s">
        <v>1326</v>
      </c>
      <c r="Q1864" s="2954"/>
      <c r="R1864" s="76">
        <v>281.49</v>
      </c>
      <c r="S1864" s="1945" t="s">
        <v>731</v>
      </c>
      <c r="T1864" s="77"/>
      <c r="U1864" s="1893"/>
      <c r="V1864" s="2079">
        <f t="shared" si="452"/>
        <v>0</v>
      </c>
      <c r="W1864" s="78">
        <f t="shared" si="453"/>
        <v>332.15819999999997</v>
      </c>
      <c r="X1864" s="1878" t="str">
        <f t="shared" si="451"/>
        <v xml:space="preserve">22.- C Lima Caucho 1141107-OT_202367  Reencauche 030-0036156 </v>
      </c>
      <c r="Z1864" s="19" t="str">
        <f t="shared" si="456"/>
        <v>ReencaucheReenc. MASTERCAUCHO</v>
      </c>
    </row>
    <row r="1865" spans="2:26" ht="15.2" customHeight="1" outlineLevel="1">
      <c r="B1865" s="37"/>
      <c r="C1865" s="2">
        <f t="shared" si="457"/>
        <v>180</v>
      </c>
      <c r="D1865" s="3">
        <f t="shared" si="458"/>
        <v>9</v>
      </c>
      <c r="E1865" s="66">
        <v>23</v>
      </c>
      <c r="F1865" s="80" t="s">
        <v>732</v>
      </c>
      <c r="G1865" s="81" t="s">
        <v>733</v>
      </c>
      <c r="H1865" s="82" t="s">
        <v>1335</v>
      </c>
      <c r="I1865" s="81" t="s">
        <v>726</v>
      </c>
      <c r="J1865" s="83" t="s">
        <v>760</v>
      </c>
      <c r="K1865" s="84" t="s">
        <v>1334</v>
      </c>
      <c r="L1865" s="85">
        <v>41886</v>
      </c>
      <c r="M1865" s="86" t="s">
        <v>729</v>
      </c>
      <c r="N1865" s="87">
        <v>41891</v>
      </c>
      <c r="O1865" s="88">
        <v>41891</v>
      </c>
      <c r="P1865" s="2766" t="s">
        <v>1326</v>
      </c>
      <c r="Q1865" s="2955"/>
      <c r="R1865" s="89">
        <v>281.49</v>
      </c>
      <c r="S1865" s="1946" t="s">
        <v>731</v>
      </c>
      <c r="T1865" s="77"/>
      <c r="U1865" s="1893"/>
      <c r="V1865" s="2079">
        <f t="shared" si="452"/>
        <v>0</v>
      </c>
      <c r="W1865" s="78">
        <f t="shared" si="453"/>
        <v>332.15819999999997</v>
      </c>
      <c r="X1865" s="1878" t="str">
        <f t="shared" si="451"/>
        <v xml:space="preserve">23.- C Lima Caucho 0070108-OT_202367  Reencauche 030-0036156 </v>
      </c>
      <c r="Z1865" s="19" t="str">
        <f t="shared" si="456"/>
        <v>ReencaucheReenc. MASTERCAUCHO</v>
      </c>
    </row>
    <row r="1866" spans="2:26" ht="15.2" customHeight="1" outlineLevel="1">
      <c r="B1866" s="37"/>
      <c r="C1866" s="2">
        <f t="shared" si="457"/>
        <v>179</v>
      </c>
      <c r="D1866" s="3">
        <f t="shared" si="458"/>
        <v>8</v>
      </c>
      <c r="E1866" s="124">
        <v>1</v>
      </c>
      <c r="F1866" s="125" t="s">
        <v>732</v>
      </c>
      <c r="G1866" s="126" t="s">
        <v>737</v>
      </c>
      <c r="H1866" s="127" t="s">
        <v>948</v>
      </c>
      <c r="I1866" s="202" t="s">
        <v>811</v>
      </c>
      <c r="J1866" s="203" t="s">
        <v>727</v>
      </c>
      <c r="K1866" s="128" t="s">
        <v>1125</v>
      </c>
      <c r="L1866" s="129">
        <v>41890</v>
      </c>
      <c r="M1866" s="130" t="s">
        <v>729</v>
      </c>
      <c r="N1866" s="131">
        <v>41891</v>
      </c>
      <c r="O1866" s="132">
        <f t="shared" ref="O1866:O1873" si="459">+N1866</f>
        <v>41891</v>
      </c>
      <c r="P1866" s="2767" t="s">
        <v>1336</v>
      </c>
      <c r="Q1866" s="2962"/>
      <c r="R1866" s="133">
        <v>105.93</v>
      </c>
      <c r="S1866" s="1942" t="s">
        <v>731</v>
      </c>
      <c r="T1866" s="77"/>
      <c r="U1866" s="1893"/>
      <c r="V1866" s="2079">
        <f t="shared" si="452"/>
        <v>0</v>
      </c>
      <c r="W1866" s="78">
        <f t="shared" si="453"/>
        <v>124.9974</v>
      </c>
      <c r="X1866" s="1878" t="str">
        <f t="shared" si="451"/>
        <v xml:space="preserve">1.- C Vikrant 0050312-OT_000246  Vulcanizado (curación) 0001-001613 </v>
      </c>
      <c r="Z1866" s="19" t="str">
        <f t="shared" si="456"/>
        <v>ReencaucheReenc. MASTERCAUCHO</v>
      </c>
    </row>
    <row r="1867" spans="2:26" ht="15.2" customHeight="1" outlineLevel="1">
      <c r="B1867" s="37"/>
      <c r="C1867" s="2">
        <f t="shared" si="457"/>
        <v>178</v>
      </c>
      <c r="D1867" s="3">
        <f t="shared" si="458"/>
        <v>7</v>
      </c>
      <c r="E1867" s="66">
        <v>2</v>
      </c>
      <c r="F1867" s="67" t="s">
        <v>732</v>
      </c>
      <c r="G1867" s="68" t="s">
        <v>737</v>
      </c>
      <c r="H1867" s="69" t="s">
        <v>1337</v>
      </c>
      <c r="I1867" s="68" t="s">
        <v>726</v>
      </c>
      <c r="J1867" s="70" t="s">
        <v>727</v>
      </c>
      <c r="K1867" s="71" t="s">
        <v>1338</v>
      </c>
      <c r="L1867" s="72">
        <v>41884</v>
      </c>
      <c r="M1867" s="73" t="s">
        <v>729</v>
      </c>
      <c r="N1867" s="74">
        <v>41891</v>
      </c>
      <c r="O1867" s="75">
        <f t="shared" si="459"/>
        <v>41891</v>
      </c>
      <c r="P1867" s="2765" t="s">
        <v>1336</v>
      </c>
      <c r="Q1867" s="2954"/>
      <c r="R1867" s="76">
        <v>254.24</v>
      </c>
      <c r="S1867" s="1945" t="s">
        <v>731</v>
      </c>
      <c r="T1867" s="77"/>
      <c r="U1867" s="1893"/>
      <c r="V1867" s="2079">
        <f t="shared" si="452"/>
        <v>0</v>
      </c>
      <c r="W1867" s="78">
        <f t="shared" si="453"/>
        <v>300.00319999999999</v>
      </c>
      <c r="X1867" s="1878" t="str">
        <f t="shared" si="451"/>
        <v xml:space="preserve">2.- C Vikrant 0821009-OT_000172  Reencauche 0001-001613 </v>
      </c>
      <c r="Z1867" s="19" t="str">
        <f t="shared" si="456"/>
        <v>ReencaucheReenc. MASTERCAUCHO</v>
      </c>
    </row>
    <row r="1868" spans="2:26" ht="15.2" customHeight="1" outlineLevel="1">
      <c r="B1868" s="37"/>
      <c r="C1868" s="2">
        <f t="shared" si="457"/>
        <v>177</v>
      </c>
      <c r="D1868" s="3">
        <f t="shared" si="458"/>
        <v>6</v>
      </c>
      <c r="E1868" s="66">
        <v>3</v>
      </c>
      <c r="F1868" s="67" t="s">
        <v>732</v>
      </c>
      <c r="G1868" s="68" t="s">
        <v>737</v>
      </c>
      <c r="H1868" s="69" t="s">
        <v>1339</v>
      </c>
      <c r="I1868" s="68" t="s">
        <v>726</v>
      </c>
      <c r="J1868" s="70" t="s">
        <v>727</v>
      </c>
      <c r="K1868" s="71" t="s">
        <v>1338</v>
      </c>
      <c r="L1868" s="72">
        <v>41884</v>
      </c>
      <c r="M1868" s="73" t="s">
        <v>729</v>
      </c>
      <c r="N1868" s="74">
        <v>41891</v>
      </c>
      <c r="O1868" s="75">
        <f t="shared" si="459"/>
        <v>41891</v>
      </c>
      <c r="P1868" s="2765" t="s">
        <v>1336</v>
      </c>
      <c r="Q1868" s="2954"/>
      <c r="R1868" s="76">
        <v>254.24</v>
      </c>
      <c r="S1868" s="1945" t="s">
        <v>731</v>
      </c>
      <c r="T1868" s="77"/>
      <c r="U1868" s="1893"/>
      <c r="V1868" s="2079">
        <f t="shared" si="452"/>
        <v>0</v>
      </c>
      <c r="W1868" s="78">
        <f t="shared" si="453"/>
        <v>300.00319999999999</v>
      </c>
      <c r="X1868" s="1878" t="str">
        <f t="shared" si="451"/>
        <v xml:space="preserve">3.- C Vikrant 0390310-OT_000172  Reencauche 0001-001613 </v>
      </c>
      <c r="Z1868" s="19" t="str">
        <f t="shared" si="456"/>
        <v>ReencaucheReenc. MASTERCAUCHO</v>
      </c>
    </row>
    <row r="1869" spans="2:26" ht="15.2" customHeight="1" outlineLevel="1">
      <c r="B1869" s="37"/>
      <c r="C1869" s="2">
        <f t="shared" si="457"/>
        <v>176</v>
      </c>
      <c r="D1869" s="3">
        <f t="shared" si="458"/>
        <v>5</v>
      </c>
      <c r="E1869" s="79">
        <v>4</v>
      </c>
      <c r="F1869" s="80" t="s">
        <v>732</v>
      </c>
      <c r="G1869" s="81" t="s">
        <v>737</v>
      </c>
      <c r="H1869" s="82" t="s">
        <v>1340</v>
      </c>
      <c r="I1869" s="81" t="s">
        <v>726</v>
      </c>
      <c r="J1869" s="83" t="s">
        <v>727</v>
      </c>
      <c r="K1869" s="84" t="s">
        <v>1338</v>
      </c>
      <c r="L1869" s="85">
        <v>41884</v>
      </c>
      <c r="M1869" s="86" t="s">
        <v>729</v>
      </c>
      <c r="N1869" s="87">
        <v>41891</v>
      </c>
      <c r="O1869" s="88">
        <f t="shared" si="459"/>
        <v>41891</v>
      </c>
      <c r="P1869" s="2766" t="s">
        <v>1336</v>
      </c>
      <c r="Q1869" s="2955"/>
      <c r="R1869" s="89">
        <v>254.24</v>
      </c>
      <c r="S1869" s="1946" t="s">
        <v>731</v>
      </c>
      <c r="T1869" s="77"/>
      <c r="U1869" s="1893"/>
      <c r="V1869" s="2079">
        <f t="shared" si="452"/>
        <v>0</v>
      </c>
      <c r="W1869" s="78">
        <f t="shared" si="453"/>
        <v>300.00319999999999</v>
      </c>
      <c r="X1869" s="1878" t="str">
        <f t="shared" si="451"/>
        <v xml:space="preserve">4.- C Vikrant 0060111-OT_000172  Reencauche 0001-001613 </v>
      </c>
      <c r="Z1869" s="19" t="str">
        <f t="shared" si="456"/>
        <v>Banda de 2ª usadaReenc. MASTERCAUCHO</v>
      </c>
    </row>
    <row r="1870" spans="2:26" ht="15.2" customHeight="1" outlineLevel="1">
      <c r="B1870" s="37"/>
      <c r="C1870" s="2">
        <f t="shared" si="457"/>
        <v>175</v>
      </c>
      <c r="D1870" s="3">
        <f t="shared" si="458"/>
        <v>4</v>
      </c>
      <c r="E1870" s="66">
        <v>1</v>
      </c>
      <c r="F1870" s="67" t="s">
        <v>732</v>
      </c>
      <c r="G1870" s="68" t="s">
        <v>737</v>
      </c>
      <c r="H1870" s="69" t="s">
        <v>1039</v>
      </c>
      <c r="I1870" s="68" t="s">
        <v>726</v>
      </c>
      <c r="J1870" s="70" t="s">
        <v>727</v>
      </c>
      <c r="K1870" s="71" t="s">
        <v>1341</v>
      </c>
      <c r="L1870" s="72">
        <v>41871</v>
      </c>
      <c r="M1870" s="73" t="s">
        <v>729</v>
      </c>
      <c r="N1870" s="74">
        <v>41884</v>
      </c>
      <c r="O1870" s="75">
        <f t="shared" si="459"/>
        <v>41884</v>
      </c>
      <c r="P1870" s="2765" t="s">
        <v>1342</v>
      </c>
      <c r="Q1870" s="2954"/>
      <c r="R1870" s="76">
        <v>254.24</v>
      </c>
      <c r="S1870" s="1945" t="s">
        <v>731</v>
      </c>
      <c r="T1870" s="77"/>
      <c r="U1870" s="1893"/>
      <c r="V1870" s="2079">
        <f t="shared" si="452"/>
        <v>0</v>
      </c>
      <c r="W1870" s="78">
        <f t="shared" si="453"/>
        <v>300.00319999999999</v>
      </c>
      <c r="X1870" s="1878" t="str">
        <f t="shared" si="451"/>
        <v xml:space="preserve">1.- C Vikrant 0781009-OT_000163  Reencauche 0001-001577 </v>
      </c>
      <c r="Z1870" s="19" t="str">
        <f t="shared" si="456"/>
        <v>Banda de 2ª usadaReenc. MASTERCAUCHO</v>
      </c>
    </row>
    <row r="1871" spans="2:26" ht="15.2" customHeight="1">
      <c r="B1871" s="37"/>
      <c r="C1871" s="2">
        <f t="shared" si="457"/>
        <v>174</v>
      </c>
      <c r="D1871" s="3">
        <f t="shared" si="458"/>
        <v>3</v>
      </c>
      <c r="E1871" s="66">
        <v>2</v>
      </c>
      <c r="F1871" s="67" t="s">
        <v>732</v>
      </c>
      <c r="G1871" s="68" t="s">
        <v>733</v>
      </c>
      <c r="H1871" s="69" t="s">
        <v>1344</v>
      </c>
      <c r="I1871" s="68" t="s">
        <v>726</v>
      </c>
      <c r="J1871" s="70" t="s">
        <v>727</v>
      </c>
      <c r="K1871" s="71" t="s">
        <v>1341</v>
      </c>
      <c r="L1871" s="72">
        <v>41871</v>
      </c>
      <c r="M1871" s="73" t="s">
        <v>729</v>
      </c>
      <c r="N1871" s="74">
        <v>41884</v>
      </c>
      <c r="O1871" s="75">
        <f t="shared" si="459"/>
        <v>41884</v>
      </c>
      <c r="P1871" s="2765" t="s">
        <v>1342</v>
      </c>
      <c r="Q1871" s="2954"/>
      <c r="R1871" s="76">
        <v>254.24</v>
      </c>
      <c r="S1871" s="1945" t="s">
        <v>731</v>
      </c>
      <c r="T1871" s="77"/>
      <c r="U1871" s="1893"/>
      <c r="V1871" s="2079">
        <f t="shared" si="452"/>
        <v>0</v>
      </c>
      <c r="W1871" s="78">
        <f t="shared" si="453"/>
        <v>300.00319999999999</v>
      </c>
      <c r="X1871" s="1878" t="str">
        <f t="shared" si="451"/>
        <v xml:space="preserve">2.- C Lima Caucho 048077-OT_000163  Reencauche 0001-001577 </v>
      </c>
    </row>
    <row r="1872" spans="2:26" ht="15.2" customHeight="1" outlineLevel="1">
      <c r="B1872" s="37"/>
      <c r="C1872" s="2">
        <f t="shared" si="457"/>
        <v>173</v>
      </c>
      <c r="D1872" s="3">
        <f t="shared" si="458"/>
        <v>2</v>
      </c>
      <c r="E1872" s="66">
        <v>3</v>
      </c>
      <c r="F1872" s="67" t="s">
        <v>732</v>
      </c>
      <c r="G1872" s="68" t="s">
        <v>831</v>
      </c>
      <c r="H1872" s="69" t="s">
        <v>1345</v>
      </c>
      <c r="I1872" s="90" t="s">
        <v>742</v>
      </c>
      <c r="J1872" s="92" t="s">
        <v>727</v>
      </c>
      <c r="K1872" s="71" t="s">
        <v>1341</v>
      </c>
      <c r="L1872" s="72">
        <v>41871</v>
      </c>
      <c r="M1872" s="73" t="s">
        <v>729</v>
      </c>
      <c r="N1872" s="74">
        <v>41884</v>
      </c>
      <c r="O1872" s="75">
        <f t="shared" si="459"/>
        <v>41884</v>
      </c>
      <c r="P1872" s="2765" t="s">
        <v>1342</v>
      </c>
      <c r="Q1872" s="2954"/>
      <c r="R1872" s="76">
        <f>275/(1.18)</f>
        <v>233.05084745762713</v>
      </c>
      <c r="S1872" s="1945" t="s">
        <v>731</v>
      </c>
      <c r="T1872" s="77"/>
      <c r="U1872" s="1893"/>
      <c r="V1872" s="2079">
        <f t="shared" si="452"/>
        <v>0</v>
      </c>
      <c r="W1872" s="78">
        <f t="shared" si="453"/>
        <v>275</v>
      </c>
      <c r="X1872" s="1878" t="str">
        <f t="shared" si="451"/>
        <v xml:space="preserve">3.- C Kumho 0310305-OT_000163  Banda de 2ª usada 0001-001577 </v>
      </c>
      <c r="Z1872" s="19" t="str">
        <f t="shared" ref="Z1872:Z1902" si="460">CONCATENATE(I1875,J1875)</f>
        <v>Vulcanizado (curación)Reenc. MASTERCAUCHO</v>
      </c>
    </row>
    <row r="1873" spans="2:26" ht="15.2" customHeight="1" outlineLevel="1">
      <c r="B1873" s="37"/>
      <c r="C1873" s="2">
        <f>1+C1875</f>
        <v>172</v>
      </c>
      <c r="D1873" s="3">
        <v>1</v>
      </c>
      <c r="E1873" s="79">
        <v>4</v>
      </c>
      <c r="F1873" s="80" t="s">
        <v>732</v>
      </c>
      <c r="G1873" s="81" t="s">
        <v>1346</v>
      </c>
      <c r="H1873" s="82" t="s">
        <v>1347</v>
      </c>
      <c r="I1873" s="114" t="s">
        <v>742</v>
      </c>
      <c r="J1873" s="93" t="s">
        <v>727</v>
      </c>
      <c r="K1873" s="84" t="s">
        <v>1341</v>
      </c>
      <c r="L1873" s="85">
        <v>41871</v>
      </c>
      <c r="M1873" s="86" t="s">
        <v>729</v>
      </c>
      <c r="N1873" s="87">
        <v>41884</v>
      </c>
      <c r="O1873" s="88">
        <f t="shared" si="459"/>
        <v>41884</v>
      </c>
      <c r="P1873" s="2766" t="s">
        <v>1342</v>
      </c>
      <c r="Q1873" s="2955"/>
      <c r="R1873" s="89">
        <v>233.05</v>
      </c>
      <c r="S1873" s="1946" t="s">
        <v>731</v>
      </c>
      <c r="T1873" s="77"/>
      <c r="U1873" s="1893"/>
      <c r="V1873" s="2079">
        <f t="shared" si="452"/>
        <v>0</v>
      </c>
      <c r="W1873" s="78">
        <f t="shared" si="453"/>
        <v>274.99900000000002</v>
      </c>
      <c r="X1873" s="1878" t="str">
        <f t="shared" si="451"/>
        <v xml:space="preserve">4.- C Nexen 1531004-OT_000163  Banda de 2ª usada 0001-001577 </v>
      </c>
      <c r="Z1873" s="19" t="str">
        <f t="shared" si="460"/>
        <v>Vulcanizado (curación)Reenc. MASTERCAUCHO</v>
      </c>
    </row>
    <row r="1874" spans="2:26" ht="15.2" customHeight="1" outlineLevel="1">
      <c r="B1874" s="1">
        <v>41852</v>
      </c>
      <c r="C1874" s="1"/>
      <c r="D1874" s="173">
        <f>+D1875</f>
        <v>27</v>
      </c>
      <c r="E1874" s="66"/>
      <c r="F1874" s="67"/>
      <c r="G1874" s="68"/>
      <c r="H1874" s="69"/>
      <c r="I1874" s="68"/>
      <c r="J1874" s="70"/>
      <c r="K1874" s="71"/>
      <c r="L1874" s="72"/>
      <c r="M1874" s="73"/>
      <c r="N1874" s="74"/>
      <c r="O1874" s="75"/>
      <c r="P1874" s="2765"/>
      <c r="Q1874" s="2954"/>
      <c r="R1874" s="76"/>
      <c r="S1874" s="1945"/>
      <c r="T1874" s="77"/>
      <c r="U1874" s="1893"/>
      <c r="V1874" s="2079">
        <f t="shared" si="452"/>
        <v>0</v>
      </c>
      <c r="W1874" s="78">
        <f t="shared" si="453"/>
        <v>0</v>
      </c>
      <c r="X1874" s="1878" t="str">
        <f t="shared" si="451"/>
        <v xml:space="preserve">.-   -OT_    </v>
      </c>
      <c r="Z1874" s="19" t="str">
        <f t="shared" si="460"/>
        <v>Transpl BandaReenc. MASTERCAUCHO</v>
      </c>
    </row>
    <row r="1875" spans="2:26" ht="15.2" customHeight="1" outlineLevel="1">
      <c r="B1875" s="37"/>
      <c r="C1875" s="2">
        <f t="shared" ref="C1875:D1877" si="461">1+C1876</f>
        <v>171</v>
      </c>
      <c r="D1875" s="3">
        <f t="shared" si="461"/>
        <v>27</v>
      </c>
      <c r="E1875" s="66">
        <v>1</v>
      </c>
      <c r="F1875" s="67" t="s">
        <v>723</v>
      </c>
      <c r="G1875" s="68" t="s">
        <v>724</v>
      </c>
      <c r="H1875" s="69" t="s">
        <v>1348</v>
      </c>
      <c r="I1875" s="68" t="s">
        <v>811</v>
      </c>
      <c r="J1875" s="70" t="s">
        <v>727</v>
      </c>
      <c r="K1875" s="71" t="s">
        <v>1349</v>
      </c>
      <c r="L1875" s="72">
        <v>41856</v>
      </c>
      <c r="M1875" s="73" t="s">
        <v>729</v>
      </c>
      <c r="N1875" s="74">
        <v>41858</v>
      </c>
      <c r="O1875" s="75">
        <f>+N1875</f>
        <v>41858</v>
      </c>
      <c r="P1875" s="2765" t="s">
        <v>1350</v>
      </c>
      <c r="Q1875" s="2954"/>
      <c r="R1875" s="76">
        <v>105.93</v>
      </c>
      <c r="S1875" s="1945" t="s">
        <v>731</v>
      </c>
      <c r="T1875" s="77"/>
      <c r="U1875" s="1893" t="s">
        <v>694</v>
      </c>
      <c r="V1875" s="2079">
        <f t="shared" si="452"/>
        <v>0</v>
      </c>
      <c r="W1875" s="78">
        <f t="shared" si="453"/>
        <v>124.9974</v>
      </c>
      <c r="X1875" s="1878" t="str">
        <f t="shared" si="451"/>
        <v xml:space="preserve">1.- R Aeolus 0220614-OT_000150  Vulcanizado (curación) 0001-001497 </v>
      </c>
      <c r="Z1875" s="19" t="str">
        <f t="shared" si="460"/>
        <v>Transpl BandaReenc. MASTERCAUCHO</v>
      </c>
    </row>
    <row r="1876" spans="2:26" ht="15.2" customHeight="1" outlineLevel="1">
      <c r="B1876" s="37"/>
      <c r="C1876" s="2">
        <f t="shared" si="461"/>
        <v>170</v>
      </c>
      <c r="D1876" s="3">
        <f t="shared" si="461"/>
        <v>26</v>
      </c>
      <c r="E1876" s="66">
        <v>2</v>
      </c>
      <c r="F1876" s="67" t="s">
        <v>723</v>
      </c>
      <c r="G1876" s="68" t="s">
        <v>825</v>
      </c>
      <c r="H1876" s="69" t="s">
        <v>859</v>
      </c>
      <c r="I1876" s="68" t="s">
        <v>811</v>
      </c>
      <c r="J1876" s="70" t="s">
        <v>727</v>
      </c>
      <c r="K1876" s="71" t="s">
        <v>1349</v>
      </c>
      <c r="L1876" s="72">
        <v>41856</v>
      </c>
      <c r="M1876" s="73" t="s">
        <v>729</v>
      </c>
      <c r="N1876" s="74">
        <v>41863</v>
      </c>
      <c r="O1876" s="75">
        <v>41863</v>
      </c>
      <c r="P1876" s="2765" t="s">
        <v>1350</v>
      </c>
      <c r="Q1876" s="2954"/>
      <c r="R1876" s="76">
        <v>0</v>
      </c>
      <c r="S1876" s="1945" t="s">
        <v>731</v>
      </c>
      <c r="T1876" s="77" t="s">
        <v>1351</v>
      </c>
      <c r="U1876" s="1893" t="s">
        <v>694</v>
      </c>
      <c r="V1876" s="2079">
        <f t="shared" si="452"/>
        <v>0</v>
      </c>
      <c r="W1876" s="78">
        <f t="shared" si="453"/>
        <v>0</v>
      </c>
      <c r="X1876" s="1878" t="str">
        <f t="shared" si="451"/>
        <v>2.- R Falken 0510611-OT_000150  Vulcanizado (curación) 0001-001497 Reclamo por desprendimiento de banda</v>
      </c>
      <c r="Z1876" s="19" t="str">
        <f t="shared" si="460"/>
        <v>Sacar_BandaReenc. MASTERCAUCHO</v>
      </c>
    </row>
    <row r="1877" spans="2:26" ht="15.2" customHeight="1" outlineLevel="1">
      <c r="B1877" s="37"/>
      <c r="C1877" s="2">
        <f t="shared" si="461"/>
        <v>169</v>
      </c>
      <c r="D1877" s="3">
        <f t="shared" si="461"/>
        <v>25</v>
      </c>
      <c r="E1877" s="66">
        <v>3</v>
      </c>
      <c r="F1877" s="67" t="s">
        <v>732</v>
      </c>
      <c r="G1877" s="68" t="s">
        <v>733</v>
      </c>
      <c r="H1877" s="69" t="s">
        <v>1021</v>
      </c>
      <c r="I1877" s="90" t="s">
        <v>740</v>
      </c>
      <c r="J1877" s="92" t="s">
        <v>727</v>
      </c>
      <c r="K1877" s="71" t="s">
        <v>1349</v>
      </c>
      <c r="L1877" s="72">
        <v>41856</v>
      </c>
      <c r="M1877" s="73" t="s">
        <v>729</v>
      </c>
      <c r="N1877" s="74">
        <v>41863</v>
      </c>
      <c r="O1877" s="75">
        <v>41863</v>
      </c>
      <c r="P1877" s="2765" t="s">
        <v>1350</v>
      </c>
      <c r="Q1877" s="2954"/>
      <c r="R1877" s="76">
        <v>127.12</v>
      </c>
      <c r="S1877" s="1945" t="s">
        <v>731</v>
      </c>
      <c r="T1877" s="77"/>
      <c r="U1877" s="1893"/>
      <c r="V1877" s="2079">
        <f t="shared" si="452"/>
        <v>0</v>
      </c>
      <c r="W1877" s="78">
        <f t="shared" si="453"/>
        <v>150.0016</v>
      </c>
      <c r="X1877" s="1878" t="str">
        <f t="shared" si="451"/>
        <v xml:space="preserve">3.- C Lima Caucho 0820910-OT_000150  Transpl Banda 0001-001497 </v>
      </c>
      <c r="Z1877" s="19" t="str">
        <f t="shared" si="460"/>
        <v>Sacar_BandaReenc. MASTERCAUCHO</v>
      </c>
    </row>
    <row r="1878" spans="2:26" ht="15.2" customHeight="1" outlineLevel="1">
      <c r="B1878" s="37"/>
      <c r="C1878" s="2">
        <f>1+C1881</f>
        <v>168</v>
      </c>
      <c r="D1878" s="3">
        <f>1+D1881</f>
        <v>24</v>
      </c>
      <c r="E1878" s="66">
        <v>4</v>
      </c>
      <c r="F1878" s="67" t="s">
        <v>732</v>
      </c>
      <c r="G1878" s="68" t="s">
        <v>737</v>
      </c>
      <c r="H1878" s="69" t="s">
        <v>1352</v>
      </c>
      <c r="I1878" s="90" t="s">
        <v>740</v>
      </c>
      <c r="J1878" s="92" t="s">
        <v>727</v>
      </c>
      <c r="K1878" s="71" t="s">
        <v>1349</v>
      </c>
      <c r="L1878" s="72">
        <v>41856</v>
      </c>
      <c r="M1878" s="73" t="s">
        <v>729</v>
      </c>
      <c r="N1878" s="74">
        <v>41863</v>
      </c>
      <c r="O1878" s="75">
        <v>41863</v>
      </c>
      <c r="P1878" s="2765" t="s">
        <v>1350</v>
      </c>
      <c r="Q1878" s="2954"/>
      <c r="R1878" s="76">
        <v>127.12</v>
      </c>
      <c r="S1878" s="1945" t="s">
        <v>731</v>
      </c>
      <c r="T1878" s="77"/>
      <c r="U1878" s="1893"/>
      <c r="V1878" s="2079">
        <f t="shared" si="452"/>
        <v>0</v>
      </c>
      <c r="W1878" s="78">
        <f t="shared" si="453"/>
        <v>150.0016</v>
      </c>
      <c r="X1878" s="1878" t="str">
        <f t="shared" si="451"/>
        <v xml:space="preserve">4.- C Vikrant 070310-OT_000150  Transpl Banda 0001-001497 </v>
      </c>
      <c r="Z1878" s="19" t="str">
        <f t="shared" si="460"/>
        <v>ReencaucheReencauchadora RENOVA</v>
      </c>
    </row>
    <row r="1879" spans="2:26" ht="15.2" customHeight="1" outlineLevel="1">
      <c r="B1879" s="37"/>
      <c r="E1879" s="66">
        <v>5</v>
      </c>
      <c r="F1879" s="67" t="s">
        <v>732</v>
      </c>
      <c r="G1879" s="68" t="s">
        <v>733</v>
      </c>
      <c r="H1879" s="69" t="s">
        <v>1353</v>
      </c>
      <c r="I1879" s="90" t="s">
        <v>744</v>
      </c>
      <c r="J1879" s="92" t="s">
        <v>727</v>
      </c>
      <c r="K1879" s="71" t="s">
        <v>1349</v>
      </c>
      <c r="L1879" s="72">
        <v>41856</v>
      </c>
      <c r="M1879" s="73" t="s">
        <v>729</v>
      </c>
      <c r="N1879" s="74">
        <v>41863</v>
      </c>
      <c r="O1879" s="75">
        <v>41863</v>
      </c>
      <c r="P1879" s="2765" t="s">
        <v>1350</v>
      </c>
      <c r="Q1879" s="2954"/>
      <c r="R1879" s="76">
        <v>0</v>
      </c>
      <c r="S1879" s="1945" t="s">
        <v>731</v>
      </c>
      <c r="T1879" s="77"/>
      <c r="U1879" s="1893"/>
      <c r="V1879" s="2079">
        <f t="shared" si="452"/>
        <v>0</v>
      </c>
      <c r="W1879" s="78">
        <f t="shared" si="453"/>
        <v>0</v>
      </c>
      <c r="X1879" s="1878" t="str">
        <f t="shared" si="451"/>
        <v xml:space="preserve">5.- C Lima Caucho 0570708-OT_000150  Sacar_Banda 0001-001497 </v>
      </c>
      <c r="Z1879" s="19" t="str">
        <f t="shared" si="460"/>
        <v>ReencaucheReencauchadora RENOVA</v>
      </c>
    </row>
    <row r="1880" spans="2:26" ht="15.2" customHeight="1" outlineLevel="1">
      <c r="B1880" s="37"/>
      <c r="E1880" s="79">
        <v>6</v>
      </c>
      <c r="F1880" s="80" t="s">
        <v>732</v>
      </c>
      <c r="G1880" s="81" t="s">
        <v>733</v>
      </c>
      <c r="H1880" s="82" t="s">
        <v>1354</v>
      </c>
      <c r="I1880" s="114" t="s">
        <v>744</v>
      </c>
      <c r="J1880" s="93" t="s">
        <v>727</v>
      </c>
      <c r="K1880" s="84" t="s">
        <v>1349</v>
      </c>
      <c r="L1880" s="85">
        <v>41856</v>
      </c>
      <c r="M1880" s="86" t="s">
        <v>729</v>
      </c>
      <c r="N1880" s="87">
        <v>41863</v>
      </c>
      <c r="O1880" s="88">
        <v>41863</v>
      </c>
      <c r="P1880" s="2766" t="s">
        <v>1350</v>
      </c>
      <c r="Q1880" s="2955"/>
      <c r="R1880" s="89">
        <v>0</v>
      </c>
      <c r="S1880" s="1946" t="s">
        <v>731</v>
      </c>
      <c r="T1880" s="77"/>
      <c r="U1880" s="1893"/>
      <c r="V1880" s="2079">
        <f t="shared" si="452"/>
        <v>0</v>
      </c>
      <c r="W1880" s="78">
        <f t="shared" si="453"/>
        <v>0</v>
      </c>
      <c r="X1880" s="1878" t="str">
        <f t="shared" si="451"/>
        <v xml:space="preserve">6.- C Lima Caucho 0670808-OT_000150  Sacar_Banda 0001-001497 </v>
      </c>
      <c r="Z1880" s="19" t="str">
        <f t="shared" si="460"/>
        <v>ReencaucheReencauchadora RENOVA</v>
      </c>
    </row>
    <row r="1881" spans="2:26" ht="15.2" customHeight="1" outlineLevel="1">
      <c r="B1881" s="37"/>
      <c r="C1881" s="2">
        <f t="shared" ref="C1881:C1902" si="462">1+C1882</f>
        <v>167</v>
      </c>
      <c r="D1881" s="3">
        <f t="shared" ref="D1881:D1902" si="463">1+D1882</f>
        <v>23</v>
      </c>
      <c r="E1881" s="66">
        <v>1</v>
      </c>
      <c r="F1881" s="67" t="s">
        <v>732</v>
      </c>
      <c r="G1881" s="68" t="s">
        <v>733</v>
      </c>
      <c r="H1881" s="69" t="s">
        <v>1355</v>
      </c>
      <c r="I1881" s="68" t="s">
        <v>726</v>
      </c>
      <c r="J1881" s="70" t="s">
        <v>760</v>
      </c>
      <c r="K1881" s="71" t="s">
        <v>1356</v>
      </c>
      <c r="L1881" s="72">
        <v>41852</v>
      </c>
      <c r="M1881" s="73" t="s">
        <v>729</v>
      </c>
      <c r="N1881" s="74">
        <v>41866</v>
      </c>
      <c r="O1881" s="75">
        <f>+N1881</f>
        <v>41866</v>
      </c>
      <c r="P1881" s="2765" t="s">
        <v>1357</v>
      </c>
      <c r="Q1881" s="2954"/>
      <c r="R1881" s="76">
        <v>281.49</v>
      </c>
      <c r="S1881" s="1945" t="s">
        <v>731</v>
      </c>
      <c r="T1881" s="77"/>
      <c r="U1881" s="1893"/>
      <c r="V1881" s="2079">
        <f t="shared" si="452"/>
        <v>0</v>
      </c>
      <c r="W1881" s="78">
        <f t="shared" si="453"/>
        <v>332.15819999999997</v>
      </c>
      <c r="X1881" s="1878" t="str">
        <f t="shared" si="451"/>
        <v xml:space="preserve">1.- C Lima Caucho 0390608-OT_200815  Reencauche 030-0035725 </v>
      </c>
      <c r="Z1881" s="19" t="str">
        <f t="shared" si="460"/>
        <v>ReencaucheReencauchadora RENOVA</v>
      </c>
    </row>
    <row r="1882" spans="2:26" ht="15.2" customHeight="1" outlineLevel="1">
      <c r="B1882" s="37"/>
      <c r="C1882" s="2">
        <f t="shared" si="462"/>
        <v>166</v>
      </c>
      <c r="D1882" s="3">
        <f t="shared" si="463"/>
        <v>22</v>
      </c>
      <c r="E1882" s="66">
        <v>2</v>
      </c>
      <c r="F1882" s="67" t="s">
        <v>732</v>
      </c>
      <c r="G1882" s="68" t="s">
        <v>733</v>
      </c>
      <c r="H1882" s="69" t="s">
        <v>1358</v>
      </c>
      <c r="I1882" s="68" t="s">
        <v>726</v>
      </c>
      <c r="J1882" s="70" t="s">
        <v>760</v>
      </c>
      <c r="K1882" s="71" t="s">
        <v>1356</v>
      </c>
      <c r="L1882" s="72">
        <v>41852</v>
      </c>
      <c r="M1882" s="73" t="s">
        <v>729</v>
      </c>
      <c r="N1882" s="74">
        <v>41866</v>
      </c>
      <c r="O1882" s="75">
        <v>41866</v>
      </c>
      <c r="P1882" s="2765" t="s">
        <v>1357</v>
      </c>
      <c r="Q1882" s="2954"/>
      <c r="R1882" s="76">
        <v>281.49</v>
      </c>
      <c r="S1882" s="1945" t="s">
        <v>731</v>
      </c>
      <c r="T1882" s="77"/>
      <c r="U1882" s="1893"/>
      <c r="V1882" s="2079">
        <f t="shared" si="452"/>
        <v>0</v>
      </c>
      <c r="W1882" s="78">
        <f t="shared" si="453"/>
        <v>332.15819999999997</v>
      </c>
      <c r="X1882" s="1878" t="str">
        <f t="shared" si="451"/>
        <v xml:space="preserve">2.- C Lima Caucho 1431207-OT_200815  Reencauche 030-0035725 </v>
      </c>
      <c r="Z1882" s="19" t="str">
        <f t="shared" si="460"/>
        <v>ReencaucheReencauchadora RENOVA</v>
      </c>
    </row>
    <row r="1883" spans="2:26" ht="15.2" customHeight="1" outlineLevel="1">
      <c r="B1883" s="37"/>
      <c r="C1883" s="2">
        <f t="shared" si="462"/>
        <v>165</v>
      </c>
      <c r="D1883" s="3">
        <f t="shared" si="463"/>
        <v>21</v>
      </c>
      <c r="E1883" s="66">
        <v>3</v>
      </c>
      <c r="F1883" s="67" t="s">
        <v>732</v>
      </c>
      <c r="G1883" s="68" t="s">
        <v>733</v>
      </c>
      <c r="H1883" s="69" t="s">
        <v>1359</v>
      </c>
      <c r="I1883" s="68" t="s">
        <v>726</v>
      </c>
      <c r="J1883" s="70" t="s">
        <v>760</v>
      </c>
      <c r="K1883" s="71" t="s">
        <v>1356</v>
      </c>
      <c r="L1883" s="72">
        <v>41852</v>
      </c>
      <c r="M1883" s="73" t="s">
        <v>729</v>
      </c>
      <c r="N1883" s="74">
        <v>41866</v>
      </c>
      <c r="O1883" s="75">
        <v>41866</v>
      </c>
      <c r="P1883" s="2765" t="s">
        <v>1357</v>
      </c>
      <c r="Q1883" s="2954"/>
      <c r="R1883" s="76">
        <v>281.49</v>
      </c>
      <c r="S1883" s="1945" t="s">
        <v>731</v>
      </c>
      <c r="T1883" s="77"/>
      <c r="U1883" s="1893"/>
      <c r="V1883" s="2079">
        <f t="shared" si="452"/>
        <v>0</v>
      </c>
      <c r="W1883" s="78">
        <f t="shared" si="453"/>
        <v>332.15819999999997</v>
      </c>
      <c r="X1883" s="1878" t="str">
        <f t="shared" si="451"/>
        <v xml:space="preserve">3.- C Lima Caucho 0350507-OT_200815  Reencauche 030-0035725 </v>
      </c>
      <c r="Z1883" s="19" t="str">
        <f t="shared" si="460"/>
        <v>ReencaucheReencauchadora RENOVA</v>
      </c>
    </row>
    <row r="1884" spans="2:26" ht="15.2" customHeight="1" outlineLevel="1">
      <c r="B1884" s="37"/>
      <c r="C1884" s="2">
        <f t="shared" si="462"/>
        <v>164</v>
      </c>
      <c r="D1884" s="3">
        <f t="shared" si="463"/>
        <v>20</v>
      </c>
      <c r="E1884" s="66">
        <v>4</v>
      </c>
      <c r="F1884" s="67" t="s">
        <v>732</v>
      </c>
      <c r="G1884" s="68" t="s">
        <v>733</v>
      </c>
      <c r="H1884" s="69" t="s">
        <v>1360</v>
      </c>
      <c r="I1884" s="68" t="s">
        <v>726</v>
      </c>
      <c r="J1884" s="70" t="s">
        <v>760</v>
      </c>
      <c r="K1884" s="71" t="s">
        <v>1356</v>
      </c>
      <c r="L1884" s="72">
        <v>41852</v>
      </c>
      <c r="M1884" s="73" t="s">
        <v>729</v>
      </c>
      <c r="N1884" s="74">
        <v>41866</v>
      </c>
      <c r="O1884" s="75">
        <v>41866</v>
      </c>
      <c r="P1884" s="2765" t="s">
        <v>1357</v>
      </c>
      <c r="Q1884" s="2954"/>
      <c r="R1884" s="76">
        <v>281.49</v>
      </c>
      <c r="S1884" s="1945" t="s">
        <v>731</v>
      </c>
      <c r="T1884" s="77"/>
      <c r="U1884" s="1893"/>
      <c r="V1884" s="2079">
        <f t="shared" si="452"/>
        <v>0</v>
      </c>
      <c r="W1884" s="78">
        <f t="shared" si="453"/>
        <v>332.15819999999997</v>
      </c>
      <c r="X1884" s="1878" t="str">
        <f t="shared" si="451"/>
        <v xml:space="preserve">4.- C Lima Caucho 0941010-OT_200815  Reencauche 030-0035725 </v>
      </c>
      <c r="Z1884" s="19" t="str">
        <f t="shared" si="460"/>
        <v>ReencaucheReencauchadora RENOVA</v>
      </c>
    </row>
    <row r="1885" spans="2:26" ht="15.2" customHeight="1" outlineLevel="1">
      <c r="B1885" s="37"/>
      <c r="C1885" s="2">
        <f t="shared" si="462"/>
        <v>163</v>
      </c>
      <c r="D1885" s="3">
        <f t="shared" si="463"/>
        <v>19</v>
      </c>
      <c r="E1885" s="66">
        <v>5</v>
      </c>
      <c r="F1885" s="67" t="s">
        <v>732</v>
      </c>
      <c r="G1885" s="68" t="s">
        <v>733</v>
      </c>
      <c r="H1885" s="69" t="s">
        <v>1361</v>
      </c>
      <c r="I1885" s="68" t="s">
        <v>726</v>
      </c>
      <c r="J1885" s="70" t="s">
        <v>760</v>
      </c>
      <c r="K1885" s="71" t="s">
        <v>1356</v>
      </c>
      <c r="L1885" s="72">
        <v>41852</v>
      </c>
      <c r="M1885" s="73" t="s">
        <v>729</v>
      </c>
      <c r="N1885" s="74">
        <v>41866</v>
      </c>
      <c r="O1885" s="75">
        <v>41866</v>
      </c>
      <c r="P1885" s="2765" t="s">
        <v>1357</v>
      </c>
      <c r="Q1885" s="2954"/>
      <c r="R1885" s="76">
        <v>281.49</v>
      </c>
      <c r="S1885" s="1945" t="s">
        <v>731</v>
      </c>
      <c r="T1885" s="77"/>
      <c r="U1885" s="1893"/>
      <c r="V1885" s="2079">
        <f t="shared" si="452"/>
        <v>0</v>
      </c>
      <c r="W1885" s="78">
        <f t="shared" si="453"/>
        <v>332.15819999999997</v>
      </c>
      <c r="X1885" s="1878" t="str">
        <f t="shared" si="451"/>
        <v xml:space="preserve">5.- C Lima Caucho 0570610-OT_200815  Reencauche 030-0035725 </v>
      </c>
      <c r="Z1885" s="19" t="str">
        <f t="shared" si="460"/>
        <v>ReencaucheReencauchadora RENOVA</v>
      </c>
    </row>
    <row r="1886" spans="2:26" ht="15.2" customHeight="1" outlineLevel="1">
      <c r="B1886" s="37"/>
      <c r="C1886" s="2">
        <f t="shared" si="462"/>
        <v>162</v>
      </c>
      <c r="D1886" s="3">
        <f t="shared" si="463"/>
        <v>18</v>
      </c>
      <c r="E1886" s="66">
        <v>6</v>
      </c>
      <c r="F1886" s="67" t="s">
        <v>732</v>
      </c>
      <c r="G1886" s="68" t="s">
        <v>737</v>
      </c>
      <c r="H1886" s="69" t="s">
        <v>1362</v>
      </c>
      <c r="I1886" s="68" t="s">
        <v>726</v>
      </c>
      <c r="J1886" s="70" t="s">
        <v>760</v>
      </c>
      <c r="K1886" s="71" t="s">
        <v>1363</v>
      </c>
      <c r="L1886" s="72">
        <v>41852</v>
      </c>
      <c r="M1886" s="73" t="s">
        <v>729</v>
      </c>
      <c r="N1886" s="74">
        <v>41866</v>
      </c>
      <c r="O1886" s="75">
        <v>41866</v>
      </c>
      <c r="P1886" s="2765" t="s">
        <v>1357</v>
      </c>
      <c r="Q1886" s="2954"/>
      <c r="R1886" s="76">
        <v>281.49</v>
      </c>
      <c r="S1886" s="1945" t="s">
        <v>731</v>
      </c>
      <c r="T1886" s="77"/>
      <c r="U1886" s="1893"/>
      <c r="V1886" s="2079">
        <f t="shared" si="452"/>
        <v>0</v>
      </c>
      <c r="W1886" s="78">
        <f t="shared" si="453"/>
        <v>332.15819999999997</v>
      </c>
      <c r="X1886" s="1878" t="str">
        <f t="shared" si="451"/>
        <v xml:space="preserve">6.- C Vikrant 0020109-OT_200816  Reencauche 030-0035725 </v>
      </c>
      <c r="Z1886" s="19" t="str">
        <f t="shared" si="460"/>
        <v>ReencaucheReencauchadora RENOVA</v>
      </c>
    </row>
    <row r="1887" spans="2:26" ht="15.2" customHeight="1" outlineLevel="1">
      <c r="B1887" s="37"/>
      <c r="C1887" s="2">
        <f t="shared" si="462"/>
        <v>161</v>
      </c>
      <c r="D1887" s="3">
        <f t="shared" si="463"/>
        <v>17</v>
      </c>
      <c r="E1887" s="66">
        <v>7</v>
      </c>
      <c r="F1887" s="67" t="s">
        <v>732</v>
      </c>
      <c r="G1887" s="68" t="s">
        <v>733</v>
      </c>
      <c r="H1887" s="69" t="s">
        <v>1364</v>
      </c>
      <c r="I1887" s="68" t="s">
        <v>726</v>
      </c>
      <c r="J1887" s="70" t="s">
        <v>760</v>
      </c>
      <c r="K1887" s="71" t="s">
        <v>1363</v>
      </c>
      <c r="L1887" s="72">
        <v>41852</v>
      </c>
      <c r="M1887" s="73" t="s">
        <v>729</v>
      </c>
      <c r="N1887" s="74">
        <v>41866</v>
      </c>
      <c r="O1887" s="75">
        <v>41866</v>
      </c>
      <c r="P1887" s="2765" t="s">
        <v>1357</v>
      </c>
      <c r="Q1887" s="2954"/>
      <c r="R1887" s="76">
        <v>281.49</v>
      </c>
      <c r="S1887" s="1945" t="s">
        <v>731</v>
      </c>
      <c r="T1887" s="77"/>
      <c r="U1887" s="1893"/>
      <c r="V1887" s="2079">
        <f t="shared" si="452"/>
        <v>0</v>
      </c>
      <c r="W1887" s="78">
        <f t="shared" si="453"/>
        <v>332.15819999999997</v>
      </c>
      <c r="X1887" s="1878" t="str">
        <f t="shared" si="451"/>
        <v xml:space="preserve">7.- C Lima Caucho 0391112-OT_200816  Reencauche 030-0035725 </v>
      </c>
      <c r="Z1887" s="19" t="str">
        <f t="shared" si="460"/>
        <v>ReencaucheReencauchadora RENOVA</v>
      </c>
    </row>
    <row r="1888" spans="2:26" ht="15.2" customHeight="1" outlineLevel="1">
      <c r="B1888" s="37"/>
      <c r="C1888" s="2">
        <f t="shared" si="462"/>
        <v>160</v>
      </c>
      <c r="D1888" s="3">
        <f t="shared" si="463"/>
        <v>16</v>
      </c>
      <c r="E1888" s="66">
        <v>8</v>
      </c>
      <c r="F1888" s="67" t="s">
        <v>732</v>
      </c>
      <c r="G1888" s="68" t="s">
        <v>733</v>
      </c>
      <c r="H1888" s="69" t="s">
        <v>1365</v>
      </c>
      <c r="I1888" s="68" t="s">
        <v>726</v>
      </c>
      <c r="J1888" s="70" t="s">
        <v>760</v>
      </c>
      <c r="K1888" s="71" t="s">
        <v>1363</v>
      </c>
      <c r="L1888" s="72">
        <v>41852</v>
      </c>
      <c r="M1888" s="73" t="s">
        <v>729</v>
      </c>
      <c r="N1888" s="74">
        <v>41866</v>
      </c>
      <c r="O1888" s="75">
        <v>41866</v>
      </c>
      <c r="P1888" s="2765" t="s">
        <v>1357</v>
      </c>
      <c r="Q1888" s="2954"/>
      <c r="R1888" s="76">
        <v>281.49</v>
      </c>
      <c r="S1888" s="1945" t="s">
        <v>731</v>
      </c>
      <c r="T1888" s="77"/>
      <c r="U1888" s="1893"/>
      <c r="V1888" s="2079">
        <f t="shared" si="452"/>
        <v>0</v>
      </c>
      <c r="W1888" s="78">
        <f t="shared" si="453"/>
        <v>332.15819999999997</v>
      </c>
      <c r="X1888" s="1878" t="str">
        <f t="shared" si="451"/>
        <v xml:space="preserve">8.- C Lima Caucho 1131107-OT_200816  Reencauche 030-0035725 </v>
      </c>
      <c r="Z1888" s="19" t="str">
        <f t="shared" si="460"/>
        <v>ReencaucheReencauchadora RENOVA</v>
      </c>
    </row>
    <row r="1889" spans="2:26" ht="15.2" customHeight="1" outlineLevel="1">
      <c r="B1889" s="37"/>
      <c r="C1889" s="2">
        <f t="shared" si="462"/>
        <v>159</v>
      </c>
      <c r="D1889" s="3">
        <f t="shared" si="463"/>
        <v>15</v>
      </c>
      <c r="E1889" s="66">
        <v>9</v>
      </c>
      <c r="F1889" s="67" t="s">
        <v>732</v>
      </c>
      <c r="G1889" s="68" t="s">
        <v>733</v>
      </c>
      <c r="H1889" s="69" t="s">
        <v>1366</v>
      </c>
      <c r="I1889" s="68" t="s">
        <v>726</v>
      </c>
      <c r="J1889" s="70" t="s">
        <v>760</v>
      </c>
      <c r="K1889" s="71" t="s">
        <v>1363</v>
      </c>
      <c r="L1889" s="72">
        <v>41852</v>
      </c>
      <c r="M1889" s="73" t="s">
        <v>729</v>
      </c>
      <c r="N1889" s="74">
        <v>41866</v>
      </c>
      <c r="O1889" s="75">
        <v>41866</v>
      </c>
      <c r="P1889" s="2765" t="s">
        <v>1357</v>
      </c>
      <c r="Q1889" s="2954"/>
      <c r="R1889" s="76">
        <v>281.49</v>
      </c>
      <c r="S1889" s="1945" t="s">
        <v>731</v>
      </c>
      <c r="T1889" s="77"/>
      <c r="U1889" s="1893"/>
      <c r="V1889" s="2079">
        <f t="shared" si="452"/>
        <v>0</v>
      </c>
      <c r="W1889" s="78">
        <f t="shared" si="453"/>
        <v>332.15819999999997</v>
      </c>
      <c r="X1889" s="1878" t="str">
        <f t="shared" si="451"/>
        <v xml:space="preserve">9.- C Lima Caucho 0150108-OT_200816  Reencauche 030-0035725 </v>
      </c>
      <c r="Z1889" s="19" t="str">
        <f t="shared" si="460"/>
        <v>ReencaucheReencauchadora RENOVA</v>
      </c>
    </row>
    <row r="1890" spans="2:26" ht="15.2" customHeight="1" outlineLevel="1">
      <c r="B1890" s="37"/>
      <c r="C1890" s="2">
        <f t="shared" si="462"/>
        <v>158</v>
      </c>
      <c r="D1890" s="3">
        <f t="shared" si="463"/>
        <v>14</v>
      </c>
      <c r="E1890" s="66">
        <v>10</v>
      </c>
      <c r="F1890" s="67" t="s">
        <v>732</v>
      </c>
      <c r="G1890" s="68" t="s">
        <v>733</v>
      </c>
      <c r="H1890" s="69" t="s">
        <v>891</v>
      </c>
      <c r="I1890" s="68" t="s">
        <v>726</v>
      </c>
      <c r="J1890" s="70" t="s">
        <v>760</v>
      </c>
      <c r="K1890" s="71" t="s">
        <v>1363</v>
      </c>
      <c r="L1890" s="72">
        <v>41852</v>
      </c>
      <c r="M1890" s="73" t="s">
        <v>729</v>
      </c>
      <c r="N1890" s="74">
        <v>41866</v>
      </c>
      <c r="O1890" s="75">
        <v>41866</v>
      </c>
      <c r="P1890" s="2765" t="s">
        <v>1357</v>
      </c>
      <c r="Q1890" s="2954"/>
      <c r="R1890" s="76">
        <v>281.49</v>
      </c>
      <c r="S1890" s="1945" t="s">
        <v>731</v>
      </c>
      <c r="T1890" s="77"/>
      <c r="U1890" s="1893"/>
      <c r="V1890" s="2079">
        <f t="shared" si="452"/>
        <v>0</v>
      </c>
      <c r="W1890" s="78">
        <f t="shared" si="453"/>
        <v>332.15819999999997</v>
      </c>
      <c r="X1890" s="1878" t="str">
        <f t="shared" ref="X1890:X1953" si="464">CONCATENATE(E1890,".- ",F1890," ",G1890," ",H1890,"-OT_",K1890," "," ",I1890," ",P1890," ",T1890)</f>
        <v xml:space="preserve">10.- C Lima Caucho 1171210-OT_200816  Reencauche 030-0035725 </v>
      </c>
      <c r="Z1890" s="19" t="str">
        <f t="shared" si="460"/>
        <v>ReencaucheReencauchadora RENOVA</v>
      </c>
    </row>
    <row r="1891" spans="2:26" ht="15.2" customHeight="1" outlineLevel="1">
      <c r="B1891" s="37"/>
      <c r="C1891" s="2">
        <f t="shared" si="462"/>
        <v>157</v>
      </c>
      <c r="D1891" s="3">
        <f t="shared" si="463"/>
        <v>13</v>
      </c>
      <c r="E1891" s="204">
        <v>11</v>
      </c>
      <c r="F1891" s="205" t="s">
        <v>732</v>
      </c>
      <c r="G1891" s="206" t="s">
        <v>737</v>
      </c>
      <c r="H1891" s="207" t="s">
        <v>1367</v>
      </c>
      <c r="I1891" s="206" t="s">
        <v>726</v>
      </c>
      <c r="J1891" s="208" t="s">
        <v>760</v>
      </c>
      <c r="K1891" s="209" t="s">
        <v>1368</v>
      </c>
      <c r="L1891" s="210">
        <v>41852</v>
      </c>
      <c r="M1891" s="211" t="s">
        <v>729</v>
      </c>
      <c r="N1891" s="212">
        <v>41866</v>
      </c>
      <c r="O1891" s="213">
        <v>41866</v>
      </c>
      <c r="P1891" s="2775" t="s">
        <v>1357</v>
      </c>
      <c r="Q1891" s="2966"/>
      <c r="R1891" s="214">
        <v>281.49</v>
      </c>
      <c r="S1891" s="1954" t="s">
        <v>731</v>
      </c>
      <c r="T1891" s="77"/>
      <c r="U1891" s="1893"/>
      <c r="V1891" s="2079">
        <f t="shared" ref="V1891:V1954" si="465">+Q1891*(1.18)</f>
        <v>0</v>
      </c>
      <c r="W1891" s="78">
        <f t="shared" ref="W1891:W1954" si="466">+R1891*(1.18)</f>
        <v>332.15819999999997</v>
      </c>
      <c r="X1891" s="1878" t="str">
        <f t="shared" si="464"/>
        <v xml:space="preserve">11.- C Vikrant 0480506-OT_200817  Reencauche 030-0035725 </v>
      </c>
      <c r="Z1891" s="19" t="str">
        <f t="shared" si="460"/>
        <v>ReencaucheReencauchadora RENOVA</v>
      </c>
    </row>
    <row r="1892" spans="2:26" ht="15.2" customHeight="1" outlineLevel="1">
      <c r="B1892" s="37"/>
      <c r="C1892" s="2">
        <f t="shared" si="462"/>
        <v>156</v>
      </c>
      <c r="D1892" s="3">
        <f t="shared" si="463"/>
        <v>12</v>
      </c>
      <c r="E1892" s="66">
        <v>12</v>
      </c>
      <c r="F1892" s="67" t="s">
        <v>732</v>
      </c>
      <c r="G1892" s="68" t="s">
        <v>733</v>
      </c>
      <c r="H1892" s="69" t="s">
        <v>965</v>
      </c>
      <c r="I1892" s="68" t="s">
        <v>726</v>
      </c>
      <c r="J1892" s="70" t="s">
        <v>760</v>
      </c>
      <c r="K1892" s="71" t="s">
        <v>1356</v>
      </c>
      <c r="L1892" s="72">
        <v>41852</v>
      </c>
      <c r="M1892" s="73" t="s">
        <v>729</v>
      </c>
      <c r="N1892" s="74">
        <v>41857</v>
      </c>
      <c r="O1892" s="75">
        <f>+N1892</f>
        <v>41857</v>
      </c>
      <c r="P1892" s="2765" t="s">
        <v>1369</v>
      </c>
      <c r="Q1892" s="2954"/>
      <c r="R1892" s="76">
        <v>281.49</v>
      </c>
      <c r="S1892" s="1945" t="s">
        <v>731</v>
      </c>
      <c r="T1892" s="77"/>
      <c r="U1892" s="1893"/>
      <c r="V1892" s="2079">
        <f t="shared" si="465"/>
        <v>0</v>
      </c>
      <c r="W1892" s="78">
        <f t="shared" si="466"/>
        <v>332.15819999999997</v>
      </c>
      <c r="X1892" s="1878" t="str">
        <f t="shared" si="464"/>
        <v xml:space="preserve">12.- C Lima Caucho 0290508-OT_200815  Reencauche 030-0035584 </v>
      </c>
      <c r="Z1892" s="19" t="str">
        <f t="shared" si="460"/>
        <v>ReencaucheReencauchadora RENOVA</v>
      </c>
    </row>
    <row r="1893" spans="2:26" ht="15.2" customHeight="1" outlineLevel="1">
      <c r="B1893" s="37"/>
      <c r="C1893" s="2">
        <f t="shared" si="462"/>
        <v>155</v>
      </c>
      <c r="D1893" s="3">
        <f t="shared" si="463"/>
        <v>11</v>
      </c>
      <c r="E1893" s="66">
        <v>13</v>
      </c>
      <c r="F1893" s="67" t="s">
        <v>732</v>
      </c>
      <c r="G1893" s="68" t="s">
        <v>733</v>
      </c>
      <c r="H1893" s="69" t="s">
        <v>756</v>
      </c>
      <c r="I1893" s="68" t="s">
        <v>726</v>
      </c>
      <c r="J1893" s="70" t="s">
        <v>760</v>
      </c>
      <c r="K1893" s="71" t="s">
        <v>1356</v>
      </c>
      <c r="L1893" s="72">
        <v>41852</v>
      </c>
      <c r="M1893" s="73" t="s">
        <v>729</v>
      </c>
      <c r="N1893" s="74">
        <v>41857</v>
      </c>
      <c r="O1893" s="75">
        <v>41857</v>
      </c>
      <c r="P1893" s="2765" t="s">
        <v>1369</v>
      </c>
      <c r="Q1893" s="2954"/>
      <c r="R1893" s="76">
        <v>281.49</v>
      </c>
      <c r="S1893" s="1945" t="s">
        <v>731</v>
      </c>
      <c r="T1893" s="77"/>
      <c r="U1893" s="1893"/>
      <c r="V1893" s="2079">
        <f t="shared" si="465"/>
        <v>0</v>
      </c>
      <c r="W1893" s="78">
        <f t="shared" si="466"/>
        <v>332.15819999999997</v>
      </c>
      <c r="X1893" s="1878" t="str">
        <f t="shared" si="464"/>
        <v xml:space="preserve">13.- C Lima Caucho 1191210-OT_200815  Reencauche 030-0035584 </v>
      </c>
      <c r="Z1893" s="19" t="str">
        <f t="shared" si="460"/>
        <v>ReencaucheReencauchadora RENOVA</v>
      </c>
    </row>
    <row r="1894" spans="2:26" ht="15.2" customHeight="1" outlineLevel="1">
      <c r="B1894" s="37"/>
      <c r="C1894" s="2">
        <f t="shared" si="462"/>
        <v>154</v>
      </c>
      <c r="D1894" s="3">
        <f t="shared" si="463"/>
        <v>10</v>
      </c>
      <c r="E1894" s="66">
        <v>14</v>
      </c>
      <c r="F1894" s="67" t="s">
        <v>732</v>
      </c>
      <c r="G1894" s="68" t="s">
        <v>733</v>
      </c>
      <c r="H1894" s="69" t="s">
        <v>1217</v>
      </c>
      <c r="I1894" s="68" t="s">
        <v>726</v>
      </c>
      <c r="J1894" s="70" t="s">
        <v>760</v>
      </c>
      <c r="K1894" s="71" t="s">
        <v>1356</v>
      </c>
      <c r="L1894" s="72">
        <v>41852</v>
      </c>
      <c r="M1894" s="73" t="s">
        <v>729</v>
      </c>
      <c r="N1894" s="74">
        <v>41857</v>
      </c>
      <c r="O1894" s="75">
        <v>41857</v>
      </c>
      <c r="P1894" s="2765" t="s">
        <v>1369</v>
      </c>
      <c r="Q1894" s="2954"/>
      <c r="R1894" s="76">
        <v>281.49</v>
      </c>
      <c r="S1894" s="1945" t="s">
        <v>731</v>
      </c>
      <c r="T1894" s="77"/>
      <c r="U1894" s="1893"/>
      <c r="V1894" s="2079">
        <f t="shared" si="465"/>
        <v>0</v>
      </c>
      <c r="W1894" s="78">
        <f t="shared" si="466"/>
        <v>332.15819999999997</v>
      </c>
      <c r="X1894" s="1878" t="str">
        <f t="shared" si="464"/>
        <v xml:space="preserve">14.- C Lima Caucho 0900908-OT_200815  Reencauche 030-0035584 </v>
      </c>
      <c r="Z1894" s="19" t="str">
        <f t="shared" si="460"/>
        <v>ReencaucheReencauchadora RENOVA</v>
      </c>
    </row>
    <row r="1895" spans="2:26" ht="15.2" customHeight="1" outlineLevel="1">
      <c r="B1895" s="37"/>
      <c r="C1895" s="2">
        <f t="shared" si="462"/>
        <v>153</v>
      </c>
      <c r="D1895" s="3">
        <f t="shared" si="463"/>
        <v>9</v>
      </c>
      <c r="E1895" s="66">
        <v>15</v>
      </c>
      <c r="F1895" s="67" t="s">
        <v>732</v>
      </c>
      <c r="G1895" s="68" t="s">
        <v>733</v>
      </c>
      <c r="H1895" s="69" t="s">
        <v>1370</v>
      </c>
      <c r="I1895" s="68" t="s">
        <v>726</v>
      </c>
      <c r="J1895" s="70" t="s">
        <v>760</v>
      </c>
      <c r="K1895" s="71" t="s">
        <v>1356</v>
      </c>
      <c r="L1895" s="72">
        <v>41852</v>
      </c>
      <c r="M1895" s="73" t="s">
        <v>729</v>
      </c>
      <c r="N1895" s="74">
        <v>41857</v>
      </c>
      <c r="O1895" s="75">
        <v>41857</v>
      </c>
      <c r="P1895" s="2765" t="s">
        <v>1369</v>
      </c>
      <c r="Q1895" s="2954"/>
      <c r="R1895" s="76">
        <v>281.49</v>
      </c>
      <c r="S1895" s="1945" t="s">
        <v>731</v>
      </c>
      <c r="T1895" s="77"/>
      <c r="U1895" s="1893"/>
      <c r="V1895" s="2079">
        <f t="shared" si="465"/>
        <v>0</v>
      </c>
      <c r="W1895" s="78">
        <f t="shared" si="466"/>
        <v>332.15819999999997</v>
      </c>
      <c r="X1895" s="1878" t="str">
        <f t="shared" si="464"/>
        <v xml:space="preserve">15.- C Lima Caucho 0180108-OT_200815  Reencauche 030-0035584 </v>
      </c>
      <c r="Z1895" s="19" t="str">
        <f t="shared" si="460"/>
        <v>ReencaucheReencauchadora RENOVA</v>
      </c>
    </row>
    <row r="1896" spans="2:26" ht="15.2" customHeight="1" outlineLevel="1">
      <c r="B1896" s="37"/>
      <c r="C1896" s="2">
        <f t="shared" si="462"/>
        <v>152</v>
      </c>
      <c r="D1896" s="3">
        <f t="shared" si="463"/>
        <v>8</v>
      </c>
      <c r="E1896" s="66">
        <v>16</v>
      </c>
      <c r="F1896" s="67" t="s">
        <v>732</v>
      </c>
      <c r="G1896" s="68" t="s">
        <v>733</v>
      </c>
      <c r="H1896" s="69" t="s">
        <v>1198</v>
      </c>
      <c r="I1896" s="68" t="s">
        <v>726</v>
      </c>
      <c r="J1896" s="70" t="s">
        <v>760</v>
      </c>
      <c r="K1896" s="71" t="s">
        <v>1356</v>
      </c>
      <c r="L1896" s="72">
        <v>41852</v>
      </c>
      <c r="M1896" s="73" t="s">
        <v>729</v>
      </c>
      <c r="N1896" s="74">
        <v>41857</v>
      </c>
      <c r="O1896" s="75">
        <v>41857</v>
      </c>
      <c r="P1896" s="2765" t="s">
        <v>1369</v>
      </c>
      <c r="Q1896" s="2954"/>
      <c r="R1896" s="76">
        <v>281.49</v>
      </c>
      <c r="S1896" s="1945" t="s">
        <v>731</v>
      </c>
      <c r="T1896" s="77"/>
      <c r="U1896" s="1893"/>
      <c r="V1896" s="2079">
        <f t="shared" si="465"/>
        <v>0</v>
      </c>
      <c r="W1896" s="78">
        <f t="shared" si="466"/>
        <v>332.15819999999997</v>
      </c>
      <c r="X1896" s="1878" t="str">
        <f t="shared" si="464"/>
        <v xml:space="preserve">16.- C Lima Caucho 0090107-OT_200815  Reencauche 030-0035584 </v>
      </c>
      <c r="Z1896" s="19" t="str">
        <f t="shared" si="460"/>
        <v>ReencaucheReencauchadora RENOVA</v>
      </c>
    </row>
    <row r="1897" spans="2:26" ht="15.2" customHeight="1" outlineLevel="1">
      <c r="B1897" s="37"/>
      <c r="C1897" s="2">
        <f t="shared" si="462"/>
        <v>151</v>
      </c>
      <c r="D1897" s="3">
        <f t="shared" si="463"/>
        <v>7</v>
      </c>
      <c r="E1897" s="66">
        <v>17</v>
      </c>
      <c r="F1897" s="67" t="s">
        <v>732</v>
      </c>
      <c r="G1897" s="68" t="s">
        <v>733</v>
      </c>
      <c r="H1897" s="69" t="s">
        <v>993</v>
      </c>
      <c r="I1897" s="68" t="s">
        <v>726</v>
      </c>
      <c r="J1897" s="70" t="s">
        <v>760</v>
      </c>
      <c r="K1897" s="71" t="s">
        <v>1363</v>
      </c>
      <c r="L1897" s="72">
        <v>41852</v>
      </c>
      <c r="M1897" s="73" t="s">
        <v>729</v>
      </c>
      <c r="N1897" s="74">
        <v>41857</v>
      </c>
      <c r="O1897" s="75">
        <v>41857</v>
      </c>
      <c r="P1897" s="2765" t="s">
        <v>1369</v>
      </c>
      <c r="Q1897" s="2954"/>
      <c r="R1897" s="76">
        <v>281.49</v>
      </c>
      <c r="S1897" s="1945" t="s">
        <v>731</v>
      </c>
      <c r="T1897" s="77"/>
      <c r="U1897" s="1893"/>
      <c r="V1897" s="2079">
        <f t="shared" si="465"/>
        <v>0</v>
      </c>
      <c r="W1897" s="78">
        <f t="shared" si="466"/>
        <v>332.15819999999997</v>
      </c>
      <c r="X1897" s="1878" t="str">
        <f t="shared" si="464"/>
        <v xml:space="preserve">17.- C Lima Caucho 0260508-OT_200816  Reencauche 030-0035584 </v>
      </c>
      <c r="Z1897" s="19" t="str">
        <f t="shared" si="460"/>
        <v>ReencaucheReencauchadora RENOVA</v>
      </c>
    </row>
    <row r="1898" spans="2:26" ht="15.2" customHeight="1" outlineLevel="1">
      <c r="B1898" s="37"/>
      <c r="C1898" s="2">
        <f t="shared" si="462"/>
        <v>150</v>
      </c>
      <c r="D1898" s="3">
        <f t="shared" si="463"/>
        <v>6</v>
      </c>
      <c r="E1898" s="66">
        <v>18</v>
      </c>
      <c r="F1898" s="67" t="s">
        <v>732</v>
      </c>
      <c r="G1898" s="68" t="s">
        <v>733</v>
      </c>
      <c r="H1898" s="69" t="s">
        <v>1371</v>
      </c>
      <c r="I1898" s="68" t="s">
        <v>726</v>
      </c>
      <c r="J1898" s="70" t="s">
        <v>760</v>
      </c>
      <c r="K1898" s="71" t="s">
        <v>1363</v>
      </c>
      <c r="L1898" s="72">
        <v>41852</v>
      </c>
      <c r="M1898" s="73" t="s">
        <v>729</v>
      </c>
      <c r="N1898" s="74">
        <v>41857</v>
      </c>
      <c r="O1898" s="75">
        <v>41857</v>
      </c>
      <c r="P1898" s="2765" t="s">
        <v>1369</v>
      </c>
      <c r="Q1898" s="2954"/>
      <c r="R1898" s="76">
        <v>281.49</v>
      </c>
      <c r="S1898" s="1945" t="s">
        <v>731</v>
      </c>
      <c r="T1898" s="77"/>
      <c r="U1898" s="1893"/>
      <c r="V1898" s="2079">
        <f t="shared" si="465"/>
        <v>0</v>
      </c>
      <c r="W1898" s="78">
        <f t="shared" si="466"/>
        <v>332.15819999999997</v>
      </c>
      <c r="X1898" s="1878" t="str">
        <f t="shared" si="464"/>
        <v xml:space="preserve">18.- C Lima Caucho 0740910-OT_200816  Reencauche 030-0035584 </v>
      </c>
      <c r="Z1898" s="19" t="str">
        <f t="shared" si="460"/>
        <v>ReencaucheReencauchadora RENOVA</v>
      </c>
    </row>
    <row r="1899" spans="2:26" ht="15.2" customHeight="1" outlineLevel="1">
      <c r="B1899" s="37"/>
      <c r="C1899" s="2">
        <f t="shared" si="462"/>
        <v>149</v>
      </c>
      <c r="D1899" s="3">
        <f t="shared" si="463"/>
        <v>5</v>
      </c>
      <c r="E1899" s="66">
        <v>19</v>
      </c>
      <c r="F1899" s="67" t="s">
        <v>732</v>
      </c>
      <c r="G1899" s="68" t="s">
        <v>733</v>
      </c>
      <c r="H1899" s="69" t="s">
        <v>930</v>
      </c>
      <c r="I1899" s="68" t="s">
        <v>726</v>
      </c>
      <c r="J1899" s="70" t="s">
        <v>760</v>
      </c>
      <c r="K1899" s="71" t="s">
        <v>1363</v>
      </c>
      <c r="L1899" s="72">
        <v>41852</v>
      </c>
      <c r="M1899" s="73" t="s">
        <v>729</v>
      </c>
      <c r="N1899" s="74">
        <v>41857</v>
      </c>
      <c r="O1899" s="75">
        <v>41857</v>
      </c>
      <c r="P1899" s="2765" t="s">
        <v>1369</v>
      </c>
      <c r="Q1899" s="2954"/>
      <c r="R1899" s="76">
        <v>281.49</v>
      </c>
      <c r="S1899" s="1945" t="s">
        <v>731</v>
      </c>
      <c r="T1899" s="77"/>
      <c r="U1899" s="1893"/>
      <c r="V1899" s="2079">
        <f t="shared" si="465"/>
        <v>0</v>
      </c>
      <c r="W1899" s="78">
        <f t="shared" si="466"/>
        <v>332.15819999999997</v>
      </c>
      <c r="X1899" s="1878" t="str">
        <f t="shared" si="464"/>
        <v xml:space="preserve">19.- C Lima Caucho 0210211-OT_200816  Reencauche 030-0035584 </v>
      </c>
      <c r="Z1899" s="19" t="str">
        <f t="shared" si="460"/>
        <v>ReencaucheReencauchadora RENOVA</v>
      </c>
    </row>
    <row r="1900" spans="2:26" ht="15.2" customHeight="1" outlineLevel="1">
      <c r="B1900" s="37"/>
      <c r="C1900" s="2">
        <f t="shared" si="462"/>
        <v>148</v>
      </c>
      <c r="D1900" s="3">
        <f t="shared" si="463"/>
        <v>4</v>
      </c>
      <c r="E1900" s="66">
        <v>20</v>
      </c>
      <c r="F1900" s="67" t="s">
        <v>732</v>
      </c>
      <c r="G1900" s="68" t="s">
        <v>733</v>
      </c>
      <c r="H1900" s="69" t="s">
        <v>1372</v>
      </c>
      <c r="I1900" s="68" t="s">
        <v>726</v>
      </c>
      <c r="J1900" s="70" t="s">
        <v>760</v>
      </c>
      <c r="K1900" s="71" t="s">
        <v>1363</v>
      </c>
      <c r="L1900" s="72">
        <v>41852</v>
      </c>
      <c r="M1900" s="73" t="s">
        <v>729</v>
      </c>
      <c r="N1900" s="74">
        <v>41857</v>
      </c>
      <c r="O1900" s="75">
        <v>41857</v>
      </c>
      <c r="P1900" s="2765" t="s">
        <v>1369</v>
      </c>
      <c r="Q1900" s="2954"/>
      <c r="R1900" s="76">
        <v>281.49</v>
      </c>
      <c r="S1900" s="1945" t="s">
        <v>731</v>
      </c>
      <c r="T1900" s="77"/>
      <c r="U1900" s="1893"/>
      <c r="V1900" s="2079">
        <f t="shared" si="465"/>
        <v>0</v>
      </c>
      <c r="W1900" s="78">
        <f t="shared" si="466"/>
        <v>332.15819999999997</v>
      </c>
      <c r="X1900" s="1878" t="str">
        <f t="shared" si="464"/>
        <v xml:space="preserve">20.- C Lima Caucho 0891010-OT_200816  Reencauche 030-0035584 </v>
      </c>
      <c r="Z1900" s="19" t="str">
        <f t="shared" si="460"/>
        <v>ReencaucheReencauchadora RENOVA</v>
      </c>
    </row>
    <row r="1901" spans="2:26" ht="15.2" customHeight="1" outlineLevel="1">
      <c r="B1901" s="37"/>
      <c r="C1901" s="2">
        <f t="shared" si="462"/>
        <v>147</v>
      </c>
      <c r="D1901" s="3">
        <f t="shared" si="463"/>
        <v>3</v>
      </c>
      <c r="E1901" s="66">
        <v>21</v>
      </c>
      <c r="F1901" s="67" t="s">
        <v>732</v>
      </c>
      <c r="G1901" s="68" t="s">
        <v>733</v>
      </c>
      <c r="H1901" s="69" t="s">
        <v>1373</v>
      </c>
      <c r="I1901" s="68" t="s">
        <v>726</v>
      </c>
      <c r="J1901" s="70" t="s">
        <v>760</v>
      </c>
      <c r="K1901" s="71" t="s">
        <v>1363</v>
      </c>
      <c r="L1901" s="72">
        <v>41852</v>
      </c>
      <c r="M1901" s="73" t="s">
        <v>729</v>
      </c>
      <c r="N1901" s="74">
        <v>41857</v>
      </c>
      <c r="O1901" s="75">
        <f>+N1901</f>
        <v>41857</v>
      </c>
      <c r="P1901" s="2765" t="s">
        <v>1369</v>
      </c>
      <c r="Q1901" s="2954"/>
      <c r="R1901" s="76">
        <v>281.49</v>
      </c>
      <c r="S1901" s="1945" t="s">
        <v>731</v>
      </c>
      <c r="T1901" s="77"/>
      <c r="U1901" s="1893"/>
      <c r="V1901" s="2079">
        <f t="shared" si="465"/>
        <v>0</v>
      </c>
      <c r="W1901" s="78">
        <f t="shared" si="466"/>
        <v>332.15819999999997</v>
      </c>
      <c r="X1901" s="1878" t="str">
        <f t="shared" si="464"/>
        <v xml:space="preserve">21.- C Lima Caucho 0770910-OT_200816  Reencauche 030-0035584 </v>
      </c>
      <c r="Z1901" s="19" t="str">
        <f t="shared" si="460"/>
        <v>ReencaucheReencauchadora RENOVA</v>
      </c>
    </row>
    <row r="1902" spans="2:26" ht="15.2" customHeight="1" outlineLevel="1">
      <c r="B1902" s="37"/>
      <c r="C1902" s="2">
        <f t="shared" si="462"/>
        <v>146</v>
      </c>
      <c r="D1902" s="3">
        <f t="shared" si="463"/>
        <v>2</v>
      </c>
      <c r="E1902" s="66">
        <v>22</v>
      </c>
      <c r="F1902" s="67" t="s">
        <v>732</v>
      </c>
      <c r="G1902" s="68" t="s">
        <v>737</v>
      </c>
      <c r="H1902" s="69" t="s">
        <v>1374</v>
      </c>
      <c r="I1902" s="68" t="s">
        <v>726</v>
      </c>
      <c r="J1902" s="70" t="s">
        <v>760</v>
      </c>
      <c r="K1902" s="71" t="s">
        <v>1368</v>
      </c>
      <c r="L1902" s="72">
        <v>41852</v>
      </c>
      <c r="M1902" s="73" t="s">
        <v>729</v>
      </c>
      <c r="N1902" s="74">
        <v>41857</v>
      </c>
      <c r="O1902" s="75">
        <v>41857</v>
      </c>
      <c r="P1902" s="2765" t="s">
        <v>1369</v>
      </c>
      <c r="Q1902" s="2954"/>
      <c r="R1902" s="76">
        <v>281.49</v>
      </c>
      <c r="S1902" s="1945" t="s">
        <v>731</v>
      </c>
      <c r="T1902" s="77"/>
      <c r="U1902" s="1893"/>
      <c r="V1902" s="2079">
        <f t="shared" si="465"/>
        <v>0</v>
      </c>
      <c r="W1902" s="78">
        <f t="shared" si="466"/>
        <v>332.15819999999997</v>
      </c>
      <c r="X1902" s="1878" t="str">
        <f t="shared" si="464"/>
        <v xml:space="preserve">22.- C Vikrant 0440411-OT_200817  Reencauche 030-0035584 </v>
      </c>
      <c r="Z1902" s="19" t="str">
        <f t="shared" si="460"/>
        <v>ReencaucheReencauchadora RENOVA</v>
      </c>
    </row>
    <row r="1903" spans="2:26" ht="15.2" customHeight="1">
      <c r="B1903" s="37"/>
      <c r="C1903" s="2">
        <f>+C1907+1</f>
        <v>145</v>
      </c>
      <c r="D1903" s="3">
        <f>1+D1904</f>
        <v>1</v>
      </c>
      <c r="E1903" s="66">
        <v>23</v>
      </c>
      <c r="F1903" s="67" t="s">
        <v>732</v>
      </c>
      <c r="G1903" s="68" t="s">
        <v>757</v>
      </c>
      <c r="H1903" s="69" t="s">
        <v>1375</v>
      </c>
      <c r="I1903" s="68" t="s">
        <v>726</v>
      </c>
      <c r="J1903" s="70" t="s">
        <v>760</v>
      </c>
      <c r="K1903" s="71" t="s">
        <v>1368</v>
      </c>
      <c r="L1903" s="72">
        <v>41852</v>
      </c>
      <c r="M1903" s="73" t="s">
        <v>729</v>
      </c>
      <c r="N1903" s="74">
        <v>41857</v>
      </c>
      <c r="O1903" s="75">
        <v>41857</v>
      </c>
      <c r="P1903" s="2765" t="s">
        <v>1369</v>
      </c>
      <c r="Q1903" s="2954"/>
      <c r="R1903" s="76">
        <v>281.49</v>
      </c>
      <c r="S1903" s="1945" t="s">
        <v>731</v>
      </c>
      <c r="T1903" s="77"/>
      <c r="U1903" s="1893"/>
      <c r="V1903" s="2079">
        <f t="shared" si="465"/>
        <v>0</v>
      </c>
      <c r="W1903" s="78">
        <f t="shared" si="466"/>
        <v>332.15819999999997</v>
      </c>
      <c r="X1903" s="1878" t="str">
        <f t="shared" si="464"/>
        <v xml:space="preserve">23.- C Goodyear 0620404-OT_200817  Reencauche 030-0035584 </v>
      </c>
    </row>
    <row r="1904" spans="2:26" ht="15.2" customHeight="1" outlineLevel="1">
      <c r="B1904" s="37"/>
      <c r="E1904" s="66">
        <v>24</v>
      </c>
      <c r="F1904" s="67" t="s">
        <v>732</v>
      </c>
      <c r="G1904" s="68" t="s">
        <v>1376</v>
      </c>
      <c r="H1904" s="69" t="s">
        <v>1377</v>
      </c>
      <c r="I1904" s="68" t="s">
        <v>726</v>
      </c>
      <c r="J1904" s="70" t="s">
        <v>760</v>
      </c>
      <c r="K1904" s="71" t="s">
        <v>1368</v>
      </c>
      <c r="L1904" s="72">
        <v>41852</v>
      </c>
      <c r="M1904" s="73" t="s">
        <v>729</v>
      </c>
      <c r="N1904" s="74">
        <v>41857</v>
      </c>
      <c r="O1904" s="75">
        <v>41857</v>
      </c>
      <c r="P1904" s="2765"/>
      <c r="Q1904" s="2954"/>
      <c r="R1904" s="76">
        <v>0</v>
      </c>
      <c r="S1904" s="1945" t="s">
        <v>731</v>
      </c>
      <c r="T1904" s="1875" t="s">
        <v>1378</v>
      </c>
      <c r="U1904" s="1920"/>
      <c r="V1904" s="2079">
        <f t="shared" si="465"/>
        <v>0</v>
      </c>
      <c r="W1904" s="78">
        <f t="shared" si="466"/>
        <v>0</v>
      </c>
      <c r="X1904" s="1878" t="str">
        <f t="shared" si="464"/>
        <v>24.- C BFGoodrich 0540502-OT_200817  Reencauche  Rechazada, Guia 030-0040809</v>
      </c>
      <c r="Z1904" s="19" t="str">
        <f t="shared" ref="Z1904:Z1912" si="467">CONCATENATE(I1907,J1907)</f>
        <v>ReencaucheReenc. MASTERCAUCHO</v>
      </c>
    </row>
    <row r="1905" spans="2:26" ht="15.2" customHeight="1" outlineLevel="1">
      <c r="B1905" s="37"/>
      <c r="E1905" s="79">
        <v>25</v>
      </c>
      <c r="F1905" s="80" t="s">
        <v>732</v>
      </c>
      <c r="G1905" s="81" t="s">
        <v>757</v>
      </c>
      <c r="H1905" s="82" t="s">
        <v>1379</v>
      </c>
      <c r="I1905" s="81" t="s">
        <v>726</v>
      </c>
      <c r="J1905" s="83" t="s">
        <v>760</v>
      </c>
      <c r="K1905" s="84" t="s">
        <v>1368</v>
      </c>
      <c r="L1905" s="85">
        <v>41852</v>
      </c>
      <c r="M1905" s="86" t="s">
        <v>729</v>
      </c>
      <c r="N1905" s="87">
        <v>41857</v>
      </c>
      <c r="O1905" s="88">
        <v>41857</v>
      </c>
      <c r="P1905" s="2766"/>
      <c r="Q1905" s="2955"/>
      <c r="R1905" s="89">
        <v>0</v>
      </c>
      <c r="S1905" s="1946" t="s">
        <v>731</v>
      </c>
      <c r="T1905" s="1875" t="s">
        <v>1378</v>
      </c>
      <c r="U1905" s="1920"/>
      <c r="V1905" s="2079">
        <f t="shared" si="465"/>
        <v>0</v>
      </c>
      <c r="W1905" s="78">
        <f t="shared" si="466"/>
        <v>0</v>
      </c>
      <c r="X1905" s="1878" t="str">
        <f t="shared" si="464"/>
        <v>25.- C Goodyear 0580502-OT_200817  Reencauche  Rechazada, Guia 030-0040809</v>
      </c>
      <c r="Z1905" s="19" t="str">
        <f t="shared" si="467"/>
        <v>Transpl BandaReenc. MASTERCAUCHO</v>
      </c>
    </row>
    <row r="1906" spans="2:26" ht="15.2" customHeight="1" outlineLevel="1">
      <c r="B1906" s="1">
        <v>41821</v>
      </c>
      <c r="C1906" s="1"/>
      <c r="D1906" s="173">
        <f>+D1907</f>
        <v>6</v>
      </c>
      <c r="E1906" s="66"/>
      <c r="F1906" s="67"/>
      <c r="G1906" s="68"/>
      <c r="H1906" s="69"/>
      <c r="I1906" s="68"/>
      <c r="J1906" s="70"/>
      <c r="K1906" s="71"/>
      <c r="L1906" s="72"/>
      <c r="M1906" s="73"/>
      <c r="N1906" s="74"/>
      <c r="O1906" s="75"/>
      <c r="P1906" s="2765"/>
      <c r="Q1906" s="2954"/>
      <c r="R1906" s="76"/>
      <c r="S1906" s="1945"/>
      <c r="T1906" s="77"/>
      <c r="U1906" s="1893"/>
      <c r="V1906" s="2079">
        <f t="shared" si="465"/>
        <v>0</v>
      </c>
      <c r="W1906" s="78">
        <f t="shared" si="466"/>
        <v>0</v>
      </c>
      <c r="X1906" s="1878" t="str">
        <f t="shared" si="464"/>
        <v xml:space="preserve">.-   -OT_    </v>
      </c>
      <c r="Z1906" s="19" t="str">
        <f t="shared" si="467"/>
        <v>Sacar_BandaReenc. MASTERCAUCHO</v>
      </c>
    </row>
    <row r="1907" spans="2:26" ht="15.2" customHeight="1" outlineLevel="1">
      <c r="B1907" s="37"/>
      <c r="C1907" s="2">
        <f>1+C1908</f>
        <v>144</v>
      </c>
      <c r="D1907" s="3">
        <f>1+D1908</f>
        <v>6</v>
      </c>
      <c r="E1907" s="66">
        <v>1</v>
      </c>
      <c r="F1907" s="67" t="s">
        <v>723</v>
      </c>
      <c r="G1907" s="68" t="s">
        <v>724</v>
      </c>
      <c r="H1907" s="69" t="s">
        <v>1380</v>
      </c>
      <c r="I1907" s="68" t="s">
        <v>726</v>
      </c>
      <c r="J1907" s="70" t="s">
        <v>727</v>
      </c>
      <c r="K1907" s="71" t="s">
        <v>1381</v>
      </c>
      <c r="L1907" s="72">
        <v>41839</v>
      </c>
      <c r="M1907" s="73" t="s">
        <v>729</v>
      </c>
      <c r="N1907" s="74">
        <v>41845</v>
      </c>
      <c r="O1907" s="75">
        <f>+N1907</f>
        <v>41845</v>
      </c>
      <c r="P1907" s="2765" t="s">
        <v>1382</v>
      </c>
      <c r="Q1907" s="2954"/>
      <c r="R1907" s="76">
        <v>254.24</v>
      </c>
      <c r="S1907" s="1945" t="s">
        <v>731</v>
      </c>
      <c r="T1907" s="77"/>
      <c r="U1907" s="1893" t="s">
        <v>694</v>
      </c>
      <c r="V1907" s="2079">
        <f t="shared" si="465"/>
        <v>0</v>
      </c>
      <c r="W1907" s="78">
        <f t="shared" si="466"/>
        <v>300.00319999999999</v>
      </c>
      <c r="X1907" s="1878" t="str">
        <f t="shared" si="464"/>
        <v xml:space="preserve">1.- R Aeolus 0190413-OT_000136  Reencauche 0001-001428 </v>
      </c>
      <c r="Z1907" s="19" t="str">
        <f t="shared" si="467"/>
        <v>Vulcanizado (curación)Reenc. MASTERCAUCHO</v>
      </c>
    </row>
    <row r="1908" spans="2:26" ht="15.2" customHeight="1" outlineLevel="1">
      <c r="B1908" s="37"/>
      <c r="C1908" s="2">
        <f>1+C1910</f>
        <v>143</v>
      </c>
      <c r="D1908" s="3">
        <f>1+D1910</f>
        <v>5</v>
      </c>
      <c r="E1908" s="66">
        <v>2</v>
      </c>
      <c r="F1908" s="67" t="s">
        <v>732</v>
      </c>
      <c r="G1908" s="68" t="s">
        <v>733</v>
      </c>
      <c r="H1908" s="69" t="s">
        <v>1383</v>
      </c>
      <c r="I1908" s="90" t="s">
        <v>740</v>
      </c>
      <c r="J1908" s="92" t="s">
        <v>727</v>
      </c>
      <c r="K1908" s="71" t="s">
        <v>1381</v>
      </c>
      <c r="L1908" s="72">
        <v>41839</v>
      </c>
      <c r="M1908" s="73" t="s">
        <v>729</v>
      </c>
      <c r="N1908" s="74">
        <v>41845</v>
      </c>
      <c r="O1908" s="75">
        <f>+N1908</f>
        <v>41845</v>
      </c>
      <c r="P1908" s="2765" t="s">
        <v>1382</v>
      </c>
      <c r="Q1908" s="2954"/>
      <c r="R1908" s="76">
        <v>127.12</v>
      </c>
      <c r="S1908" s="1945" t="s">
        <v>731</v>
      </c>
      <c r="T1908" s="77"/>
      <c r="U1908" s="1893"/>
      <c r="V1908" s="2079">
        <f t="shared" si="465"/>
        <v>0</v>
      </c>
      <c r="W1908" s="78">
        <f t="shared" si="466"/>
        <v>150.0016</v>
      </c>
      <c r="X1908" s="1878" t="str">
        <f t="shared" si="464"/>
        <v xml:space="preserve">2.- C Lima Caucho 0030610-OT_000136  Transpl Banda 0001-001428 </v>
      </c>
      <c r="Z1908" s="19" t="str">
        <f t="shared" si="467"/>
        <v>Vulcanizado (curación)Reenc. MASTERCAUCHO</v>
      </c>
    </row>
    <row r="1909" spans="2:26" ht="15.2" customHeight="1" outlineLevel="1">
      <c r="B1909" s="37"/>
      <c r="E1909" s="79">
        <v>3</v>
      </c>
      <c r="F1909" s="80" t="s">
        <v>732</v>
      </c>
      <c r="G1909" s="81" t="s">
        <v>737</v>
      </c>
      <c r="H1909" s="82" t="s">
        <v>1308</v>
      </c>
      <c r="I1909" s="114" t="s">
        <v>744</v>
      </c>
      <c r="J1909" s="93" t="s">
        <v>727</v>
      </c>
      <c r="K1909" s="84" t="s">
        <v>1381</v>
      </c>
      <c r="L1909" s="85">
        <v>41839</v>
      </c>
      <c r="M1909" s="86" t="s">
        <v>729</v>
      </c>
      <c r="N1909" s="87">
        <v>41845</v>
      </c>
      <c r="O1909" s="88">
        <f>+N1909</f>
        <v>41845</v>
      </c>
      <c r="P1909" s="2766" t="s">
        <v>1382</v>
      </c>
      <c r="Q1909" s="2955"/>
      <c r="R1909" s="89">
        <v>0</v>
      </c>
      <c r="S1909" s="1946" t="s">
        <v>731</v>
      </c>
      <c r="T1909" s="77"/>
      <c r="U1909" s="1893"/>
      <c r="V1909" s="2079">
        <f t="shared" si="465"/>
        <v>0</v>
      </c>
      <c r="W1909" s="78">
        <f t="shared" si="466"/>
        <v>0</v>
      </c>
      <c r="X1909" s="1878" t="str">
        <f t="shared" si="464"/>
        <v xml:space="preserve">3.- C Vikrant 1001206-OT_000136  Sacar_Banda 0001-001428 </v>
      </c>
      <c r="Z1909" s="19" t="str">
        <f t="shared" si="467"/>
        <v>Transpl BandaReenc. MASTERCAUCHO</v>
      </c>
    </row>
    <row r="1910" spans="2:26" ht="15.2" customHeight="1" outlineLevel="1">
      <c r="B1910" s="37"/>
      <c r="C1910" s="2">
        <f t="shared" ref="C1910:D1912" si="468">1+C1911</f>
        <v>142</v>
      </c>
      <c r="D1910" s="3">
        <f t="shared" si="468"/>
        <v>4</v>
      </c>
      <c r="E1910" s="66">
        <v>1</v>
      </c>
      <c r="F1910" s="67" t="s">
        <v>723</v>
      </c>
      <c r="G1910" s="68" t="s">
        <v>825</v>
      </c>
      <c r="H1910" s="69" t="s">
        <v>864</v>
      </c>
      <c r="I1910" s="174" t="s">
        <v>811</v>
      </c>
      <c r="J1910" s="176" t="s">
        <v>727</v>
      </c>
      <c r="K1910" s="71" t="s">
        <v>1384</v>
      </c>
      <c r="L1910" s="72">
        <v>41832</v>
      </c>
      <c r="M1910" s="73" t="s">
        <v>729</v>
      </c>
      <c r="N1910" s="74">
        <v>41839</v>
      </c>
      <c r="O1910" s="75">
        <f>+N1910</f>
        <v>41839</v>
      </c>
      <c r="P1910" s="2765" t="s">
        <v>1385</v>
      </c>
      <c r="Q1910" s="2954"/>
      <c r="R1910" s="76">
        <v>0</v>
      </c>
      <c r="S1910" s="1945" t="s">
        <v>731</v>
      </c>
      <c r="T1910" s="77" t="s">
        <v>1351</v>
      </c>
      <c r="U1910" s="1893" t="s">
        <v>694</v>
      </c>
      <c r="V1910" s="2079">
        <f t="shared" si="465"/>
        <v>0</v>
      </c>
      <c r="W1910" s="78">
        <f t="shared" si="466"/>
        <v>0</v>
      </c>
      <c r="X1910" s="1878" t="str">
        <f t="shared" si="464"/>
        <v>1.- R Falken 0600611-OT_000133  Vulcanizado (curación) 0001-001401 Reclamo por desprendimiento de banda</v>
      </c>
      <c r="Z1910" s="19" t="str">
        <f t="shared" si="467"/>
        <v>Transpl BandaReenc. MASTERCAUCHO</v>
      </c>
    </row>
    <row r="1911" spans="2:26" ht="15.2" customHeight="1" outlineLevel="1">
      <c r="B1911" s="37"/>
      <c r="C1911" s="2">
        <f t="shared" si="468"/>
        <v>141</v>
      </c>
      <c r="D1911" s="3">
        <f t="shared" si="468"/>
        <v>3</v>
      </c>
      <c r="E1911" s="66">
        <v>2</v>
      </c>
      <c r="F1911" s="67" t="s">
        <v>732</v>
      </c>
      <c r="G1911" s="68" t="s">
        <v>737</v>
      </c>
      <c r="H1911" s="69" t="s">
        <v>1000</v>
      </c>
      <c r="I1911" s="174" t="s">
        <v>811</v>
      </c>
      <c r="J1911" s="176" t="s">
        <v>727</v>
      </c>
      <c r="K1911" s="71" t="s">
        <v>1384</v>
      </c>
      <c r="L1911" s="72">
        <v>41832</v>
      </c>
      <c r="M1911" s="73" t="s">
        <v>729</v>
      </c>
      <c r="N1911" s="74">
        <v>41839</v>
      </c>
      <c r="O1911" s="75">
        <v>41839</v>
      </c>
      <c r="P1911" s="2765" t="s">
        <v>1385</v>
      </c>
      <c r="Q1911" s="2954"/>
      <c r="R1911" s="76">
        <f>125/(1.18)</f>
        <v>105.93220338983052</v>
      </c>
      <c r="S1911" s="1945" t="s">
        <v>731</v>
      </c>
      <c r="T1911" s="77"/>
      <c r="U1911" s="1893"/>
      <c r="V1911" s="2079">
        <f t="shared" si="465"/>
        <v>0</v>
      </c>
      <c r="W1911" s="78">
        <f t="shared" si="466"/>
        <v>125</v>
      </c>
      <c r="X1911" s="1878" t="str">
        <f t="shared" si="464"/>
        <v xml:space="preserve">2.- C Vikrant 0430411-OT_000133  Vulcanizado (curación) 0001-001401 </v>
      </c>
      <c r="Z1911" s="19" t="str">
        <f t="shared" si="467"/>
        <v>Sacar_BandaReenc. MASTERCAUCHO</v>
      </c>
    </row>
    <row r="1912" spans="2:26" ht="15.2" customHeight="1" outlineLevel="1">
      <c r="B1912" s="37"/>
      <c r="C1912" s="2">
        <f t="shared" si="468"/>
        <v>140</v>
      </c>
      <c r="D1912" s="3">
        <f t="shared" si="468"/>
        <v>2</v>
      </c>
      <c r="E1912" s="66">
        <v>3</v>
      </c>
      <c r="F1912" s="67" t="s">
        <v>732</v>
      </c>
      <c r="G1912" s="68" t="s">
        <v>1108</v>
      </c>
      <c r="H1912" s="69" t="s">
        <v>1386</v>
      </c>
      <c r="I1912" s="90" t="s">
        <v>740</v>
      </c>
      <c r="J1912" s="92" t="s">
        <v>727</v>
      </c>
      <c r="K1912" s="71" t="s">
        <v>1384</v>
      </c>
      <c r="L1912" s="72">
        <v>41832</v>
      </c>
      <c r="M1912" s="73" t="s">
        <v>729</v>
      </c>
      <c r="N1912" s="74">
        <v>41839</v>
      </c>
      <c r="O1912" s="75">
        <v>41839</v>
      </c>
      <c r="P1912" s="2765" t="s">
        <v>1385</v>
      </c>
      <c r="Q1912" s="2954"/>
      <c r="R1912" s="76">
        <f>150/(1.18)</f>
        <v>127.11864406779662</v>
      </c>
      <c r="S1912" s="1945" t="s">
        <v>731</v>
      </c>
      <c r="T1912" s="77"/>
      <c r="U1912" s="1893"/>
      <c r="V1912" s="2079">
        <f t="shared" si="465"/>
        <v>0</v>
      </c>
      <c r="W1912" s="78">
        <f t="shared" si="466"/>
        <v>150</v>
      </c>
      <c r="X1912" s="1878" t="str">
        <f t="shared" si="464"/>
        <v xml:space="preserve">3.- C Hankook 0460305-OT_000133  Transpl Banda 0001-001401 </v>
      </c>
      <c r="Z1912" s="19" t="str">
        <f t="shared" si="467"/>
        <v>Sacar_BandaReenc. MASTERCAUCHO</v>
      </c>
    </row>
    <row r="1913" spans="2:26" ht="15.2" customHeight="1">
      <c r="B1913" s="37"/>
      <c r="C1913" s="2">
        <f>+C1917+1</f>
        <v>139</v>
      </c>
      <c r="D1913" s="3">
        <v>1</v>
      </c>
      <c r="E1913" s="66">
        <v>4</v>
      </c>
      <c r="F1913" s="67" t="s">
        <v>732</v>
      </c>
      <c r="G1913" s="68" t="s">
        <v>733</v>
      </c>
      <c r="H1913" s="69" t="s">
        <v>1387</v>
      </c>
      <c r="I1913" s="90" t="s">
        <v>740</v>
      </c>
      <c r="J1913" s="92" t="s">
        <v>727</v>
      </c>
      <c r="K1913" s="71" t="s">
        <v>1384</v>
      </c>
      <c r="L1913" s="72">
        <v>41832</v>
      </c>
      <c r="M1913" s="73" t="s">
        <v>729</v>
      </c>
      <c r="N1913" s="74">
        <v>41839</v>
      </c>
      <c r="O1913" s="75">
        <v>41839</v>
      </c>
      <c r="P1913" s="2765" t="s">
        <v>1385</v>
      </c>
      <c r="Q1913" s="2954"/>
      <c r="R1913" s="76">
        <f>150/(1.18)</f>
        <v>127.11864406779662</v>
      </c>
      <c r="S1913" s="1945" t="s">
        <v>731</v>
      </c>
      <c r="T1913" s="77"/>
      <c r="U1913" s="1893"/>
      <c r="V1913" s="2079">
        <f t="shared" si="465"/>
        <v>0</v>
      </c>
      <c r="W1913" s="78">
        <f t="shared" si="466"/>
        <v>150</v>
      </c>
      <c r="X1913" s="1878" t="str">
        <f t="shared" si="464"/>
        <v xml:space="preserve">4.- C Lima Caucho 0490610-OT_000133  Transpl Banda 0001-001401 </v>
      </c>
    </row>
    <row r="1914" spans="2:26" ht="15.2" customHeight="1" outlineLevel="1">
      <c r="B1914" s="37"/>
      <c r="E1914" s="66">
        <v>5</v>
      </c>
      <c r="F1914" s="67" t="s">
        <v>732</v>
      </c>
      <c r="G1914" s="68" t="s">
        <v>733</v>
      </c>
      <c r="H1914" s="69" t="s">
        <v>1388</v>
      </c>
      <c r="I1914" s="90" t="s">
        <v>744</v>
      </c>
      <c r="J1914" s="92" t="s">
        <v>727</v>
      </c>
      <c r="K1914" s="71" t="s">
        <v>1384</v>
      </c>
      <c r="L1914" s="72">
        <v>41832</v>
      </c>
      <c r="M1914" s="73" t="s">
        <v>729</v>
      </c>
      <c r="N1914" s="74">
        <v>41839</v>
      </c>
      <c r="O1914" s="75">
        <v>41839</v>
      </c>
      <c r="P1914" s="2765" t="s">
        <v>1385</v>
      </c>
      <c r="Q1914" s="2954"/>
      <c r="R1914" s="76">
        <v>0</v>
      </c>
      <c r="S1914" s="1945" t="s">
        <v>731</v>
      </c>
      <c r="T1914" s="77"/>
      <c r="U1914" s="1893"/>
      <c r="V1914" s="2079">
        <f t="shared" si="465"/>
        <v>0</v>
      </c>
      <c r="W1914" s="78">
        <f t="shared" si="466"/>
        <v>0</v>
      </c>
      <c r="X1914" s="1878" t="str">
        <f t="shared" si="464"/>
        <v xml:space="preserve">5.- C Lima Caucho 0720810-OT_000133  Sacar_Banda 0001-001401 </v>
      </c>
      <c r="Z1914" s="19" t="str">
        <f t="shared" ref="Z1914:Z1954" si="469">CONCATENATE(I1917,J1917)</f>
        <v>ReencaucheReenc. MASTERCAUCHO</v>
      </c>
    </row>
    <row r="1915" spans="2:26" ht="15.2" customHeight="1" outlineLevel="1">
      <c r="B1915" s="37"/>
      <c r="E1915" s="79">
        <v>6</v>
      </c>
      <c r="F1915" s="80" t="s">
        <v>732</v>
      </c>
      <c r="G1915" s="81" t="s">
        <v>737</v>
      </c>
      <c r="H1915" s="82" t="s">
        <v>1389</v>
      </c>
      <c r="I1915" s="114" t="s">
        <v>744</v>
      </c>
      <c r="J1915" s="93" t="s">
        <v>727</v>
      </c>
      <c r="K1915" s="84" t="s">
        <v>1384</v>
      </c>
      <c r="L1915" s="85">
        <v>41832</v>
      </c>
      <c r="M1915" s="86" t="s">
        <v>729</v>
      </c>
      <c r="N1915" s="87">
        <v>41839</v>
      </c>
      <c r="O1915" s="88">
        <v>41839</v>
      </c>
      <c r="P1915" s="2766" t="s">
        <v>1385</v>
      </c>
      <c r="Q1915" s="2955"/>
      <c r="R1915" s="89">
        <v>0</v>
      </c>
      <c r="S1915" s="1946" t="s">
        <v>731</v>
      </c>
      <c r="T1915" s="77"/>
      <c r="U1915" s="1893"/>
      <c r="V1915" s="2079">
        <f t="shared" si="465"/>
        <v>0</v>
      </c>
      <c r="W1915" s="78">
        <f t="shared" si="466"/>
        <v>0</v>
      </c>
      <c r="X1915" s="1878" t="str">
        <f t="shared" si="464"/>
        <v xml:space="preserve">6.- C Vikrant 0060109-OT_000133  Sacar_Banda 0001-001401 </v>
      </c>
      <c r="Z1915" s="19" t="str">
        <f t="shared" si="469"/>
        <v>ReencaucheReenc. MASTERCAUCHO</v>
      </c>
    </row>
    <row r="1916" spans="2:26" ht="15.2" customHeight="1" outlineLevel="1">
      <c r="B1916" s="1">
        <v>41791</v>
      </c>
      <c r="C1916" s="1"/>
      <c r="D1916" s="173">
        <f>+D1917</f>
        <v>38</v>
      </c>
      <c r="E1916" s="66"/>
      <c r="F1916" s="67"/>
      <c r="G1916" s="68"/>
      <c r="H1916" s="69"/>
      <c r="I1916" s="68"/>
      <c r="J1916" s="70"/>
      <c r="K1916" s="71"/>
      <c r="L1916" s="72"/>
      <c r="M1916" s="73"/>
      <c r="N1916" s="74"/>
      <c r="O1916" s="75"/>
      <c r="P1916" s="2765"/>
      <c r="Q1916" s="2954"/>
      <c r="R1916" s="76"/>
      <c r="S1916" s="1945"/>
      <c r="T1916" s="77"/>
      <c r="U1916" s="1893"/>
      <c r="V1916" s="2079">
        <f t="shared" si="465"/>
        <v>0</v>
      </c>
      <c r="W1916" s="78">
        <f t="shared" si="466"/>
        <v>0</v>
      </c>
      <c r="X1916" s="1878" t="str">
        <f t="shared" si="464"/>
        <v xml:space="preserve">.-   -OT_    </v>
      </c>
      <c r="Z1916" s="19" t="str">
        <f t="shared" si="469"/>
        <v>Vulcanizado (curación)Reenc. MASTERCAUCHO</v>
      </c>
    </row>
    <row r="1917" spans="2:26" ht="15.2" customHeight="1" outlineLevel="1">
      <c r="B1917" s="37"/>
      <c r="C1917" s="2">
        <f t="shared" ref="C1917:D1921" si="470">1+C1918</f>
        <v>138</v>
      </c>
      <c r="D1917" s="3">
        <f t="shared" si="470"/>
        <v>38</v>
      </c>
      <c r="E1917" s="66">
        <v>1</v>
      </c>
      <c r="F1917" s="67" t="s">
        <v>732</v>
      </c>
      <c r="G1917" s="68" t="s">
        <v>733</v>
      </c>
      <c r="H1917" s="69" t="s">
        <v>1392</v>
      </c>
      <c r="I1917" s="68" t="s">
        <v>726</v>
      </c>
      <c r="J1917" s="70" t="s">
        <v>727</v>
      </c>
      <c r="K1917" s="71" t="s">
        <v>1393</v>
      </c>
      <c r="L1917" s="72">
        <v>41808</v>
      </c>
      <c r="M1917" s="73" t="s">
        <v>729</v>
      </c>
      <c r="N1917" s="74">
        <v>41814</v>
      </c>
      <c r="O1917" s="75">
        <f>+N1917</f>
        <v>41814</v>
      </c>
      <c r="P1917" s="2765" t="s">
        <v>1394</v>
      </c>
      <c r="Q1917" s="2954"/>
      <c r="R1917" s="76">
        <v>254.24</v>
      </c>
      <c r="S1917" s="1945" t="s">
        <v>731</v>
      </c>
      <c r="T1917" s="77"/>
      <c r="U1917" s="1893"/>
      <c r="V1917" s="2079">
        <f t="shared" si="465"/>
        <v>0</v>
      </c>
      <c r="W1917" s="78">
        <f t="shared" si="466"/>
        <v>300.00319999999999</v>
      </c>
      <c r="X1917" s="1878" t="str">
        <f t="shared" si="464"/>
        <v xml:space="preserve">1.- C Lima Caucho 1330805-OT_000126  Reencauche 0001-001263 </v>
      </c>
      <c r="Z1917" s="19" t="str">
        <f t="shared" si="469"/>
        <v>ReencaucheReenc. MASTERCAUCHO</v>
      </c>
    </row>
    <row r="1918" spans="2:26" ht="15.2" customHeight="1" outlineLevel="1">
      <c r="B1918" s="37"/>
      <c r="C1918" s="2">
        <f t="shared" si="470"/>
        <v>137</v>
      </c>
      <c r="D1918" s="3">
        <f t="shared" si="470"/>
        <v>37</v>
      </c>
      <c r="E1918" s="66">
        <v>2</v>
      </c>
      <c r="F1918" s="67" t="s">
        <v>732</v>
      </c>
      <c r="G1918" s="68" t="s">
        <v>737</v>
      </c>
      <c r="H1918" s="69" t="s">
        <v>1395</v>
      </c>
      <c r="I1918" s="68" t="s">
        <v>726</v>
      </c>
      <c r="J1918" s="70" t="s">
        <v>727</v>
      </c>
      <c r="K1918" s="71" t="s">
        <v>1393</v>
      </c>
      <c r="L1918" s="72">
        <v>41808</v>
      </c>
      <c r="M1918" s="73" t="s">
        <v>729</v>
      </c>
      <c r="N1918" s="74">
        <v>41814</v>
      </c>
      <c r="O1918" s="75">
        <v>41806</v>
      </c>
      <c r="P1918" s="2765" t="s">
        <v>1394</v>
      </c>
      <c r="Q1918" s="2954"/>
      <c r="R1918" s="76">
        <v>254.24</v>
      </c>
      <c r="S1918" s="1945" t="s">
        <v>731</v>
      </c>
      <c r="T1918" s="77"/>
      <c r="U1918" s="1893"/>
      <c r="V1918" s="2079">
        <f t="shared" si="465"/>
        <v>0</v>
      </c>
      <c r="W1918" s="78">
        <f t="shared" si="466"/>
        <v>300.00319999999999</v>
      </c>
      <c r="X1918" s="1878" t="str">
        <f t="shared" si="464"/>
        <v xml:space="preserve">2.- C Vikrant 1091208-OT_000126  Reencauche 0001-001263 </v>
      </c>
      <c r="Z1918" s="19" t="str">
        <f t="shared" si="469"/>
        <v>ReencaucheReenc. MASTERCAUCHO</v>
      </c>
    </row>
    <row r="1919" spans="2:26" ht="15.2" customHeight="1" outlineLevel="1">
      <c r="B1919" s="37"/>
      <c r="C1919" s="2">
        <f t="shared" si="470"/>
        <v>136</v>
      </c>
      <c r="D1919" s="3">
        <f t="shared" si="470"/>
        <v>36</v>
      </c>
      <c r="E1919" s="79">
        <v>3</v>
      </c>
      <c r="F1919" s="80" t="s">
        <v>732</v>
      </c>
      <c r="G1919" s="81" t="s">
        <v>778</v>
      </c>
      <c r="H1919" s="82" t="s">
        <v>841</v>
      </c>
      <c r="I1919" s="150" t="s">
        <v>811</v>
      </c>
      <c r="J1919" s="152" t="s">
        <v>727</v>
      </c>
      <c r="K1919" s="84" t="s">
        <v>1393</v>
      </c>
      <c r="L1919" s="85">
        <v>41808</v>
      </c>
      <c r="M1919" s="86" t="s">
        <v>729</v>
      </c>
      <c r="N1919" s="87">
        <v>41814</v>
      </c>
      <c r="O1919" s="88">
        <v>41806</v>
      </c>
      <c r="P1919" s="2766" t="s">
        <v>1394</v>
      </c>
      <c r="Q1919" s="2955"/>
      <c r="R1919" s="89">
        <v>0</v>
      </c>
      <c r="S1919" s="1946" t="s">
        <v>731</v>
      </c>
      <c r="T1919" s="77"/>
      <c r="U1919" s="1893"/>
      <c r="V1919" s="2079">
        <f t="shared" si="465"/>
        <v>0</v>
      </c>
      <c r="W1919" s="78">
        <f t="shared" si="466"/>
        <v>0</v>
      </c>
      <c r="X1919" s="1878" t="str">
        <f t="shared" si="464"/>
        <v xml:space="preserve">3.- C Riverstone 1410904-OT_000126  Vulcanizado (curación) 0001-001263 </v>
      </c>
      <c r="Z1919" s="19" t="str">
        <f t="shared" si="469"/>
        <v>Transpl BandaReenc. MASTERCAUCHO</v>
      </c>
    </row>
    <row r="1920" spans="2:26" ht="15.2" customHeight="1" outlineLevel="1">
      <c r="B1920" s="37"/>
      <c r="C1920" s="2">
        <f t="shared" si="470"/>
        <v>135</v>
      </c>
      <c r="D1920" s="3">
        <f t="shared" si="470"/>
        <v>35</v>
      </c>
      <c r="E1920" s="66">
        <v>1</v>
      </c>
      <c r="F1920" s="67" t="s">
        <v>732</v>
      </c>
      <c r="G1920" s="68" t="s">
        <v>737</v>
      </c>
      <c r="H1920" s="69" t="s">
        <v>1392</v>
      </c>
      <c r="I1920" s="68" t="s">
        <v>726</v>
      </c>
      <c r="J1920" s="70" t="s">
        <v>727</v>
      </c>
      <c r="K1920" s="71" t="s">
        <v>1393</v>
      </c>
      <c r="L1920" s="72">
        <v>41801</v>
      </c>
      <c r="M1920" s="73" t="s">
        <v>729</v>
      </c>
      <c r="N1920" s="74">
        <v>41806</v>
      </c>
      <c r="O1920" s="75">
        <f>+N1920</f>
        <v>41806</v>
      </c>
      <c r="P1920" s="2765" t="s">
        <v>1396</v>
      </c>
      <c r="Q1920" s="2954"/>
      <c r="R1920" s="76">
        <v>254.24</v>
      </c>
      <c r="S1920" s="1945" t="s">
        <v>731</v>
      </c>
      <c r="T1920" s="77"/>
      <c r="U1920" s="1893"/>
      <c r="V1920" s="2079">
        <f t="shared" si="465"/>
        <v>0</v>
      </c>
      <c r="W1920" s="78">
        <f t="shared" si="466"/>
        <v>300.00319999999999</v>
      </c>
      <c r="X1920" s="1878" t="str">
        <f t="shared" si="464"/>
        <v xml:space="preserve">1.- C Vikrant 1330805-OT_000126  Reencauche 0001-001208 </v>
      </c>
      <c r="Z1920" s="19" t="str">
        <f t="shared" si="469"/>
        <v>Sacar_BandaReenc. MASTERCAUCHO</v>
      </c>
    </row>
    <row r="1921" spans="2:26" ht="15.2" customHeight="1" outlineLevel="1">
      <c r="B1921" s="37"/>
      <c r="C1921" s="2">
        <f t="shared" si="470"/>
        <v>134</v>
      </c>
      <c r="D1921" s="3">
        <f t="shared" si="470"/>
        <v>34</v>
      </c>
      <c r="E1921" s="66">
        <v>2</v>
      </c>
      <c r="F1921" s="67" t="s">
        <v>732</v>
      </c>
      <c r="G1921" s="68" t="s">
        <v>733</v>
      </c>
      <c r="H1921" s="69" t="s">
        <v>1395</v>
      </c>
      <c r="I1921" s="68" t="s">
        <v>726</v>
      </c>
      <c r="J1921" s="70" t="s">
        <v>727</v>
      </c>
      <c r="K1921" s="71" t="s">
        <v>1393</v>
      </c>
      <c r="L1921" s="72">
        <v>41801</v>
      </c>
      <c r="M1921" s="73" t="s">
        <v>729</v>
      </c>
      <c r="N1921" s="74">
        <v>41806</v>
      </c>
      <c r="O1921" s="75">
        <v>41806</v>
      </c>
      <c r="P1921" s="2765" t="s">
        <v>1396</v>
      </c>
      <c r="Q1921" s="2954"/>
      <c r="R1921" s="76">
        <v>254.24</v>
      </c>
      <c r="S1921" s="1945" t="s">
        <v>731</v>
      </c>
      <c r="T1921" s="77"/>
      <c r="U1921" s="1893"/>
      <c r="V1921" s="2079">
        <f t="shared" si="465"/>
        <v>0</v>
      </c>
      <c r="W1921" s="78">
        <f t="shared" si="466"/>
        <v>300.00319999999999</v>
      </c>
      <c r="X1921" s="1878" t="str">
        <f t="shared" si="464"/>
        <v xml:space="preserve">2.- C Lima Caucho 1091208-OT_000126  Reencauche 0001-001208 </v>
      </c>
      <c r="Z1921" s="19" t="str">
        <f t="shared" si="469"/>
        <v>Vulcanizado (curación)Reenc. MASTERCAUCHO</v>
      </c>
    </row>
    <row r="1922" spans="2:26" ht="15.2" customHeight="1" outlineLevel="1">
      <c r="B1922" s="37"/>
      <c r="C1922" s="2">
        <f>1+C1924</f>
        <v>133</v>
      </c>
      <c r="D1922" s="3">
        <f>1+D1924</f>
        <v>33</v>
      </c>
      <c r="E1922" s="66">
        <v>3</v>
      </c>
      <c r="F1922" s="67" t="s">
        <v>732</v>
      </c>
      <c r="G1922" s="68" t="s">
        <v>778</v>
      </c>
      <c r="H1922" s="69" t="s">
        <v>841</v>
      </c>
      <c r="I1922" s="90" t="s">
        <v>740</v>
      </c>
      <c r="J1922" s="92" t="s">
        <v>727</v>
      </c>
      <c r="K1922" s="71" t="s">
        <v>1393</v>
      </c>
      <c r="L1922" s="72">
        <v>41801</v>
      </c>
      <c r="M1922" s="73" t="s">
        <v>729</v>
      </c>
      <c r="N1922" s="74">
        <v>41806</v>
      </c>
      <c r="O1922" s="75">
        <v>41806</v>
      </c>
      <c r="P1922" s="2765" t="s">
        <v>1396</v>
      </c>
      <c r="Q1922" s="2954"/>
      <c r="R1922" s="76">
        <v>127.12</v>
      </c>
      <c r="S1922" s="1945" t="s">
        <v>731</v>
      </c>
      <c r="T1922" s="77"/>
      <c r="U1922" s="1893"/>
      <c r="V1922" s="2079">
        <f t="shared" si="465"/>
        <v>0</v>
      </c>
      <c r="W1922" s="78">
        <f t="shared" si="466"/>
        <v>150.0016</v>
      </c>
      <c r="X1922" s="1878" t="str">
        <f t="shared" si="464"/>
        <v xml:space="preserve">3.- C Riverstone 1410904-OT_000126  Transpl Banda 0001-001208 </v>
      </c>
      <c r="Z1922" s="19" t="str">
        <f t="shared" si="469"/>
        <v>ReencaucheReencauchadora RENOVA</v>
      </c>
    </row>
    <row r="1923" spans="2:26" ht="15.2" customHeight="1" outlineLevel="1">
      <c r="B1923" s="37"/>
      <c r="E1923" s="66">
        <v>4</v>
      </c>
      <c r="F1923" s="67" t="s">
        <v>732</v>
      </c>
      <c r="G1923" s="68" t="s">
        <v>757</v>
      </c>
      <c r="H1923" s="69" t="s">
        <v>1397</v>
      </c>
      <c r="I1923" s="90" t="s">
        <v>744</v>
      </c>
      <c r="J1923" s="92" t="s">
        <v>727</v>
      </c>
      <c r="K1923" s="71" t="s">
        <v>1393</v>
      </c>
      <c r="L1923" s="72">
        <v>41801</v>
      </c>
      <c r="M1923" s="73" t="s">
        <v>729</v>
      </c>
      <c r="N1923" s="74">
        <v>41806</v>
      </c>
      <c r="O1923" s="75">
        <v>41806</v>
      </c>
      <c r="P1923" s="2765" t="s">
        <v>1396</v>
      </c>
      <c r="Q1923" s="2954"/>
      <c r="R1923" s="76">
        <v>0</v>
      </c>
      <c r="S1923" s="1945" t="s">
        <v>731</v>
      </c>
      <c r="T1923" s="77"/>
      <c r="U1923" s="1893"/>
      <c r="V1923" s="2079">
        <f t="shared" si="465"/>
        <v>0</v>
      </c>
      <c r="W1923" s="78">
        <f t="shared" si="466"/>
        <v>0</v>
      </c>
      <c r="X1923" s="1878" t="str">
        <f t="shared" si="464"/>
        <v xml:space="preserve">4.- C Goodyear 044092003-OT_000126  Sacar_Banda 0001-001208 </v>
      </c>
      <c r="Z1923" s="19" t="str">
        <f t="shared" si="469"/>
        <v>ReencaucheReencauchadora RENOVA</v>
      </c>
    </row>
    <row r="1924" spans="2:26" ht="15.2" customHeight="1" outlineLevel="1">
      <c r="B1924" s="37"/>
      <c r="C1924" s="2">
        <f t="shared" ref="C1924:C1946" si="471">1+C1925</f>
        <v>132</v>
      </c>
      <c r="D1924" s="3">
        <f t="shared" ref="D1924:D1946" si="472">1+D1925</f>
        <v>32</v>
      </c>
      <c r="E1924" s="79">
        <v>5</v>
      </c>
      <c r="F1924" s="80" t="s">
        <v>732</v>
      </c>
      <c r="G1924" s="81" t="s">
        <v>733</v>
      </c>
      <c r="H1924" s="82" t="s">
        <v>1398</v>
      </c>
      <c r="I1924" s="150" t="s">
        <v>811</v>
      </c>
      <c r="J1924" s="152" t="s">
        <v>727</v>
      </c>
      <c r="K1924" s="84" t="s">
        <v>1393</v>
      </c>
      <c r="L1924" s="85">
        <v>41801</v>
      </c>
      <c r="M1924" s="86" t="s">
        <v>729</v>
      </c>
      <c r="N1924" s="87">
        <v>41806</v>
      </c>
      <c r="O1924" s="88">
        <v>41806</v>
      </c>
      <c r="P1924" s="2766" t="s">
        <v>1396</v>
      </c>
      <c r="Q1924" s="2955"/>
      <c r="R1924" s="89">
        <v>0</v>
      </c>
      <c r="S1924" s="1946" t="s">
        <v>731</v>
      </c>
      <c r="T1924" s="77"/>
      <c r="U1924" s="1893"/>
      <c r="V1924" s="2079">
        <f t="shared" si="465"/>
        <v>0</v>
      </c>
      <c r="W1924" s="78">
        <f t="shared" si="466"/>
        <v>0</v>
      </c>
      <c r="X1924" s="1878" t="str">
        <f t="shared" si="464"/>
        <v xml:space="preserve">5.- C Lima Caucho 121207-OT_000126  Vulcanizado (curación) 0001-001208 </v>
      </c>
      <c r="Z1924" s="19" t="str">
        <f t="shared" si="469"/>
        <v>ReencaucheReencauchadora RENOVA</v>
      </c>
    </row>
    <row r="1925" spans="2:26" ht="15.2" customHeight="1" outlineLevel="1">
      <c r="B1925" s="37"/>
      <c r="C1925" s="2">
        <f t="shared" si="471"/>
        <v>131</v>
      </c>
      <c r="D1925" s="3">
        <f t="shared" si="472"/>
        <v>31</v>
      </c>
      <c r="E1925" s="66">
        <v>1</v>
      </c>
      <c r="F1925" s="67" t="s">
        <v>732</v>
      </c>
      <c r="G1925" s="68" t="s">
        <v>733</v>
      </c>
      <c r="H1925" s="69" t="s">
        <v>1399</v>
      </c>
      <c r="I1925" s="68" t="s">
        <v>726</v>
      </c>
      <c r="J1925" s="70" t="s">
        <v>760</v>
      </c>
      <c r="K1925" s="71" t="s">
        <v>1400</v>
      </c>
      <c r="L1925" s="72">
        <v>41793</v>
      </c>
      <c r="M1925" s="73" t="s">
        <v>729</v>
      </c>
      <c r="N1925" s="74">
        <v>41803</v>
      </c>
      <c r="O1925" s="75">
        <f>+N1925</f>
        <v>41803</v>
      </c>
      <c r="P1925" s="2765" t="s">
        <v>1401</v>
      </c>
      <c r="Q1925" s="2954"/>
      <c r="R1925" s="76">
        <v>281.49</v>
      </c>
      <c r="S1925" s="1945" t="s">
        <v>731</v>
      </c>
      <c r="T1925" s="77"/>
      <c r="U1925" s="1893"/>
      <c r="V1925" s="2079">
        <f t="shared" si="465"/>
        <v>0</v>
      </c>
      <c r="W1925" s="78">
        <f t="shared" si="466"/>
        <v>332.15819999999997</v>
      </c>
      <c r="X1925" s="1878" t="str">
        <f t="shared" si="464"/>
        <v xml:space="preserve">1.- C Lima Caucho 0860908-OT_197577  Reencauche 030-0039443 </v>
      </c>
      <c r="Z1925" s="19" t="str">
        <f t="shared" si="469"/>
        <v>ReencaucheReencauchadora RENOVA</v>
      </c>
    </row>
    <row r="1926" spans="2:26" ht="15.2" customHeight="1" outlineLevel="1">
      <c r="B1926" s="37"/>
      <c r="C1926" s="2">
        <f t="shared" si="471"/>
        <v>130</v>
      </c>
      <c r="D1926" s="3">
        <f t="shared" si="472"/>
        <v>30</v>
      </c>
      <c r="E1926" s="66">
        <v>2</v>
      </c>
      <c r="F1926" s="67" t="s">
        <v>732</v>
      </c>
      <c r="G1926" s="68" t="s">
        <v>733</v>
      </c>
      <c r="H1926" s="69" t="s">
        <v>1402</v>
      </c>
      <c r="I1926" s="68" t="s">
        <v>726</v>
      </c>
      <c r="J1926" s="70" t="s">
        <v>760</v>
      </c>
      <c r="K1926" s="71" t="s">
        <v>1400</v>
      </c>
      <c r="L1926" s="72">
        <v>41793</v>
      </c>
      <c r="M1926" s="73" t="s">
        <v>729</v>
      </c>
      <c r="N1926" s="74">
        <v>41803</v>
      </c>
      <c r="O1926" s="75">
        <v>41803</v>
      </c>
      <c r="P1926" s="2765" t="s">
        <v>1401</v>
      </c>
      <c r="Q1926" s="2954"/>
      <c r="R1926" s="76">
        <v>281.49</v>
      </c>
      <c r="S1926" s="1945" t="s">
        <v>731</v>
      </c>
      <c r="T1926" s="77"/>
      <c r="U1926" s="1893"/>
      <c r="V1926" s="2079">
        <f t="shared" si="465"/>
        <v>0</v>
      </c>
      <c r="W1926" s="78">
        <f t="shared" si="466"/>
        <v>332.15819999999997</v>
      </c>
      <c r="X1926" s="1878" t="str">
        <f t="shared" si="464"/>
        <v xml:space="preserve">2.- C Lima Caucho 0440608-OT_197577  Reencauche 030-0039443 </v>
      </c>
      <c r="Z1926" s="19" t="str">
        <f t="shared" si="469"/>
        <v>ReencaucheReencauchadora RENOVA</v>
      </c>
    </row>
    <row r="1927" spans="2:26" ht="15.2" customHeight="1" outlineLevel="1">
      <c r="B1927" s="37"/>
      <c r="C1927" s="2">
        <f t="shared" si="471"/>
        <v>129</v>
      </c>
      <c r="D1927" s="3">
        <f t="shared" si="472"/>
        <v>29</v>
      </c>
      <c r="E1927" s="66">
        <v>3</v>
      </c>
      <c r="F1927" s="67" t="s">
        <v>732</v>
      </c>
      <c r="G1927" s="68" t="s">
        <v>733</v>
      </c>
      <c r="H1927" s="69" t="s">
        <v>1403</v>
      </c>
      <c r="I1927" s="68" t="s">
        <v>726</v>
      </c>
      <c r="J1927" s="70" t="s">
        <v>760</v>
      </c>
      <c r="K1927" s="71" t="s">
        <v>1400</v>
      </c>
      <c r="L1927" s="72">
        <v>41793</v>
      </c>
      <c r="M1927" s="73" t="s">
        <v>729</v>
      </c>
      <c r="N1927" s="74">
        <v>41803</v>
      </c>
      <c r="O1927" s="75">
        <v>41803</v>
      </c>
      <c r="P1927" s="2765" t="s">
        <v>1401</v>
      </c>
      <c r="Q1927" s="2954"/>
      <c r="R1927" s="76">
        <v>281.49</v>
      </c>
      <c r="S1927" s="1945" t="s">
        <v>731</v>
      </c>
      <c r="T1927" s="77"/>
      <c r="U1927" s="1893"/>
      <c r="V1927" s="2079">
        <f t="shared" si="465"/>
        <v>0</v>
      </c>
      <c r="W1927" s="78">
        <f t="shared" si="466"/>
        <v>332.15819999999997</v>
      </c>
      <c r="X1927" s="1878" t="str">
        <f t="shared" si="464"/>
        <v xml:space="preserve">3.- C Lima Caucho 0400411-OT_197577  Reencauche 030-0039443 </v>
      </c>
      <c r="Z1927" s="19" t="str">
        <f t="shared" si="469"/>
        <v>ReencaucheReencauchadora RENOVA</v>
      </c>
    </row>
    <row r="1928" spans="2:26" ht="15.2" customHeight="1" outlineLevel="1">
      <c r="B1928" s="37"/>
      <c r="C1928" s="2">
        <f t="shared" si="471"/>
        <v>128</v>
      </c>
      <c r="D1928" s="3">
        <f t="shared" si="472"/>
        <v>28</v>
      </c>
      <c r="E1928" s="66">
        <v>4</v>
      </c>
      <c r="F1928" s="67" t="s">
        <v>732</v>
      </c>
      <c r="G1928" s="68" t="s">
        <v>737</v>
      </c>
      <c r="H1928" s="69" t="s">
        <v>1404</v>
      </c>
      <c r="I1928" s="68" t="s">
        <v>726</v>
      </c>
      <c r="J1928" s="70" t="s">
        <v>760</v>
      </c>
      <c r="K1928" s="71" t="s">
        <v>1400</v>
      </c>
      <c r="L1928" s="72">
        <v>41793</v>
      </c>
      <c r="M1928" s="73" t="s">
        <v>729</v>
      </c>
      <c r="N1928" s="74">
        <v>41803</v>
      </c>
      <c r="O1928" s="75">
        <v>41803</v>
      </c>
      <c r="P1928" s="2765" t="s">
        <v>1401</v>
      </c>
      <c r="Q1928" s="2954"/>
      <c r="R1928" s="76">
        <v>281.49</v>
      </c>
      <c r="S1928" s="1945" t="s">
        <v>731</v>
      </c>
      <c r="T1928" s="77"/>
      <c r="U1928" s="1893"/>
      <c r="V1928" s="2079">
        <f t="shared" si="465"/>
        <v>0</v>
      </c>
      <c r="W1928" s="78">
        <f t="shared" si="466"/>
        <v>332.15819999999997</v>
      </c>
      <c r="X1928" s="1878" t="str">
        <f t="shared" si="464"/>
        <v xml:space="preserve">4.- C Vikrant 0871009-OT_197577  Reencauche 030-0039443 </v>
      </c>
      <c r="Z1928" s="19" t="str">
        <f t="shared" si="469"/>
        <v>ReencaucheReencauchadora RENOVA</v>
      </c>
    </row>
    <row r="1929" spans="2:26" ht="15.2" customHeight="1" outlineLevel="1">
      <c r="B1929" s="37"/>
      <c r="C1929" s="2">
        <f t="shared" si="471"/>
        <v>127</v>
      </c>
      <c r="D1929" s="3">
        <f t="shared" si="472"/>
        <v>27</v>
      </c>
      <c r="E1929" s="66">
        <v>5</v>
      </c>
      <c r="F1929" s="67" t="s">
        <v>732</v>
      </c>
      <c r="G1929" s="68" t="s">
        <v>733</v>
      </c>
      <c r="H1929" s="69" t="s">
        <v>771</v>
      </c>
      <c r="I1929" s="68" t="s">
        <v>726</v>
      </c>
      <c r="J1929" s="70" t="s">
        <v>760</v>
      </c>
      <c r="K1929" s="71" t="s">
        <v>1405</v>
      </c>
      <c r="L1929" s="72">
        <v>41793</v>
      </c>
      <c r="M1929" s="73" t="s">
        <v>729</v>
      </c>
      <c r="N1929" s="74">
        <v>41803</v>
      </c>
      <c r="O1929" s="75">
        <v>41803</v>
      </c>
      <c r="P1929" s="2765" t="s">
        <v>1401</v>
      </c>
      <c r="Q1929" s="2954"/>
      <c r="R1929" s="76">
        <v>281.49</v>
      </c>
      <c r="S1929" s="1945" t="s">
        <v>731</v>
      </c>
      <c r="T1929" s="77"/>
      <c r="U1929" s="1893"/>
      <c r="V1929" s="2079">
        <f t="shared" si="465"/>
        <v>0</v>
      </c>
      <c r="W1929" s="78">
        <f t="shared" si="466"/>
        <v>332.15819999999997</v>
      </c>
      <c r="X1929" s="1878" t="str">
        <f t="shared" si="464"/>
        <v xml:space="preserve">5.- C Lima Caucho 0471112-OT_197576  Reencauche 030-0039443 </v>
      </c>
      <c r="Z1929" s="19" t="str">
        <f t="shared" si="469"/>
        <v>ReencaucheReencauchadora RENOVA</v>
      </c>
    </row>
    <row r="1930" spans="2:26" ht="15.2" customHeight="1" outlineLevel="1">
      <c r="B1930" s="37"/>
      <c r="C1930" s="2">
        <f t="shared" si="471"/>
        <v>126</v>
      </c>
      <c r="D1930" s="3">
        <f t="shared" si="472"/>
        <v>26</v>
      </c>
      <c r="E1930" s="66">
        <v>6</v>
      </c>
      <c r="F1930" s="67" t="s">
        <v>732</v>
      </c>
      <c r="G1930" s="68" t="s">
        <v>733</v>
      </c>
      <c r="H1930" s="69" t="s">
        <v>1406</v>
      </c>
      <c r="I1930" s="68" t="s">
        <v>726</v>
      </c>
      <c r="J1930" s="70" t="s">
        <v>760</v>
      </c>
      <c r="K1930" s="71" t="s">
        <v>1405</v>
      </c>
      <c r="L1930" s="72">
        <v>41793</v>
      </c>
      <c r="M1930" s="73" t="s">
        <v>729</v>
      </c>
      <c r="N1930" s="74">
        <v>41803</v>
      </c>
      <c r="O1930" s="75">
        <v>41803</v>
      </c>
      <c r="P1930" s="2765" t="s">
        <v>1401</v>
      </c>
      <c r="Q1930" s="2954"/>
      <c r="R1930" s="76">
        <v>281.49</v>
      </c>
      <c r="S1930" s="1945" t="s">
        <v>731</v>
      </c>
      <c r="T1930" s="77"/>
      <c r="U1930" s="1893"/>
      <c r="V1930" s="2079">
        <f t="shared" si="465"/>
        <v>0</v>
      </c>
      <c r="W1930" s="78">
        <f t="shared" si="466"/>
        <v>332.15819999999997</v>
      </c>
      <c r="X1930" s="1878" t="str">
        <f t="shared" si="464"/>
        <v xml:space="preserve">6.- C Lima Caucho 0540708-OT_197576  Reencauche 030-0039443 </v>
      </c>
      <c r="Z1930" s="19" t="str">
        <f t="shared" si="469"/>
        <v>ReencaucheReencauchadora RENOVA</v>
      </c>
    </row>
    <row r="1931" spans="2:26" ht="15.2" customHeight="1" outlineLevel="1">
      <c r="B1931" s="37"/>
      <c r="C1931" s="2">
        <f t="shared" si="471"/>
        <v>125</v>
      </c>
      <c r="D1931" s="3">
        <f t="shared" si="472"/>
        <v>25</v>
      </c>
      <c r="E1931" s="66">
        <v>7</v>
      </c>
      <c r="F1931" s="67" t="s">
        <v>732</v>
      </c>
      <c r="G1931" s="68" t="s">
        <v>733</v>
      </c>
      <c r="H1931" s="69" t="s">
        <v>1407</v>
      </c>
      <c r="I1931" s="68" t="s">
        <v>726</v>
      </c>
      <c r="J1931" s="70" t="s">
        <v>760</v>
      </c>
      <c r="K1931" s="71" t="s">
        <v>1405</v>
      </c>
      <c r="L1931" s="72">
        <v>41793</v>
      </c>
      <c r="M1931" s="73" t="s">
        <v>729</v>
      </c>
      <c r="N1931" s="74">
        <v>41803</v>
      </c>
      <c r="O1931" s="75">
        <v>41803</v>
      </c>
      <c r="P1931" s="2765" t="s">
        <v>1401</v>
      </c>
      <c r="Q1931" s="2954"/>
      <c r="R1931" s="76">
        <v>281.49</v>
      </c>
      <c r="S1931" s="1945" t="s">
        <v>731</v>
      </c>
      <c r="T1931" s="77"/>
      <c r="U1931" s="1893"/>
      <c r="V1931" s="2079">
        <f t="shared" si="465"/>
        <v>0</v>
      </c>
      <c r="W1931" s="78">
        <f t="shared" si="466"/>
        <v>332.15819999999997</v>
      </c>
      <c r="X1931" s="1878" t="str">
        <f t="shared" si="464"/>
        <v xml:space="preserve">7.- C Lima Caucho 0400608-OT_197576  Reencauche 030-0039443 </v>
      </c>
      <c r="Z1931" s="19" t="str">
        <f t="shared" si="469"/>
        <v>ReencaucheReencauchadora RENOVA</v>
      </c>
    </row>
    <row r="1932" spans="2:26" ht="15.2" customHeight="1" outlineLevel="1">
      <c r="B1932" s="37"/>
      <c r="C1932" s="2">
        <f t="shared" si="471"/>
        <v>124</v>
      </c>
      <c r="D1932" s="3">
        <f t="shared" si="472"/>
        <v>24</v>
      </c>
      <c r="E1932" s="66">
        <v>8</v>
      </c>
      <c r="F1932" s="67" t="s">
        <v>732</v>
      </c>
      <c r="G1932" s="68" t="s">
        <v>733</v>
      </c>
      <c r="H1932" s="69" t="s">
        <v>1408</v>
      </c>
      <c r="I1932" s="68" t="s">
        <v>726</v>
      </c>
      <c r="J1932" s="70" t="s">
        <v>760</v>
      </c>
      <c r="K1932" s="71" t="s">
        <v>1405</v>
      </c>
      <c r="L1932" s="72">
        <v>41793</v>
      </c>
      <c r="M1932" s="73" t="s">
        <v>729</v>
      </c>
      <c r="N1932" s="74">
        <v>41803</v>
      </c>
      <c r="O1932" s="75">
        <v>41803</v>
      </c>
      <c r="P1932" s="2765" t="s">
        <v>1401</v>
      </c>
      <c r="Q1932" s="2954"/>
      <c r="R1932" s="76">
        <v>281.49</v>
      </c>
      <c r="S1932" s="1945" t="s">
        <v>731</v>
      </c>
      <c r="T1932" s="77"/>
      <c r="U1932" s="1893"/>
      <c r="V1932" s="2079">
        <f t="shared" si="465"/>
        <v>0</v>
      </c>
      <c r="W1932" s="78">
        <f t="shared" si="466"/>
        <v>332.15819999999997</v>
      </c>
      <c r="X1932" s="1878" t="str">
        <f t="shared" si="464"/>
        <v xml:space="preserve">8.- C Lima Caucho 0970908-OT_197576  Reencauche 030-0039443 </v>
      </c>
      <c r="Z1932" s="19" t="str">
        <f t="shared" si="469"/>
        <v>ReencaucheReencauchadora RENOVA</v>
      </c>
    </row>
    <row r="1933" spans="2:26" ht="15.2" customHeight="1" outlineLevel="1">
      <c r="B1933" s="37"/>
      <c r="C1933" s="2">
        <f t="shared" si="471"/>
        <v>123</v>
      </c>
      <c r="D1933" s="3">
        <f t="shared" si="472"/>
        <v>23</v>
      </c>
      <c r="E1933" s="66">
        <v>9</v>
      </c>
      <c r="F1933" s="67" t="s">
        <v>732</v>
      </c>
      <c r="G1933" s="68" t="s">
        <v>733</v>
      </c>
      <c r="H1933" s="69" t="s">
        <v>1415</v>
      </c>
      <c r="I1933" s="68" t="s">
        <v>726</v>
      </c>
      <c r="J1933" s="70" t="s">
        <v>760</v>
      </c>
      <c r="K1933" s="71" t="s">
        <v>1405</v>
      </c>
      <c r="L1933" s="72">
        <v>41793</v>
      </c>
      <c r="M1933" s="73" t="s">
        <v>729</v>
      </c>
      <c r="N1933" s="74">
        <v>41803</v>
      </c>
      <c r="O1933" s="75">
        <v>41803</v>
      </c>
      <c r="P1933" s="2765" t="s">
        <v>1401</v>
      </c>
      <c r="Q1933" s="2954"/>
      <c r="R1933" s="76">
        <v>281.49</v>
      </c>
      <c r="S1933" s="1945" t="s">
        <v>731</v>
      </c>
      <c r="T1933" s="77"/>
      <c r="U1933" s="1893"/>
      <c r="V1933" s="2079">
        <f t="shared" si="465"/>
        <v>0</v>
      </c>
      <c r="W1933" s="78">
        <f t="shared" si="466"/>
        <v>332.15819999999997</v>
      </c>
      <c r="X1933" s="1878" t="str">
        <f t="shared" si="464"/>
        <v xml:space="preserve">9.- C Lima Caucho 0670810-OT_197576  Reencauche 030-0039443 </v>
      </c>
      <c r="Z1933" s="19" t="str">
        <f t="shared" si="469"/>
        <v>ReencaucheReencauchadora RENOVA</v>
      </c>
    </row>
    <row r="1934" spans="2:26" ht="15.2" customHeight="1" outlineLevel="1">
      <c r="B1934" s="37"/>
      <c r="C1934" s="2">
        <f t="shared" si="471"/>
        <v>122</v>
      </c>
      <c r="D1934" s="3">
        <f t="shared" si="472"/>
        <v>22</v>
      </c>
      <c r="E1934" s="66">
        <v>10</v>
      </c>
      <c r="F1934" s="67" t="s">
        <v>732</v>
      </c>
      <c r="G1934" s="68" t="s">
        <v>733</v>
      </c>
      <c r="H1934" s="69" t="s">
        <v>1310</v>
      </c>
      <c r="I1934" s="68" t="s">
        <v>726</v>
      </c>
      <c r="J1934" s="70" t="s">
        <v>760</v>
      </c>
      <c r="K1934" s="71" t="s">
        <v>1405</v>
      </c>
      <c r="L1934" s="72">
        <v>41793</v>
      </c>
      <c r="M1934" s="73" t="s">
        <v>729</v>
      </c>
      <c r="N1934" s="74">
        <v>41803</v>
      </c>
      <c r="O1934" s="75">
        <v>41803</v>
      </c>
      <c r="P1934" s="2765" t="s">
        <v>1401</v>
      </c>
      <c r="Q1934" s="2954"/>
      <c r="R1934" s="76">
        <v>281.49</v>
      </c>
      <c r="S1934" s="1945" t="s">
        <v>731</v>
      </c>
      <c r="T1934" s="77"/>
      <c r="U1934" s="1893"/>
      <c r="V1934" s="2079">
        <f t="shared" si="465"/>
        <v>0</v>
      </c>
      <c r="W1934" s="78">
        <f t="shared" si="466"/>
        <v>332.15819999999997</v>
      </c>
      <c r="X1934" s="1878" t="str">
        <f t="shared" si="464"/>
        <v xml:space="preserve">10.- C Lima Caucho 0871010-OT_197576  Reencauche 030-0039443 </v>
      </c>
      <c r="Z1934" s="19" t="str">
        <f t="shared" si="469"/>
        <v>ReencaucheReencauchadora RENOVA</v>
      </c>
    </row>
    <row r="1935" spans="2:26" ht="15.2" customHeight="1" outlineLevel="1">
      <c r="B1935" s="37"/>
      <c r="C1935" s="2">
        <f t="shared" si="471"/>
        <v>121</v>
      </c>
      <c r="D1935" s="3">
        <f t="shared" si="472"/>
        <v>21</v>
      </c>
      <c r="E1935" s="66">
        <v>11</v>
      </c>
      <c r="F1935" s="67" t="s">
        <v>732</v>
      </c>
      <c r="G1935" s="68" t="s">
        <v>733</v>
      </c>
      <c r="H1935" s="69" t="s">
        <v>1416</v>
      </c>
      <c r="I1935" s="68" t="s">
        <v>726</v>
      </c>
      <c r="J1935" s="70" t="s">
        <v>760</v>
      </c>
      <c r="K1935" s="71" t="s">
        <v>1405</v>
      </c>
      <c r="L1935" s="72">
        <v>41793</v>
      </c>
      <c r="M1935" s="73" t="s">
        <v>729</v>
      </c>
      <c r="N1935" s="74">
        <v>41803</v>
      </c>
      <c r="O1935" s="75">
        <v>41803</v>
      </c>
      <c r="P1935" s="2765" t="s">
        <v>1401</v>
      </c>
      <c r="Q1935" s="2954"/>
      <c r="R1935" s="76">
        <v>281.49</v>
      </c>
      <c r="S1935" s="1945" t="s">
        <v>731</v>
      </c>
      <c r="T1935" s="77"/>
      <c r="U1935" s="1893"/>
      <c r="V1935" s="2079">
        <f t="shared" si="465"/>
        <v>0</v>
      </c>
      <c r="W1935" s="78">
        <f t="shared" si="466"/>
        <v>332.15819999999997</v>
      </c>
      <c r="X1935" s="1878" t="str">
        <f t="shared" si="464"/>
        <v xml:space="preserve">11.- C Lima Caucho 0780910-OT_197576  Reencauche 030-0039443 </v>
      </c>
      <c r="Z1935" s="19" t="str">
        <f t="shared" si="469"/>
        <v>ReencaucheReencauchadora RENOVA</v>
      </c>
    </row>
    <row r="1936" spans="2:26" ht="15.2" customHeight="1" outlineLevel="1">
      <c r="B1936" s="37"/>
      <c r="C1936" s="2">
        <f t="shared" si="471"/>
        <v>120</v>
      </c>
      <c r="D1936" s="3">
        <f t="shared" si="472"/>
        <v>20</v>
      </c>
      <c r="E1936" s="66">
        <v>12</v>
      </c>
      <c r="F1936" s="67" t="s">
        <v>732</v>
      </c>
      <c r="G1936" s="68" t="s">
        <v>733</v>
      </c>
      <c r="H1936" s="69" t="s">
        <v>953</v>
      </c>
      <c r="I1936" s="68" t="s">
        <v>726</v>
      </c>
      <c r="J1936" s="70" t="s">
        <v>760</v>
      </c>
      <c r="K1936" s="71" t="s">
        <v>1405</v>
      </c>
      <c r="L1936" s="72">
        <v>41793</v>
      </c>
      <c r="M1936" s="73" t="s">
        <v>729</v>
      </c>
      <c r="N1936" s="74">
        <v>41803</v>
      </c>
      <c r="O1936" s="75">
        <v>41803</v>
      </c>
      <c r="P1936" s="2765" t="s">
        <v>1401</v>
      </c>
      <c r="Q1936" s="2954"/>
      <c r="R1936" s="76">
        <v>281.49</v>
      </c>
      <c r="S1936" s="1945" t="s">
        <v>731</v>
      </c>
      <c r="T1936" s="77"/>
      <c r="U1936" s="1893"/>
      <c r="V1936" s="2079">
        <f t="shared" si="465"/>
        <v>0</v>
      </c>
      <c r="W1936" s="78">
        <f t="shared" si="466"/>
        <v>332.15819999999997</v>
      </c>
      <c r="X1936" s="1878" t="str">
        <f t="shared" si="464"/>
        <v xml:space="preserve">12.- C Lima Caucho 0110108-OT_197576  Reencauche 030-0039443 </v>
      </c>
      <c r="Z1936" s="19" t="str">
        <f t="shared" si="469"/>
        <v>ReencaucheReencauchadora RENOVA</v>
      </c>
    </row>
    <row r="1937" spans="2:26" ht="15.2" customHeight="1" outlineLevel="1">
      <c r="B1937" s="37"/>
      <c r="C1937" s="2">
        <f t="shared" si="471"/>
        <v>119</v>
      </c>
      <c r="D1937" s="3">
        <f t="shared" si="472"/>
        <v>19</v>
      </c>
      <c r="E1937" s="66">
        <v>13</v>
      </c>
      <c r="F1937" s="67" t="s">
        <v>732</v>
      </c>
      <c r="G1937" s="68" t="s">
        <v>733</v>
      </c>
      <c r="H1937" s="69" t="s">
        <v>1417</v>
      </c>
      <c r="I1937" s="68" t="s">
        <v>726</v>
      </c>
      <c r="J1937" s="70" t="s">
        <v>760</v>
      </c>
      <c r="K1937" s="71" t="s">
        <v>1405</v>
      </c>
      <c r="L1937" s="72">
        <v>41793</v>
      </c>
      <c r="M1937" s="73" t="s">
        <v>729</v>
      </c>
      <c r="N1937" s="74">
        <v>41803</v>
      </c>
      <c r="O1937" s="75">
        <v>41803</v>
      </c>
      <c r="P1937" s="2765" t="s">
        <v>1401</v>
      </c>
      <c r="Q1937" s="2954"/>
      <c r="R1937" s="76">
        <v>281.49</v>
      </c>
      <c r="S1937" s="1945" t="s">
        <v>731</v>
      </c>
      <c r="T1937" s="77"/>
      <c r="U1937" s="1893"/>
      <c r="V1937" s="2079">
        <f t="shared" si="465"/>
        <v>0</v>
      </c>
      <c r="W1937" s="78">
        <f t="shared" si="466"/>
        <v>332.15819999999997</v>
      </c>
      <c r="X1937" s="1878" t="str">
        <f t="shared" si="464"/>
        <v xml:space="preserve">13.- C Lima Caucho 0450707-OT_197576  Reencauche 030-0039443 </v>
      </c>
      <c r="Z1937" s="19" t="str">
        <f t="shared" si="469"/>
        <v>ReencaucheReencauchadora RENOVA</v>
      </c>
    </row>
    <row r="1938" spans="2:26" ht="15.2" customHeight="1" outlineLevel="1">
      <c r="B1938" s="37"/>
      <c r="C1938" s="2">
        <f t="shared" si="471"/>
        <v>118</v>
      </c>
      <c r="D1938" s="3">
        <f t="shared" si="472"/>
        <v>18</v>
      </c>
      <c r="E1938" s="66">
        <v>14</v>
      </c>
      <c r="F1938" s="67" t="s">
        <v>732</v>
      </c>
      <c r="G1938" s="68" t="s">
        <v>733</v>
      </c>
      <c r="H1938" s="69" t="s">
        <v>1418</v>
      </c>
      <c r="I1938" s="68" t="s">
        <v>726</v>
      </c>
      <c r="J1938" s="70" t="s">
        <v>760</v>
      </c>
      <c r="K1938" s="71" t="s">
        <v>1405</v>
      </c>
      <c r="L1938" s="72">
        <v>41793</v>
      </c>
      <c r="M1938" s="73" t="s">
        <v>729</v>
      </c>
      <c r="N1938" s="74">
        <v>41803</v>
      </c>
      <c r="O1938" s="75">
        <v>41803</v>
      </c>
      <c r="P1938" s="2765" t="s">
        <v>1401</v>
      </c>
      <c r="Q1938" s="2954"/>
      <c r="R1938" s="76">
        <v>281.49</v>
      </c>
      <c r="S1938" s="1945" t="s">
        <v>731</v>
      </c>
      <c r="T1938" s="77"/>
      <c r="U1938" s="1893"/>
      <c r="V1938" s="2079">
        <f t="shared" si="465"/>
        <v>0</v>
      </c>
      <c r="W1938" s="78">
        <f t="shared" si="466"/>
        <v>332.15819999999997</v>
      </c>
      <c r="X1938" s="1878" t="str">
        <f t="shared" si="464"/>
        <v xml:space="preserve">14.- C Lima Caucho 0570807-OT_197576  Reencauche 030-0039443 </v>
      </c>
      <c r="Z1938" s="19" t="str">
        <f t="shared" si="469"/>
        <v>ReencaucheReencauchadora RENOVA</v>
      </c>
    </row>
    <row r="1939" spans="2:26" ht="15.2" customHeight="1" outlineLevel="1">
      <c r="B1939" s="37"/>
      <c r="C1939" s="2">
        <f t="shared" si="471"/>
        <v>117</v>
      </c>
      <c r="D1939" s="3">
        <f t="shared" si="472"/>
        <v>17</v>
      </c>
      <c r="E1939" s="66">
        <v>15</v>
      </c>
      <c r="F1939" s="67" t="s">
        <v>732</v>
      </c>
      <c r="G1939" s="68" t="s">
        <v>737</v>
      </c>
      <c r="H1939" s="69" t="s">
        <v>1419</v>
      </c>
      <c r="I1939" s="68" t="s">
        <v>726</v>
      </c>
      <c r="J1939" s="70" t="s">
        <v>760</v>
      </c>
      <c r="K1939" s="71" t="s">
        <v>1420</v>
      </c>
      <c r="L1939" s="72">
        <v>41793</v>
      </c>
      <c r="M1939" s="73" t="s">
        <v>729</v>
      </c>
      <c r="N1939" s="74">
        <v>41803</v>
      </c>
      <c r="O1939" s="75">
        <v>41803</v>
      </c>
      <c r="P1939" s="2765" t="s">
        <v>1401</v>
      </c>
      <c r="Q1939" s="2954"/>
      <c r="R1939" s="76">
        <v>281.49</v>
      </c>
      <c r="S1939" s="1945" t="s">
        <v>731</v>
      </c>
      <c r="T1939" s="77"/>
      <c r="U1939" s="1893"/>
      <c r="V1939" s="2079">
        <f t="shared" si="465"/>
        <v>0</v>
      </c>
      <c r="W1939" s="78">
        <f t="shared" si="466"/>
        <v>332.15819999999997</v>
      </c>
      <c r="X1939" s="1878" t="str">
        <f t="shared" si="464"/>
        <v xml:space="preserve">15.- C Vikrant 0811009-OT_197575  Reencauche 030-0039443 </v>
      </c>
      <c r="Z1939" s="19" t="str">
        <f t="shared" si="469"/>
        <v>ReencaucheReencauchadora RENOVA</v>
      </c>
    </row>
    <row r="1940" spans="2:26" ht="15.2" customHeight="1" outlineLevel="1">
      <c r="B1940" s="37"/>
      <c r="C1940" s="2">
        <f t="shared" si="471"/>
        <v>116</v>
      </c>
      <c r="D1940" s="3">
        <f t="shared" si="472"/>
        <v>16</v>
      </c>
      <c r="E1940" s="66">
        <v>16</v>
      </c>
      <c r="F1940" s="67" t="s">
        <v>732</v>
      </c>
      <c r="G1940" s="68" t="s">
        <v>737</v>
      </c>
      <c r="H1940" s="69" t="s">
        <v>1421</v>
      </c>
      <c r="I1940" s="68" t="s">
        <v>726</v>
      </c>
      <c r="J1940" s="70" t="s">
        <v>760</v>
      </c>
      <c r="K1940" s="71" t="s">
        <v>1420</v>
      </c>
      <c r="L1940" s="72">
        <v>41793</v>
      </c>
      <c r="M1940" s="73" t="s">
        <v>729</v>
      </c>
      <c r="N1940" s="74">
        <v>41803</v>
      </c>
      <c r="O1940" s="75">
        <v>41803</v>
      </c>
      <c r="P1940" s="2765" t="s">
        <v>1401</v>
      </c>
      <c r="Q1940" s="2954"/>
      <c r="R1940" s="76">
        <v>281.49</v>
      </c>
      <c r="S1940" s="1945" t="s">
        <v>731</v>
      </c>
      <c r="T1940" s="77"/>
      <c r="U1940" s="1893"/>
      <c r="V1940" s="2079">
        <f t="shared" si="465"/>
        <v>0</v>
      </c>
      <c r="W1940" s="78">
        <f t="shared" si="466"/>
        <v>332.15819999999997</v>
      </c>
      <c r="X1940" s="1878" t="str">
        <f t="shared" si="464"/>
        <v xml:space="preserve">16.- C Vikrant 0010312-OT_197575  Reencauche 030-0039443 </v>
      </c>
      <c r="Z1940" s="19" t="str">
        <f t="shared" si="469"/>
        <v>ReencaucheReencauchadora RENOVA</v>
      </c>
    </row>
    <row r="1941" spans="2:26" ht="15.2" customHeight="1" outlineLevel="1">
      <c r="B1941" s="37"/>
      <c r="C1941" s="2">
        <f t="shared" si="471"/>
        <v>115</v>
      </c>
      <c r="D1941" s="3">
        <f t="shared" si="472"/>
        <v>15</v>
      </c>
      <c r="E1941" s="66">
        <v>17</v>
      </c>
      <c r="F1941" s="67" t="s">
        <v>732</v>
      </c>
      <c r="G1941" s="68" t="s">
        <v>737</v>
      </c>
      <c r="H1941" s="69" t="s">
        <v>1422</v>
      </c>
      <c r="I1941" s="68" t="s">
        <v>726</v>
      </c>
      <c r="J1941" s="70" t="s">
        <v>760</v>
      </c>
      <c r="K1941" s="71" t="s">
        <v>1420</v>
      </c>
      <c r="L1941" s="72">
        <v>41793</v>
      </c>
      <c r="M1941" s="73" t="s">
        <v>729</v>
      </c>
      <c r="N1941" s="74">
        <v>41803</v>
      </c>
      <c r="O1941" s="75">
        <v>41803</v>
      </c>
      <c r="P1941" s="2765" t="s">
        <v>1401</v>
      </c>
      <c r="Q1941" s="2954"/>
      <c r="R1941" s="76">
        <v>281.49</v>
      </c>
      <c r="S1941" s="1945" t="s">
        <v>731</v>
      </c>
      <c r="T1941" s="77"/>
      <c r="U1941" s="1893"/>
      <c r="V1941" s="2079">
        <f t="shared" si="465"/>
        <v>0</v>
      </c>
      <c r="W1941" s="78">
        <f t="shared" si="466"/>
        <v>332.15819999999997</v>
      </c>
      <c r="X1941" s="1878" t="str">
        <f t="shared" si="464"/>
        <v xml:space="preserve">17.- C Vikrant 0240310-OT_197575  Reencauche 030-0039443 </v>
      </c>
      <c r="Z1941" s="19" t="str">
        <f t="shared" si="469"/>
        <v>ReencaucheReencauchadora RENOVA</v>
      </c>
    </row>
    <row r="1942" spans="2:26" ht="15.2" customHeight="1" outlineLevel="1">
      <c r="B1942" s="37"/>
      <c r="C1942" s="2">
        <f t="shared" si="471"/>
        <v>114</v>
      </c>
      <c r="D1942" s="3">
        <f t="shared" si="472"/>
        <v>14</v>
      </c>
      <c r="E1942" s="66">
        <v>18</v>
      </c>
      <c r="F1942" s="67" t="s">
        <v>732</v>
      </c>
      <c r="G1942" s="68" t="s">
        <v>737</v>
      </c>
      <c r="H1942" s="69" t="s">
        <v>1423</v>
      </c>
      <c r="I1942" s="68" t="s">
        <v>726</v>
      </c>
      <c r="J1942" s="70" t="s">
        <v>760</v>
      </c>
      <c r="K1942" s="71" t="s">
        <v>1420</v>
      </c>
      <c r="L1942" s="72">
        <v>41793</v>
      </c>
      <c r="M1942" s="73" t="s">
        <v>729</v>
      </c>
      <c r="N1942" s="74">
        <v>41803</v>
      </c>
      <c r="O1942" s="75">
        <v>41803</v>
      </c>
      <c r="P1942" s="2765" t="s">
        <v>1401</v>
      </c>
      <c r="Q1942" s="2954"/>
      <c r="R1942" s="76">
        <v>281.49</v>
      </c>
      <c r="S1942" s="1945" t="s">
        <v>731</v>
      </c>
      <c r="T1942" s="77"/>
      <c r="U1942" s="1893"/>
      <c r="V1942" s="2079">
        <f t="shared" si="465"/>
        <v>0</v>
      </c>
      <c r="W1942" s="78">
        <f t="shared" si="466"/>
        <v>332.15819999999997</v>
      </c>
      <c r="X1942" s="1878" t="str">
        <f t="shared" si="464"/>
        <v xml:space="preserve">18.- C Vikrant 0440510-OT_197575  Reencauche 030-0039443 </v>
      </c>
      <c r="Z1942" s="19" t="str">
        <f t="shared" si="469"/>
        <v>ReencaucheReencauchadora RENOVA</v>
      </c>
    </row>
    <row r="1943" spans="2:26" ht="15.2" customHeight="1" outlineLevel="1">
      <c r="B1943" s="37"/>
      <c r="C1943" s="2">
        <f t="shared" si="471"/>
        <v>113</v>
      </c>
      <c r="D1943" s="3">
        <f t="shared" si="472"/>
        <v>13</v>
      </c>
      <c r="E1943" s="66">
        <v>19</v>
      </c>
      <c r="F1943" s="67" t="s">
        <v>732</v>
      </c>
      <c r="G1943" s="68" t="s">
        <v>737</v>
      </c>
      <c r="H1943" s="69" t="s">
        <v>1424</v>
      </c>
      <c r="I1943" s="68" t="s">
        <v>726</v>
      </c>
      <c r="J1943" s="70" t="s">
        <v>760</v>
      </c>
      <c r="K1943" s="71" t="s">
        <v>1420</v>
      </c>
      <c r="L1943" s="72">
        <v>41793</v>
      </c>
      <c r="M1943" s="73" t="s">
        <v>729</v>
      </c>
      <c r="N1943" s="74">
        <v>41803</v>
      </c>
      <c r="O1943" s="75">
        <v>41803</v>
      </c>
      <c r="P1943" s="2765" t="s">
        <v>1401</v>
      </c>
      <c r="Q1943" s="2954"/>
      <c r="R1943" s="76">
        <v>281.49</v>
      </c>
      <c r="S1943" s="1945" t="s">
        <v>731</v>
      </c>
      <c r="T1943" s="77"/>
      <c r="U1943" s="1893"/>
      <c r="V1943" s="2079">
        <f t="shared" si="465"/>
        <v>0</v>
      </c>
      <c r="W1943" s="78">
        <f t="shared" si="466"/>
        <v>332.15819999999997</v>
      </c>
      <c r="X1943" s="1878" t="str">
        <f t="shared" si="464"/>
        <v xml:space="preserve">19.- C Vikrant 0720505-OT_197575  Reencauche 030-0039443 </v>
      </c>
      <c r="Z1943" s="19" t="str">
        <f t="shared" si="469"/>
        <v>ReencaucheReencauchadora RENOVA</v>
      </c>
    </row>
    <row r="1944" spans="2:26" ht="15.2" customHeight="1" outlineLevel="1">
      <c r="B1944" s="37"/>
      <c r="C1944" s="2">
        <f t="shared" si="471"/>
        <v>112</v>
      </c>
      <c r="D1944" s="3">
        <f t="shared" si="472"/>
        <v>12</v>
      </c>
      <c r="E1944" s="66">
        <v>20</v>
      </c>
      <c r="F1944" s="67" t="s">
        <v>732</v>
      </c>
      <c r="G1944" s="68" t="s">
        <v>737</v>
      </c>
      <c r="H1944" s="69" t="s">
        <v>1425</v>
      </c>
      <c r="I1944" s="68" t="s">
        <v>726</v>
      </c>
      <c r="J1944" s="70" t="s">
        <v>760</v>
      </c>
      <c r="K1944" s="71" t="s">
        <v>1420</v>
      </c>
      <c r="L1944" s="72">
        <v>41793</v>
      </c>
      <c r="M1944" s="73" t="s">
        <v>729</v>
      </c>
      <c r="N1944" s="74">
        <v>41803</v>
      </c>
      <c r="O1944" s="75">
        <v>41803</v>
      </c>
      <c r="P1944" s="2765" t="s">
        <v>1401</v>
      </c>
      <c r="Q1944" s="2954"/>
      <c r="R1944" s="76">
        <v>281.49</v>
      </c>
      <c r="S1944" s="1945" t="s">
        <v>731</v>
      </c>
      <c r="T1944" s="77"/>
      <c r="U1944" s="1893"/>
      <c r="V1944" s="2079">
        <f t="shared" si="465"/>
        <v>0</v>
      </c>
      <c r="W1944" s="78">
        <f t="shared" si="466"/>
        <v>332.15819999999997</v>
      </c>
      <c r="X1944" s="1878" t="str">
        <f t="shared" si="464"/>
        <v xml:space="preserve">20.- C Vikrant 0020111-OT_197575  Reencauche 030-0039443 </v>
      </c>
      <c r="Z1944" s="19" t="str">
        <f t="shared" si="469"/>
        <v>ReencaucheReencauchadora RENOVA</v>
      </c>
    </row>
    <row r="1945" spans="2:26" ht="15.2" customHeight="1" outlineLevel="1">
      <c r="B1945" s="37"/>
      <c r="C1945" s="2">
        <f t="shared" si="471"/>
        <v>111</v>
      </c>
      <c r="D1945" s="3">
        <f t="shared" si="472"/>
        <v>11</v>
      </c>
      <c r="E1945" s="66">
        <v>21</v>
      </c>
      <c r="F1945" s="67" t="s">
        <v>732</v>
      </c>
      <c r="G1945" s="68" t="s">
        <v>737</v>
      </c>
      <c r="H1945" s="69" t="s">
        <v>1178</v>
      </c>
      <c r="I1945" s="68" t="s">
        <v>726</v>
      </c>
      <c r="J1945" s="70" t="s">
        <v>760</v>
      </c>
      <c r="K1945" s="71" t="s">
        <v>1420</v>
      </c>
      <c r="L1945" s="72">
        <v>41793</v>
      </c>
      <c r="M1945" s="73" t="s">
        <v>729</v>
      </c>
      <c r="N1945" s="74">
        <v>41803</v>
      </c>
      <c r="O1945" s="75">
        <v>41803</v>
      </c>
      <c r="P1945" s="2765" t="s">
        <v>1401</v>
      </c>
      <c r="Q1945" s="2954"/>
      <c r="R1945" s="76">
        <v>281.49</v>
      </c>
      <c r="S1945" s="1945" t="s">
        <v>731</v>
      </c>
      <c r="T1945" s="77"/>
      <c r="U1945" s="1893"/>
      <c r="V1945" s="2079">
        <f t="shared" si="465"/>
        <v>0</v>
      </c>
      <c r="W1945" s="78">
        <f t="shared" si="466"/>
        <v>332.15819999999997</v>
      </c>
      <c r="X1945" s="1878" t="str">
        <f t="shared" si="464"/>
        <v xml:space="preserve">21.- C Vikrant 0250712-OT_197575  Reencauche 030-0039443 </v>
      </c>
      <c r="Z1945" s="19" t="str">
        <f t="shared" si="469"/>
        <v>ReencaucheReencauchadora RENOVA</v>
      </c>
    </row>
    <row r="1946" spans="2:26" ht="15.2" customHeight="1" outlineLevel="1">
      <c r="B1946" s="37"/>
      <c r="C1946" s="2">
        <f t="shared" si="471"/>
        <v>110</v>
      </c>
      <c r="D1946" s="3">
        <f t="shared" si="472"/>
        <v>10</v>
      </c>
      <c r="E1946" s="66">
        <v>22</v>
      </c>
      <c r="F1946" s="67" t="s">
        <v>732</v>
      </c>
      <c r="G1946" s="68" t="s">
        <v>737</v>
      </c>
      <c r="H1946" s="69" t="s">
        <v>1426</v>
      </c>
      <c r="I1946" s="68" t="s">
        <v>726</v>
      </c>
      <c r="J1946" s="70" t="s">
        <v>760</v>
      </c>
      <c r="K1946" s="71" t="s">
        <v>1420</v>
      </c>
      <c r="L1946" s="72">
        <v>41793</v>
      </c>
      <c r="M1946" s="73" t="s">
        <v>729</v>
      </c>
      <c r="N1946" s="74">
        <v>41803</v>
      </c>
      <c r="O1946" s="75">
        <v>41803</v>
      </c>
      <c r="P1946" s="2765" t="s">
        <v>1401</v>
      </c>
      <c r="Q1946" s="2954"/>
      <c r="R1946" s="76">
        <v>281.49</v>
      </c>
      <c r="S1946" s="1945" t="s">
        <v>731</v>
      </c>
      <c r="T1946" s="77"/>
      <c r="U1946" s="1893"/>
      <c r="V1946" s="2079">
        <f t="shared" si="465"/>
        <v>0</v>
      </c>
      <c r="W1946" s="78">
        <f t="shared" si="466"/>
        <v>332.15819999999997</v>
      </c>
      <c r="X1946" s="1878" t="str">
        <f t="shared" si="464"/>
        <v xml:space="preserve">22.- C Vikrant 0670906-OT_197575  Reencauche 030-0039443 </v>
      </c>
      <c r="Z1946" s="19" t="str">
        <f t="shared" si="469"/>
        <v>ReencaucheReencauchadora RENOVA</v>
      </c>
    </row>
    <row r="1947" spans="2:26" ht="15.2" customHeight="1" outlineLevel="1">
      <c r="B1947" s="37"/>
      <c r="C1947" s="2">
        <f>1+C1950</f>
        <v>109</v>
      </c>
      <c r="D1947" s="3">
        <f>+D1950+1</f>
        <v>9</v>
      </c>
      <c r="E1947" s="66">
        <v>23</v>
      </c>
      <c r="F1947" s="67" t="s">
        <v>732</v>
      </c>
      <c r="G1947" s="68" t="s">
        <v>737</v>
      </c>
      <c r="H1947" s="69" t="s">
        <v>1427</v>
      </c>
      <c r="I1947" s="68" t="s">
        <v>726</v>
      </c>
      <c r="J1947" s="70" t="s">
        <v>760</v>
      </c>
      <c r="K1947" s="71" t="s">
        <v>1420</v>
      </c>
      <c r="L1947" s="72">
        <v>41793</v>
      </c>
      <c r="M1947" s="73" t="s">
        <v>729</v>
      </c>
      <c r="N1947" s="74">
        <v>41803</v>
      </c>
      <c r="O1947" s="75">
        <v>41803</v>
      </c>
      <c r="P1947" s="2765" t="s">
        <v>1401</v>
      </c>
      <c r="Q1947" s="2954"/>
      <c r="R1947" s="76">
        <v>281.49</v>
      </c>
      <c r="S1947" s="1945" t="s">
        <v>731</v>
      </c>
      <c r="T1947" s="215"/>
      <c r="U1947" s="1893"/>
      <c r="V1947" s="2079">
        <f t="shared" si="465"/>
        <v>0</v>
      </c>
      <c r="W1947" s="78">
        <f t="shared" si="466"/>
        <v>332.15819999999997</v>
      </c>
      <c r="X1947" s="1878" t="str">
        <f t="shared" si="464"/>
        <v xml:space="preserve">23.- C Vikrant 0230712-OT_197575  Reencauche 030-0039443 </v>
      </c>
      <c r="Z1947" s="19" t="str">
        <f t="shared" si="469"/>
        <v>ReencaucheReenc. MASTERCAUCHO</v>
      </c>
    </row>
    <row r="1948" spans="2:26" ht="15.2" customHeight="1" outlineLevel="1">
      <c r="B1948" s="37"/>
      <c r="E1948" s="216">
        <v>24</v>
      </c>
      <c r="F1948" s="67" t="s">
        <v>732</v>
      </c>
      <c r="G1948" s="217" t="s">
        <v>733</v>
      </c>
      <c r="H1948" s="218" t="s">
        <v>1428</v>
      </c>
      <c r="I1948" s="217" t="s">
        <v>726</v>
      </c>
      <c r="J1948" s="219" t="s">
        <v>760</v>
      </c>
      <c r="K1948" s="220" t="s">
        <v>1400</v>
      </c>
      <c r="L1948" s="221">
        <v>41793</v>
      </c>
      <c r="M1948" s="222" t="s">
        <v>729</v>
      </c>
      <c r="N1948" s="74">
        <v>41803</v>
      </c>
      <c r="O1948" s="75">
        <v>41803</v>
      </c>
      <c r="P1948" s="2787" t="s">
        <v>1401</v>
      </c>
      <c r="Q1948" s="2954"/>
      <c r="R1948" s="223">
        <v>0</v>
      </c>
      <c r="S1948" s="1955" t="s">
        <v>731</v>
      </c>
      <c r="T1948" s="1877" t="s">
        <v>1429</v>
      </c>
      <c r="U1948" s="1922"/>
      <c r="V1948" s="2079">
        <f t="shared" si="465"/>
        <v>0</v>
      </c>
      <c r="W1948" s="78">
        <f t="shared" si="466"/>
        <v>0</v>
      </c>
      <c r="X1948" s="1878" t="str">
        <f t="shared" si="464"/>
        <v>24.- C Lima Caucho 0100108-OT_197577  Reencauche 030-0039443 Rechazada, entregada pelada //  Guia 030-0039444</v>
      </c>
      <c r="Z1948" s="19" t="str">
        <f t="shared" si="469"/>
        <v>ReencaucheReenc. MASTERCAUCHO</v>
      </c>
    </row>
    <row r="1949" spans="2:26" ht="15.2" customHeight="1" outlineLevel="1">
      <c r="B1949" s="37"/>
      <c r="E1949" s="224">
        <v>25</v>
      </c>
      <c r="F1949" s="80" t="s">
        <v>732</v>
      </c>
      <c r="G1949" s="225" t="s">
        <v>737</v>
      </c>
      <c r="H1949" s="226" t="s">
        <v>1430</v>
      </c>
      <c r="I1949" s="225" t="s">
        <v>726</v>
      </c>
      <c r="J1949" s="227" t="s">
        <v>760</v>
      </c>
      <c r="K1949" s="228" t="s">
        <v>1420</v>
      </c>
      <c r="L1949" s="229">
        <v>41793</v>
      </c>
      <c r="M1949" s="230" t="s">
        <v>729</v>
      </c>
      <c r="N1949" s="87">
        <v>41803</v>
      </c>
      <c r="O1949" s="88">
        <v>41803</v>
      </c>
      <c r="P1949" s="2788" t="s">
        <v>1401</v>
      </c>
      <c r="Q1949" s="2955"/>
      <c r="R1949" s="231">
        <v>0</v>
      </c>
      <c r="S1949" s="1956" t="s">
        <v>731</v>
      </c>
      <c r="T1949" s="1877" t="s">
        <v>1429</v>
      </c>
      <c r="U1949" s="1922"/>
      <c r="V1949" s="2079">
        <f t="shared" si="465"/>
        <v>0</v>
      </c>
      <c r="W1949" s="78">
        <f t="shared" si="466"/>
        <v>0</v>
      </c>
      <c r="X1949" s="1878" t="str">
        <f t="shared" si="464"/>
        <v>25.- C Vikrant 0280410-OT_197575  Reencauche 030-0039443 Rechazada, entregada pelada //  Guia 030-0039444</v>
      </c>
      <c r="Z1949" s="19" t="str">
        <f t="shared" si="469"/>
        <v>ReencaucheReenc. MASTERCAUCHO</v>
      </c>
    </row>
    <row r="1950" spans="2:26" ht="15.2" customHeight="1" outlineLevel="1">
      <c r="B1950" s="37"/>
      <c r="C1950" s="2">
        <f t="shared" ref="C1950:D1956" si="473">1+C1951</f>
        <v>108</v>
      </c>
      <c r="D1950" s="3">
        <f t="shared" si="473"/>
        <v>8</v>
      </c>
      <c r="E1950" s="66">
        <v>1</v>
      </c>
      <c r="F1950" s="67" t="s">
        <v>732</v>
      </c>
      <c r="G1950" s="68" t="s">
        <v>733</v>
      </c>
      <c r="H1950" s="69" t="s">
        <v>1431</v>
      </c>
      <c r="I1950" s="68" t="s">
        <v>726</v>
      </c>
      <c r="J1950" s="70" t="s">
        <v>727</v>
      </c>
      <c r="K1950" s="71" t="s">
        <v>1432</v>
      </c>
      <c r="L1950" s="72">
        <v>41792</v>
      </c>
      <c r="M1950" s="73" t="s">
        <v>729</v>
      </c>
      <c r="N1950" s="74">
        <v>41797</v>
      </c>
      <c r="O1950" s="75">
        <f>+N1950</f>
        <v>41797</v>
      </c>
      <c r="P1950" s="2765" t="s">
        <v>1433</v>
      </c>
      <c r="Q1950" s="2954"/>
      <c r="R1950" s="76">
        <v>254.24</v>
      </c>
      <c r="S1950" s="1945" t="s">
        <v>731</v>
      </c>
      <c r="T1950" s="77"/>
      <c r="U1950" s="1893"/>
      <c r="V1950" s="2079">
        <f t="shared" si="465"/>
        <v>0</v>
      </c>
      <c r="W1950" s="78">
        <f t="shared" si="466"/>
        <v>300.00319999999999</v>
      </c>
      <c r="X1950" s="1878" t="str">
        <f t="shared" si="464"/>
        <v xml:space="preserve">1.- C Lima Caucho 132120-OT_000108  Reencauche 0001-001183 </v>
      </c>
      <c r="Z1950" s="19" t="str">
        <f t="shared" si="469"/>
        <v>ReencaucheReenc. MASTERCAUCHO</v>
      </c>
    </row>
    <row r="1951" spans="2:26" ht="15.2" customHeight="1" outlineLevel="1">
      <c r="B1951" s="37"/>
      <c r="C1951" s="2">
        <f t="shared" si="473"/>
        <v>107</v>
      </c>
      <c r="D1951" s="3">
        <f t="shared" si="473"/>
        <v>7</v>
      </c>
      <c r="E1951" s="66">
        <v>2</v>
      </c>
      <c r="F1951" s="67" t="s">
        <v>732</v>
      </c>
      <c r="G1951" s="68" t="s">
        <v>737</v>
      </c>
      <c r="H1951" s="69" t="s">
        <v>1434</v>
      </c>
      <c r="I1951" s="68" t="s">
        <v>726</v>
      </c>
      <c r="J1951" s="70" t="s">
        <v>727</v>
      </c>
      <c r="K1951" s="71" t="s">
        <v>1432</v>
      </c>
      <c r="L1951" s="72">
        <v>41792</v>
      </c>
      <c r="M1951" s="73" t="s">
        <v>729</v>
      </c>
      <c r="N1951" s="74">
        <v>41797</v>
      </c>
      <c r="O1951" s="75">
        <v>41797</v>
      </c>
      <c r="P1951" s="2765" t="s">
        <v>1433</v>
      </c>
      <c r="Q1951" s="2954"/>
      <c r="R1951" s="76">
        <v>254.24</v>
      </c>
      <c r="S1951" s="1945" t="s">
        <v>731</v>
      </c>
      <c r="T1951" s="77"/>
      <c r="U1951" s="1893"/>
      <c r="V1951" s="2079">
        <f t="shared" si="465"/>
        <v>0</v>
      </c>
      <c r="W1951" s="78">
        <f t="shared" si="466"/>
        <v>300.00319999999999</v>
      </c>
      <c r="X1951" s="1878" t="str">
        <f t="shared" si="464"/>
        <v xml:space="preserve">2.- C Vikrant 1581105-OT_000108  Reencauche 0001-001183 </v>
      </c>
      <c r="Z1951" s="19" t="str">
        <f t="shared" si="469"/>
        <v>ReencaucheReenc. MASTERCAUCHO</v>
      </c>
    </row>
    <row r="1952" spans="2:26" ht="15.2" customHeight="1" outlineLevel="1">
      <c r="B1952" s="37"/>
      <c r="C1952" s="2">
        <f t="shared" si="473"/>
        <v>106</v>
      </c>
      <c r="D1952" s="3">
        <f t="shared" si="473"/>
        <v>6</v>
      </c>
      <c r="E1952" s="66">
        <v>3</v>
      </c>
      <c r="F1952" s="67" t="s">
        <v>732</v>
      </c>
      <c r="G1952" s="68" t="s">
        <v>737</v>
      </c>
      <c r="H1952" s="69" t="s">
        <v>1435</v>
      </c>
      <c r="I1952" s="68" t="s">
        <v>726</v>
      </c>
      <c r="J1952" s="70" t="s">
        <v>727</v>
      </c>
      <c r="K1952" s="71" t="s">
        <v>1432</v>
      </c>
      <c r="L1952" s="72">
        <v>41792</v>
      </c>
      <c r="M1952" s="73" t="s">
        <v>729</v>
      </c>
      <c r="N1952" s="74">
        <v>41797</v>
      </c>
      <c r="O1952" s="75">
        <v>41797</v>
      </c>
      <c r="P1952" s="2765" t="s">
        <v>1433</v>
      </c>
      <c r="Q1952" s="2954"/>
      <c r="R1952" s="76">
        <v>254.24</v>
      </c>
      <c r="S1952" s="1945" t="s">
        <v>731</v>
      </c>
      <c r="T1952" s="77"/>
      <c r="U1952" s="1893"/>
      <c r="V1952" s="2079">
        <f t="shared" si="465"/>
        <v>0</v>
      </c>
      <c r="W1952" s="78">
        <f t="shared" si="466"/>
        <v>300.00319999999999</v>
      </c>
      <c r="X1952" s="1878" t="str">
        <f t="shared" si="464"/>
        <v xml:space="preserve">3.- C Vikrant 0490510-OT_000108  Reencauche 0001-001183 </v>
      </c>
      <c r="Z1952" s="19" t="str">
        <f t="shared" si="469"/>
        <v>ReencaucheReenc. MASTERCAUCHO</v>
      </c>
    </row>
    <row r="1953" spans="2:26" ht="15.2" customHeight="1" outlineLevel="1">
      <c r="B1953" s="37"/>
      <c r="C1953" s="2">
        <f t="shared" si="473"/>
        <v>105</v>
      </c>
      <c r="D1953" s="3">
        <f t="shared" si="473"/>
        <v>5</v>
      </c>
      <c r="E1953" s="66">
        <v>4</v>
      </c>
      <c r="F1953" s="67" t="s">
        <v>732</v>
      </c>
      <c r="G1953" s="68" t="s">
        <v>737</v>
      </c>
      <c r="H1953" s="69" t="s">
        <v>1436</v>
      </c>
      <c r="I1953" s="68" t="s">
        <v>726</v>
      </c>
      <c r="J1953" s="70" t="s">
        <v>727</v>
      </c>
      <c r="K1953" s="71" t="s">
        <v>1432</v>
      </c>
      <c r="L1953" s="72">
        <v>41792</v>
      </c>
      <c r="M1953" s="73" t="s">
        <v>729</v>
      </c>
      <c r="N1953" s="74">
        <v>41797</v>
      </c>
      <c r="O1953" s="75">
        <v>41797</v>
      </c>
      <c r="P1953" s="2765" t="s">
        <v>1433</v>
      </c>
      <c r="Q1953" s="2954"/>
      <c r="R1953" s="76">
        <v>254.24</v>
      </c>
      <c r="S1953" s="1945" t="s">
        <v>731</v>
      </c>
      <c r="T1953" s="77"/>
      <c r="U1953" s="1893"/>
      <c r="V1953" s="2079">
        <f t="shared" si="465"/>
        <v>0</v>
      </c>
      <c r="W1953" s="78">
        <f t="shared" si="466"/>
        <v>300.00319999999999</v>
      </c>
      <c r="X1953" s="1878" t="str">
        <f t="shared" si="464"/>
        <v xml:space="preserve">4.- C Vikrant 1691205-OT_000108  Reencauche 0001-001183 </v>
      </c>
      <c r="Z1953" s="19" t="str">
        <f t="shared" si="469"/>
        <v>Vulcanizado (curación)Reenc. MASTERCAUCHO</v>
      </c>
    </row>
    <row r="1954" spans="2:26" ht="15.2" customHeight="1" outlineLevel="1">
      <c r="B1954" s="37"/>
      <c r="C1954" s="2">
        <f t="shared" si="473"/>
        <v>104</v>
      </c>
      <c r="D1954" s="3">
        <f t="shared" si="473"/>
        <v>4</v>
      </c>
      <c r="E1954" s="66">
        <v>5</v>
      </c>
      <c r="F1954" s="67" t="s">
        <v>732</v>
      </c>
      <c r="G1954" s="68" t="s">
        <v>737</v>
      </c>
      <c r="H1954" s="69" t="s">
        <v>928</v>
      </c>
      <c r="I1954" s="68" t="s">
        <v>726</v>
      </c>
      <c r="J1954" s="70" t="s">
        <v>727</v>
      </c>
      <c r="K1954" s="71" t="s">
        <v>1432</v>
      </c>
      <c r="L1954" s="72">
        <v>41792</v>
      </c>
      <c r="M1954" s="73" t="s">
        <v>729</v>
      </c>
      <c r="N1954" s="74">
        <v>41797</v>
      </c>
      <c r="O1954" s="75">
        <v>41797</v>
      </c>
      <c r="P1954" s="2765" t="s">
        <v>1433</v>
      </c>
      <c r="Q1954" s="2954"/>
      <c r="R1954" s="76">
        <v>254.24</v>
      </c>
      <c r="S1954" s="1945" t="s">
        <v>731</v>
      </c>
      <c r="T1954" s="77"/>
      <c r="U1954" s="1893"/>
      <c r="V1954" s="2079">
        <f t="shared" si="465"/>
        <v>0</v>
      </c>
      <c r="W1954" s="78">
        <f t="shared" si="466"/>
        <v>300.00319999999999</v>
      </c>
      <c r="X1954" s="1878" t="str">
        <f t="shared" ref="X1954:X2017" si="474">CONCATENATE(E1954,".- ",F1954," ",G1954," ",H1954,"-OT_",K1954," "," ",I1954," ",P1954," ",T1954)</f>
        <v xml:space="preserve">5.- C Vikrant 0750906-OT_000108  Reencauche 0001-001183 </v>
      </c>
      <c r="Z1954" s="19" t="str">
        <f t="shared" si="469"/>
        <v>Vulcanizado (curación)Reenc. MASTERCAUCHO</v>
      </c>
    </row>
    <row r="1955" spans="2:26" ht="15.2" customHeight="1">
      <c r="B1955" s="37"/>
      <c r="C1955" s="2">
        <f t="shared" si="473"/>
        <v>103</v>
      </c>
      <c r="D1955" s="3">
        <f t="shared" si="473"/>
        <v>3</v>
      </c>
      <c r="E1955" s="66">
        <v>6</v>
      </c>
      <c r="F1955" s="67" t="s">
        <v>732</v>
      </c>
      <c r="G1955" s="68" t="s">
        <v>776</v>
      </c>
      <c r="H1955" s="69" t="s">
        <v>1437</v>
      </c>
      <c r="I1955" s="68" t="s">
        <v>726</v>
      </c>
      <c r="J1955" s="70" t="s">
        <v>727</v>
      </c>
      <c r="K1955" s="71" t="s">
        <v>1432</v>
      </c>
      <c r="L1955" s="72">
        <v>41792</v>
      </c>
      <c r="M1955" s="73" t="s">
        <v>729</v>
      </c>
      <c r="N1955" s="74">
        <v>41797</v>
      </c>
      <c r="O1955" s="75">
        <v>41797</v>
      </c>
      <c r="P1955" s="2765" t="s">
        <v>1433</v>
      </c>
      <c r="Q1955" s="2954"/>
      <c r="R1955" s="76">
        <v>254.24</v>
      </c>
      <c r="S1955" s="1945" t="s">
        <v>731</v>
      </c>
      <c r="T1955" s="77"/>
      <c r="U1955" s="1893"/>
      <c r="V1955" s="2079">
        <f t="shared" ref="V1955:V2018" si="475">+Q1955*(1.18)</f>
        <v>0</v>
      </c>
      <c r="W1955" s="78">
        <f t="shared" ref="W1955:W2018" si="476">+R1955*(1.18)</f>
        <v>300.00319999999999</v>
      </c>
      <c r="X1955" s="1878" t="str">
        <f t="shared" si="474"/>
        <v xml:space="preserve">6.- C Altura 0610911-OT_000108  Reencauche 0001-001183 </v>
      </c>
    </row>
    <row r="1956" spans="2:26" ht="15.2" customHeight="1" outlineLevel="1">
      <c r="B1956" s="37"/>
      <c r="C1956" s="2">
        <f t="shared" si="473"/>
        <v>102</v>
      </c>
      <c r="D1956" s="3">
        <f t="shared" si="473"/>
        <v>2</v>
      </c>
      <c r="E1956" s="66">
        <v>7</v>
      </c>
      <c r="F1956" s="67" t="s">
        <v>732</v>
      </c>
      <c r="G1956" s="68" t="s">
        <v>733</v>
      </c>
      <c r="H1956" s="69" t="s">
        <v>1446</v>
      </c>
      <c r="I1956" s="68" t="s">
        <v>811</v>
      </c>
      <c r="J1956" s="70" t="s">
        <v>727</v>
      </c>
      <c r="K1956" s="71" t="s">
        <v>1432</v>
      </c>
      <c r="L1956" s="72">
        <v>41792</v>
      </c>
      <c r="M1956" s="73" t="s">
        <v>729</v>
      </c>
      <c r="N1956" s="74">
        <v>41797</v>
      </c>
      <c r="O1956" s="75">
        <v>41797</v>
      </c>
      <c r="P1956" s="2765" t="s">
        <v>1433</v>
      </c>
      <c r="Q1956" s="2954"/>
      <c r="R1956" s="76">
        <v>105.932203389831</v>
      </c>
      <c r="S1956" s="1945" t="s">
        <v>731</v>
      </c>
      <c r="T1956" s="77"/>
      <c r="U1956" s="1893"/>
      <c r="V1956" s="2079">
        <f t="shared" si="475"/>
        <v>0</v>
      </c>
      <c r="W1956" s="78">
        <f t="shared" si="476"/>
        <v>125.00000000000058</v>
      </c>
      <c r="X1956" s="1878" t="str">
        <f t="shared" si="474"/>
        <v xml:space="preserve">7.- C Lima Caucho 1231207-OT_000108  Vulcanizado (curación) 0001-001183 </v>
      </c>
      <c r="Z1956" s="19" t="str">
        <f t="shared" ref="Z1956:Z1969" si="477">CONCATENATE(I1959,J1959)</f>
        <v>Vulcanizado (curación)Reenc. MASTERCAUCHO</v>
      </c>
    </row>
    <row r="1957" spans="2:26" ht="15.2" customHeight="1" outlineLevel="1">
      <c r="B1957" s="37"/>
      <c r="C1957" s="2">
        <f>1+C1959</f>
        <v>101</v>
      </c>
      <c r="D1957" s="3">
        <v>1</v>
      </c>
      <c r="E1957" s="79">
        <v>8</v>
      </c>
      <c r="F1957" s="80" t="s">
        <v>732</v>
      </c>
      <c r="G1957" s="81" t="s">
        <v>733</v>
      </c>
      <c r="H1957" s="82" t="s">
        <v>985</v>
      </c>
      <c r="I1957" s="81" t="s">
        <v>811</v>
      </c>
      <c r="J1957" s="83" t="s">
        <v>727</v>
      </c>
      <c r="K1957" s="84" t="s">
        <v>1432</v>
      </c>
      <c r="L1957" s="85">
        <v>41792</v>
      </c>
      <c r="M1957" s="86" t="s">
        <v>729</v>
      </c>
      <c r="N1957" s="87">
        <v>41797</v>
      </c>
      <c r="O1957" s="88">
        <v>41797</v>
      </c>
      <c r="P1957" s="2766" t="s">
        <v>1433</v>
      </c>
      <c r="Q1957" s="2955"/>
      <c r="R1957" s="89">
        <v>105.93220338983052</v>
      </c>
      <c r="S1957" s="1946" t="s">
        <v>731</v>
      </c>
      <c r="T1957" s="77"/>
      <c r="U1957" s="1893"/>
      <c r="V1957" s="2079">
        <f t="shared" si="475"/>
        <v>0</v>
      </c>
      <c r="W1957" s="78">
        <f t="shared" si="476"/>
        <v>125</v>
      </c>
      <c r="X1957" s="1878" t="str">
        <f t="shared" si="474"/>
        <v xml:space="preserve">8.- C Lima Caucho 0890908-OT_000108  Vulcanizado (curación) 0001-001183 </v>
      </c>
      <c r="Z1957" s="19" t="str">
        <f t="shared" si="477"/>
        <v>ReencaucheReenc. MASTERCAUCHO</v>
      </c>
    </row>
    <row r="1958" spans="2:26" ht="15.2" customHeight="1" outlineLevel="1">
      <c r="B1958" s="1">
        <v>41760</v>
      </c>
      <c r="C1958" s="1"/>
      <c r="D1958" s="173">
        <f>+D1959</f>
        <v>11</v>
      </c>
      <c r="E1958" s="66"/>
      <c r="F1958" s="67"/>
      <c r="G1958" s="68"/>
      <c r="H1958" s="69"/>
      <c r="I1958" s="68"/>
      <c r="J1958" s="70"/>
      <c r="K1958" s="71"/>
      <c r="L1958" s="72"/>
      <c r="M1958" s="73"/>
      <c r="N1958" s="74"/>
      <c r="O1958" s="75"/>
      <c r="P1958" s="2765"/>
      <c r="Q1958" s="2954"/>
      <c r="R1958" s="76"/>
      <c r="S1958" s="1945"/>
      <c r="T1958" s="77"/>
      <c r="U1958" s="1893"/>
      <c r="V1958" s="2079">
        <f t="shared" si="475"/>
        <v>0</v>
      </c>
      <c r="W1958" s="78">
        <f t="shared" si="476"/>
        <v>0</v>
      </c>
      <c r="X1958" s="1878" t="str">
        <f t="shared" si="474"/>
        <v xml:space="preserve">.-   -OT_    </v>
      </c>
      <c r="Z1958" s="19" t="str">
        <f t="shared" si="477"/>
        <v>ReencaucheReenc. MASTERCAUCHO</v>
      </c>
    </row>
    <row r="1959" spans="2:26" ht="15.2" customHeight="1" outlineLevel="1">
      <c r="B1959" s="37"/>
      <c r="C1959" s="2">
        <f t="shared" ref="C1959:D1963" si="478">1+C1960</f>
        <v>100</v>
      </c>
      <c r="D1959" s="3">
        <f t="shared" si="478"/>
        <v>11</v>
      </c>
      <c r="E1959" s="66">
        <v>1</v>
      </c>
      <c r="F1959" s="67" t="s">
        <v>732</v>
      </c>
      <c r="G1959" s="68" t="s">
        <v>737</v>
      </c>
      <c r="H1959" s="69" t="s">
        <v>1447</v>
      </c>
      <c r="I1959" s="174" t="s">
        <v>811</v>
      </c>
      <c r="J1959" s="176" t="s">
        <v>727</v>
      </c>
      <c r="K1959" s="71" t="s">
        <v>1448</v>
      </c>
      <c r="L1959" s="72">
        <v>41772</v>
      </c>
      <c r="M1959" s="73" t="s">
        <v>729</v>
      </c>
      <c r="N1959" s="74">
        <v>41779</v>
      </c>
      <c r="O1959" s="75">
        <f>+N1959</f>
        <v>41779</v>
      </c>
      <c r="P1959" s="2765" t="s">
        <v>1449</v>
      </c>
      <c r="Q1959" s="2954"/>
      <c r="R1959" s="76">
        <v>105.93</v>
      </c>
      <c r="S1959" s="1945" t="s">
        <v>731</v>
      </c>
      <c r="T1959" s="77"/>
      <c r="U1959" s="1893"/>
      <c r="V1959" s="2079">
        <f t="shared" si="475"/>
        <v>0</v>
      </c>
      <c r="W1959" s="78">
        <f t="shared" si="476"/>
        <v>124.9974</v>
      </c>
      <c r="X1959" s="1878" t="str">
        <f t="shared" si="474"/>
        <v xml:space="preserve">1.- C Vikrant 0240712-OT_000838  Vulcanizado (curación) 0001-001103 </v>
      </c>
      <c r="Z1959" s="19" t="str">
        <f t="shared" si="477"/>
        <v>Transpl BandaReenc. MASTERCAUCHO</v>
      </c>
    </row>
    <row r="1960" spans="2:26" ht="15.2" customHeight="1" outlineLevel="1">
      <c r="B1960" s="37"/>
      <c r="C1960" s="2">
        <f t="shared" si="478"/>
        <v>99</v>
      </c>
      <c r="D1960" s="3">
        <f t="shared" si="478"/>
        <v>10</v>
      </c>
      <c r="E1960" s="66">
        <v>2</v>
      </c>
      <c r="F1960" s="67" t="s">
        <v>732</v>
      </c>
      <c r="G1960" s="68" t="s">
        <v>757</v>
      </c>
      <c r="H1960" s="69" t="s">
        <v>914</v>
      </c>
      <c r="I1960" s="68" t="s">
        <v>726</v>
      </c>
      <c r="J1960" s="70" t="s">
        <v>727</v>
      </c>
      <c r="K1960" s="71" t="s">
        <v>1448</v>
      </c>
      <c r="L1960" s="72">
        <v>41772</v>
      </c>
      <c r="M1960" s="73" t="s">
        <v>729</v>
      </c>
      <c r="N1960" s="74">
        <v>41779</v>
      </c>
      <c r="O1960" s="75">
        <v>41779</v>
      </c>
      <c r="P1960" s="2765" t="s">
        <v>1449</v>
      </c>
      <c r="Q1960" s="2954"/>
      <c r="R1960" s="76">
        <v>254.24</v>
      </c>
      <c r="S1960" s="1945" t="s">
        <v>731</v>
      </c>
      <c r="T1960" s="77"/>
      <c r="U1960" s="1893"/>
      <c r="V1960" s="2079">
        <f t="shared" si="475"/>
        <v>0</v>
      </c>
      <c r="W1960" s="78">
        <f t="shared" si="476"/>
        <v>300.00319999999999</v>
      </c>
      <c r="X1960" s="1878" t="str">
        <f t="shared" si="474"/>
        <v xml:space="preserve">2.- C Goodyear 039082003-OT_000838  Reencauche 0001-001103 </v>
      </c>
      <c r="Z1960" s="19" t="str">
        <f t="shared" si="477"/>
        <v>Transpl BandaReenc. MASTERCAUCHO</v>
      </c>
    </row>
    <row r="1961" spans="2:26" ht="15.2" customHeight="1" outlineLevel="1">
      <c r="B1961" s="37"/>
      <c r="C1961" s="2">
        <f t="shared" si="478"/>
        <v>98</v>
      </c>
      <c r="D1961" s="3">
        <f t="shared" si="478"/>
        <v>9</v>
      </c>
      <c r="E1961" s="66">
        <v>3</v>
      </c>
      <c r="F1961" s="67" t="s">
        <v>732</v>
      </c>
      <c r="G1961" s="68" t="s">
        <v>733</v>
      </c>
      <c r="H1961" s="69" t="s">
        <v>911</v>
      </c>
      <c r="I1961" s="68" t="s">
        <v>726</v>
      </c>
      <c r="J1961" s="70" t="s">
        <v>727</v>
      </c>
      <c r="K1961" s="71" t="s">
        <v>1448</v>
      </c>
      <c r="L1961" s="72">
        <v>41772</v>
      </c>
      <c r="M1961" s="73" t="s">
        <v>729</v>
      </c>
      <c r="N1961" s="74">
        <v>41779</v>
      </c>
      <c r="O1961" s="75">
        <v>41779</v>
      </c>
      <c r="P1961" s="2765" t="s">
        <v>1449</v>
      </c>
      <c r="Q1961" s="2954"/>
      <c r="R1961" s="76">
        <v>254.24</v>
      </c>
      <c r="S1961" s="1945" t="s">
        <v>731</v>
      </c>
      <c r="T1961" s="77"/>
      <c r="U1961" s="1893"/>
      <c r="V1961" s="2079">
        <f t="shared" si="475"/>
        <v>0</v>
      </c>
      <c r="W1961" s="78">
        <f t="shared" si="476"/>
        <v>300.00319999999999</v>
      </c>
      <c r="X1961" s="1878" t="str">
        <f t="shared" si="474"/>
        <v xml:space="preserve">3.- C Lima Caucho 0630808-OT_000838  Reencauche 0001-001103 </v>
      </c>
      <c r="Z1961" s="19" t="str">
        <f t="shared" si="477"/>
        <v>Transpl BandaReenc. MASTERCAUCHO</v>
      </c>
    </row>
    <row r="1962" spans="2:26" ht="15.2" customHeight="1" outlineLevel="1">
      <c r="B1962" s="37"/>
      <c r="C1962" s="2">
        <f t="shared" si="478"/>
        <v>97</v>
      </c>
      <c r="D1962" s="3">
        <f t="shared" si="478"/>
        <v>8</v>
      </c>
      <c r="E1962" s="66">
        <v>4</v>
      </c>
      <c r="F1962" s="67" t="s">
        <v>732</v>
      </c>
      <c r="G1962" s="68" t="s">
        <v>757</v>
      </c>
      <c r="H1962" s="69" t="s">
        <v>1213</v>
      </c>
      <c r="I1962" s="90" t="s">
        <v>740</v>
      </c>
      <c r="J1962" s="92" t="s">
        <v>727</v>
      </c>
      <c r="K1962" s="71" t="s">
        <v>1448</v>
      </c>
      <c r="L1962" s="72">
        <v>41772</v>
      </c>
      <c r="M1962" s="73" t="s">
        <v>729</v>
      </c>
      <c r="N1962" s="74">
        <v>41779</v>
      </c>
      <c r="O1962" s="75">
        <v>41779</v>
      </c>
      <c r="P1962" s="2765" t="s">
        <v>1449</v>
      </c>
      <c r="Q1962" s="2954"/>
      <c r="R1962" s="76">
        <v>127.12</v>
      </c>
      <c r="S1962" s="1945" t="s">
        <v>731</v>
      </c>
      <c r="T1962" s="77"/>
      <c r="U1962" s="1893"/>
      <c r="V1962" s="2079">
        <f t="shared" si="475"/>
        <v>0</v>
      </c>
      <c r="W1962" s="78">
        <f t="shared" si="476"/>
        <v>150.0016</v>
      </c>
      <c r="X1962" s="1878" t="str">
        <f t="shared" si="474"/>
        <v xml:space="preserve">4.- C Goodyear 1881204-OT_000838  Transpl Banda 0001-001103 </v>
      </c>
      <c r="Z1962" s="19" t="str">
        <f t="shared" si="477"/>
        <v>Sacar_BandaReenc. MASTERCAUCHO</v>
      </c>
    </row>
    <row r="1963" spans="2:26" ht="15.2" customHeight="1" outlineLevel="1">
      <c r="B1963" s="37"/>
      <c r="C1963" s="2">
        <f t="shared" si="478"/>
        <v>96</v>
      </c>
      <c r="D1963" s="3">
        <f t="shared" si="478"/>
        <v>7</v>
      </c>
      <c r="E1963" s="66">
        <v>5</v>
      </c>
      <c r="F1963" s="67" t="s">
        <v>732</v>
      </c>
      <c r="G1963" s="68" t="s">
        <v>733</v>
      </c>
      <c r="H1963" s="69" t="s">
        <v>818</v>
      </c>
      <c r="I1963" s="90" t="s">
        <v>740</v>
      </c>
      <c r="J1963" s="92" t="s">
        <v>727</v>
      </c>
      <c r="K1963" s="71" t="s">
        <v>1448</v>
      </c>
      <c r="L1963" s="72">
        <v>41772</v>
      </c>
      <c r="M1963" s="73" t="s">
        <v>729</v>
      </c>
      <c r="N1963" s="74">
        <v>41779</v>
      </c>
      <c r="O1963" s="75">
        <v>41779</v>
      </c>
      <c r="P1963" s="2765" t="s">
        <v>1449</v>
      </c>
      <c r="Q1963" s="2954"/>
      <c r="R1963" s="76">
        <v>127.12</v>
      </c>
      <c r="S1963" s="1945" t="s">
        <v>731</v>
      </c>
      <c r="T1963" s="77"/>
      <c r="U1963" s="1893"/>
      <c r="V1963" s="2079">
        <f t="shared" si="475"/>
        <v>0</v>
      </c>
      <c r="W1963" s="78">
        <f t="shared" si="476"/>
        <v>150.0016</v>
      </c>
      <c r="X1963" s="1878" t="str">
        <f t="shared" si="474"/>
        <v xml:space="preserve">5.- C Lima Caucho 0590708-OT_000838  Transpl Banda 0001-001103 </v>
      </c>
      <c r="Z1963" s="19" t="str">
        <f t="shared" si="477"/>
        <v>Sacar_BandaReenc. MASTERCAUCHO</v>
      </c>
    </row>
    <row r="1964" spans="2:26" ht="15.2" customHeight="1" outlineLevel="1">
      <c r="B1964" s="37"/>
      <c r="C1964" s="2">
        <f>1+C1968</f>
        <v>95</v>
      </c>
      <c r="D1964" s="3">
        <f>1+D1968</f>
        <v>6</v>
      </c>
      <c r="E1964" s="66">
        <v>6</v>
      </c>
      <c r="F1964" s="67" t="s">
        <v>732</v>
      </c>
      <c r="G1964" s="68" t="s">
        <v>737</v>
      </c>
      <c r="H1964" s="69" t="s">
        <v>922</v>
      </c>
      <c r="I1964" s="90" t="s">
        <v>740</v>
      </c>
      <c r="J1964" s="92" t="s">
        <v>727</v>
      </c>
      <c r="K1964" s="71" t="s">
        <v>1448</v>
      </c>
      <c r="L1964" s="72">
        <v>41772</v>
      </c>
      <c r="M1964" s="73" t="s">
        <v>729</v>
      </c>
      <c r="N1964" s="74">
        <v>41779</v>
      </c>
      <c r="O1964" s="75">
        <v>41779</v>
      </c>
      <c r="P1964" s="2765" t="s">
        <v>1449</v>
      </c>
      <c r="Q1964" s="2954"/>
      <c r="R1964" s="76">
        <v>127.12</v>
      </c>
      <c r="S1964" s="1945" t="s">
        <v>731</v>
      </c>
      <c r="T1964" s="77"/>
      <c r="U1964" s="1893"/>
      <c r="V1964" s="2079">
        <f t="shared" si="475"/>
        <v>0</v>
      </c>
      <c r="W1964" s="78">
        <f t="shared" si="476"/>
        <v>150.0016</v>
      </c>
      <c r="X1964" s="1878" t="str">
        <f t="shared" si="474"/>
        <v xml:space="preserve">6.- C Vikrant 0440506-OT_000838  Transpl Banda 0001-001103 </v>
      </c>
      <c r="Z1964" s="19" t="str">
        <f t="shared" si="477"/>
        <v>Sacar_BandaReenc. MASTERCAUCHO</v>
      </c>
    </row>
    <row r="1965" spans="2:26" ht="15.2" customHeight="1" outlineLevel="1">
      <c r="B1965" s="37"/>
      <c r="E1965" s="66">
        <v>7</v>
      </c>
      <c r="F1965" s="67" t="s">
        <v>732</v>
      </c>
      <c r="G1965" s="68" t="s">
        <v>733</v>
      </c>
      <c r="H1965" s="69" t="s">
        <v>1450</v>
      </c>
      <c r="I1965" s="90" t="s">
        <v>744</v>
      </c>
      <c r="J1965" s="92" t="s">
        <v>727</v>
      </c>
      <c r="K1965" s="71" t="s">
        <v>1448</v>
      </c>
      <c r="L1965" s="72">
        <v>41772</v>
      </c>
      <c r="M1965" s="73" t="s">
        <v>729</v>
      </c>
      <c r="N1965" s="74">
        <v>41779</v>
      </c>
      <c r="O1965" s="75">
        <v>41779</v>
      </c>
      <c r="P1965" s="2765" t="s">
        <v>1449</v>
      </c>
      <c r="Q1965" s="2954"/>
      <c r="R1965" s="76">
        <v>0</v>
      </c>
      <c r="S1965" s="1945" t="s">
        <v>731</v>
      </c>
      <c r="T1965" s="77"/>
      <c r="U1965" s="1893"/>
      <c r="V1965" s="2079">
        <f t="shared" si="475"/>
        <v>0</v>
      </c>
      <c r="W1965" s="78">
        <f t="shared" si="476"/>
        <v>0</v>
      </c>
      <c r="X1965" s="1878" t="str">
        <f t="shared" si="474"/>
        <v xml:space="preserve">7.- C Lima Caucho 150011207-OT_000838  Sacar_Banda 0001-001103 </v>
      </c>
      <c r="Z1965" s="19" t="str">
        <f t="shared" si="477"/>
        <v>Transpl BandaReenc. MASTERCAUCHO</v>
      </c>
    </row>
    <row r="1966" spans="2:26" ht="15.2" customHeight="1" outlineLevel="1">
      <c r="B1966" s="37"/>
      <c r="E1966" s="66">
        <v>8</v>
      </c>
      <c r="F1966" s="67" t="s">
        <v>732</v>
      </c>
      <c r="G1966" s="68" t="s">
        <v>737</v>
      </c>
      <c r="H1966" s="69" t="s">
        <v>1451</v>
      </c>
      <c r="I1966" s="90" t="s">
        <v>744</v>
      </c>
      <c r="J1966" s="92" t="s">
        <v>727</v>
      </c>
      <c r="K1966" s="71" t="s">
        <v>1448</v>
      </c>
      <c r="L1966" s="72">
        <v>41772</v>
      </c>
      <c r="M1966" s="73" t="s">
        <v>729</v>
      </c>
      <c r="N1966" s="74">
        <v>41779</v>
      </c>
      <c r="O1966" s="75">
        <v>41779</v>
      </c>
      <c r="P1966" s="2765" t="s">
        <v>1449</v>
      </c>
      <c r="Q1966" s="2954"/>
      <c r="R1966" s="76">
        <v>0</v>
      </c>
      <c r="S1966" s="1945" t="s">
        <v>731</v>
      </c>
      <c r="T1966" s="77"/>
      <c r="U1966" s="1893"/>
      <c r="V1966" s="2079">
        <f t="shared" si="475"/>
        <v>0</v>
      </c>
      <c r="W1966" s="78">
        <f t="shared" si="476"/>
        <v>0</v>
      </c>
      <c r="X1966" s="1878" t="str">
        <f t="shared" si="474"/>
        <v xml:space="preserve">8.- C Vikrant 0330709-OT_000838  Sacar_Banda 0001-001103 </v>
      </c>
      <c r="Z1966" s="19" t="str">
        <f t="shared" si="477"/>
        <v>ReencaucheReenc. MASTERCAUCHO</v>
      </c>
    </row>
    <row r="1967" spans="2:26" ht="15.2" customHeight="1" outlineLevel="1">
      <c r="B1967" s="37"/>
      <c r="E1967" s="79">
        <v>9</v>
      </c>
      <c r="F1967" s="80" t="s">
        <v>732</v>
      </c>
      <c r="G1967" s="81" t="s">
        <v>733</v>
      </c>
      <c r="H1967" s="82" t="s">
        <v>1452</v>
      </c>
      <c r="I1967" s="114" t="s">
        <v>744</v>
      </c>
      <c r="J1967" s="93" t="s">
        <v>727</v>
      </c>
      <c r="K1967" s="84" t="s">
        <v>1448</v>
      </c>
      <c r="L1967" s="85">
        <v>41772</v>
      </c>
      <c r="M1967" s="86" t="s">
        <v>729</v>
      </c>
      <c r="N1967" s="87">
        <v>41779</v>
      </c>
      <c r="O1967" s="88">
        <v>41779</v>
      </c>
      <c r="P1967" s="2766" t="s">
        <v>1449</v>
      </c>
      <c r="Q1967" s="2955"/>
      <c r="R1967" s="89">
        <v>0</v>
      </c>
      <c r="S1967" s="1946" t="s">
        <v>731</v>
      </c>
      <c r="T1967" s="77"/>
      <c r="U1967" s="1893"/>
      <c r="V1967" s="2079">
        <f t="shared" si="475"/>
        <v>0</v>
      </c>
      <c r="W1967" s="78">
        <f t="shared" si="476"/>
        <v>0</v>
      </c>
      <c r="X1967" s="1878" t="str">
        <f t="shared" si="474"/>
        <v xml:space="preserve">9.- C Lima Caucho 0200108-OT_000838  Sacar_Banda 0001-001103 </v>
      </c>
      <c r="Z1967" s="19" t="str">
        <f t="shared" si="477"/>
        <v>ReencaucheReenc. MASTERCAUCHO</v>
      </c>
    </row>
    <row r="1968" spans="2:26" ht="15.2" customHeight="1" outlineLevel="1">
      <c r="B1968" s="37"/>
      <c r="C1968" s="2">
        <f>1+C1969</f>
        <v>94</v>
      </c>
      <c r="D1968" s="3">
        <v>5</v>
      </c>
      <c r="E1968" s="66">
        <v>1</v>
      </c>
      <c r="F1968" s="67" t="s">
        <v>732</v>
      </c>
      <c r="G1968" s="68" t="s">
        <v>733</v>
      </c>
      <c r="H1968" s="232" t="s">
        <v>1018</v>
      </c>
      <c r="I1968" s="90" t="s">
        <v>740</v>
      </c>
      <c r="J1968" s="92" t="s">
        <v>727</v>
      </c>
      <c r="K1968" s="71" t="s">
        <v>1453</v>
      </c>
      <c r="L1968" s="72">
        <v>41745</v>
      </c>
      <c r="M1968" s="73" t="s">
        <v>729</v>
      </c>
      <c r="N1968" s="74">
        <v>41761</v>
      </c>
      <c r="O1968" s="75">
        <f>+N1968</f>
        <v>41761</v>
      </c>
      <c r="P1968" s="2765" t="s">
        <v>1454</v>
      </c>
      <c r="Q1968" s="2954"/>
      <c r="R1968" s="76">
        <f>(150/(1.18))</f>
        <v>127.11864406779662</v>
      </c>
      <c r="S1968" s="1945" t="s">
        <v>731</v>
      </c>
      <c r="T1968" s="77"/>
      <c r="U1968" s="1893"/>
      <c r="V1968" s="2079">
        <f t="shared" si="475"/>
        <v>0</v>
      </c>
      <c r="W1968" s="78">
        <f t="shared" si="476"/>
        <v>150</v>
      </c>
      <c r="X1968" s="1878" t="str">
        <f t="shared" si="474"/>
        <v xml:space="preserve">1.- C Lima Caucho 1491207-OT_000826  Transpl Banda 0001-001010 </v>
      </c>
      <c r="Z1968" s="19" t="str">
        <f t="shared" si="477"/>
        <v>ReencaucheReenc. MASTERCAUCHO</v>
      </c>
    </row>
    <row r="1969" spans="2:26" ht="15.2" customHeight="1" outlineLevel="1">
      <c r="B1969" s="37"/>
      <c r="C1969" s="2">
        <f>1+C1970</f>
        <v>93</v>
      </c>
      <c r="D1969" s="3">
        <v>4</v>
      </c>
      <c r="E1969" s="66">
        <v>2</v>
      </c>
      <c r="F1969" s="67" t="s">
        <v>732</v>
      </c>
      <c r="G1969" s="68" t="s">
        <v>733</v>
      </c>
      <c r="H1969" s="232" t="s">
        <v>1455</v>
      </c>
      <c r="I1969" s="68" t="s">
        <v>726</v>
      </c>
      <c r="J1969" s="70" t="s">
        <v>727</v>
      </c>
      <c r="K1969" s="71" t="s">
        <v>1453</v>
      </c>
      <c r="L1969" s="72">
        <v>41745</v>
      </c>
      <c r="M1969" s="73" t="s">
        <v>729</v>
      </c>
      <c r="N1969" s="74">
        <v>41761</v>
      </c>
      <c r="O1969" s="75">
        <f>+N1969</f>
        <v>41761</v>
      </c>
      <c r="P1969" s="2765" t="s">
        <v>1454</v>
      </c>
      <c r="Q1969" s="2954"/>
      <c r="R1969" s="76">
        <f>(300/(1.18))</f>
        <v>254.23728813559325</v>
      </c>
      <c r="S1969" s="1945" t="s">
        <v>731</v>
      </c>
      <c r="T1969" s="77"/>
      <c r="U1969" s="1893"/>
      <c r="V1969" s="2079">
        <f t="shared" si="475"/>
        <v>0</v>
      </c>
      <c r="W1969" s="78">
        <f t="shared" si="476"/>
        <v>300</v>
      </c>
      <c r="X1969" s="1878" t="str">
        <f t="shared" si="474"/>
        <v xml:space="preserve">2.- C Lima Caucho 0010107-OT_000826  Reencauche 0001-001010 </v>
      </c>
      <c r="Z1969" s="19" t="str">
        <f t="shared" si="477"/>
        <v>ReencaucheReenc. MASTERCAUCHO</v>
      </c>
    </row>
    <row r="1970" spans="2:26" ht="15.2" customHeight="1">
      <c r="B1970" s="37"/>
      <c r="C1970" s="2">
        <f>1+C1971</f>
        <v>92</v>
      </c>
      <c r="D1970" s="3">
        <v>3</v>
      </c>
      <c r="E1970" s="66">
        <v>3</v>
      </c>
      <c r="F1970" s="67" t="s">
        <v>732</v>
      </c>
      <c r="G1970" s="68" t="s">
        <v>733</v>
      </c>
      <c r="H1970" s="232" t="s">
        <v>1083</v>
      </c>
      <c r="I1970" s="68" t="s">
        <v>726</v>
      </c>
      <c r="J1970" s="70" t="s">
        <v>727</v>
      </c>
      <c r="K1970" s="71" t="s">
        <v>1453</v>
      </c>
      <c r="L1970" s="72">
        <v>41745</v>
      </c>
      <c r="M1970" s="73" t="s">
        <v>729</v>
      </c>
      <c r="N1970" s="74">
        <v>41761</v>
      </c>
      <c r="O1970" s="75">
        <f>+N1970</f>
        <v>41761</v>
      </c>
      <c r="P1970" s="2765" t="s">
        <v>1454</v>
      </c>
      <c r="Q1970" s="2954"/>
      <c r="R1970" s="76">
        <v>254.23728813559325</v>
      </c>
      <c r="S1970" s="1945" t="s">
        <v>731</v>
      </c>
      <c r="T1970" s="77"/>
      <c r="U1970" s="1893"/>
      <c r="V1970" s="2079">
        <f t="shared" si="475"/>
        <v>0</v>
      </c>
      <c r="W1970" s="78">
        <f t="shared" si="476"/>
        <v>300</v>
      </c>
      <c r="X1970" s="1878" t="str">
        <f t="shared" si="474"/>
        <v xml:space="preserve">3.- C Lima Caucho 1271207-OT_000826  Reencauche 0001-001010 </v>
      </c>
    </row>
    <row r="1971" spans="2:26" ht="15.2" customHeight="1" outlineLevel="1">
      <c r="B1971" s="37"/>
      <c r="C1971" s="2">
        <f>1+C1972</f>
        <v>91</v>
      </c>
      <c r="D1971" s="3">
        <v>2</v>
      </c>
      <c r="E1971" s="66">
        <v>4</v>
      </c>
      <c r="F1971" s="67" t="s">
        <v>723</v>
      </c>
      <c r="G1971" s="68" t="s">
        <v>724</v>
      </c>
      <c r="H1971" s="69" t="s">
        <v>1456</v>
      </c>
      <c r="I1971" s="68" t="s">
        <v>726</v>
      </c>
      <c r="J1971" s="70" t="s">
        <v>727</v>
      </c>
      <c r="K1971" s="71" t="s">
        <v>1453</v>
      </c>
      <c r="L1971" s="72">
        <v>41745</v>
      </c>
      <c r="M1971" s="73" t="s">
        <v>729</v>
      </c>
      <c r="N1971" s="74">
        <v>41761</v>
      </c>
      <c r="O1971" s="75">
        <f>+N1971</f>
        <v>41761</v>
      </c>
      <c r="P1971" s="2765" t="s">
        <v>1454</v>
      </c>
      <c r="Q1971" s="2954"/>
      <c r="R1971" s="76">
        <v>254.23728813559325</v>
      </c>
      <c r="S1971" s="1945" t="s">
        <v>731</v>
      </c>
      <c r="T1971" s="77"/>
      <c r="U1971" s="1893" t="s">
        <v>694</v>
      </c>
      <c r="V1971" s="2079">
        <f t="shared" si="475"/>
        <v>0</v>
      </c>
      <c r="W1971" s="78">
        <f t="shared" si="476"/>
        <v>300</v>
      </c>
      <c r="X1971" s="1878" t="str">
        <f t="shared" si="474"/>
        <v xml:space="preserve">4.- R Aeolus 0090612-OT_000826  Reencauche 0001-001010 </v>
      </c>
      <c r="Z1971" s="19" t="str">
        <f t="shared" ref="Z1971:Z2002" si="479">CONCATENATE(I1974,J1974)</f>
        <v>Vulcanizado (curación)Reenc. MASTERCAUCHO</v>
      </c>
    </row>
    <row r="1972" spans="2:26" ht="15.2" customHeight="1" outlineLevel="1">
      <c r="B1972" s="37"/>
      <c r="C1972" s="2">
        <f>1+C1975</f>
        <v>90</v>
      </c>
      <c r="D1972" s="3">
        <v>1</v>
      </c>
      <c r="E1972" s="79">
        <v>5</v>
      </c>
      <c r="F1972" s="80" t="s">
        <v>723</v>
      </c>
      <c r="G1972" s="81" t="s">
        <v>724</v>
      </c>
      <c r="H1972" s="82" t="s">
        <v>1457</v>
      </c>
      <c r="I1972" s="81" t="s">
        <v>726</v>
      </c>
      <c r="J1972" s="83" t="s">
        <v>727</v>
      </c>
      <c r="K1972" s="84" t="s">
        <v>1453</v>
      </c>
      <c r="L1972" s="85">
        <v>41745</v>
      </c>
      <c r="M1972" s="86" t="s">
        <v>729</v>
      </c>
      <c r="N1972" s="87">
        <v>41761</v>
      </c>
      <c r="O1972" s="88">
        <f>+N1972</f>
        <v>41761</v>
      </c>
      <c r="P1972" s="2766" t="s">
        <v>1454</v>
      </c>
      <c r="Q1972" s="2955"/>
      <c r="R1972" s="89">
        <v>254.23728813559325</v>
      </c>
      <c r="S1972" s="1946" t="s">
        <v>731</v>
      </c>
      <c r="T1972" s="77"/>
      <c r="U1972" s="1893" t="s">
        <v>694</v>
      </c>
      <c r="V1972" s="2079">
        <f t="shared" si="475"/>
        <v>0</v>
      </c>
      <c r="W1972" s="78">
        <f t="shared" si="476"/>
        <v>300</v>
      </c>
      <c r="X1972" s="1878" t="str">
        <f t="shared" si="474"/>
        <v xml:space="preserve">5.- R Aeolus 0100610-OT_000826  Reencauche 0001-001010 </v>
      </c>
      <c r="Z1972" s="19" t="str">
        <f t="shared" si="479"/>
        <v>ReencaucheReenc. MASTERCAUCHO</v>
      </c>
    </row>
    <row r="1973" spans="2:26" ht="15.2" customHeight="1" outlineLevel="1">
      <c r="B1973" s="1">
        <v>41730</v>
      </c>
      <c r="C1973" s="1"/>
      <c r="D1973" s="173">
        <f>+D1975</f>
        <v>25</v>
      </c>
      <c r="E1973" s="66"/>
      <c r="F1973" s="67"/>
      <c r="G1973" s="68"/>
      <c r="H1973" s="69"/>
      <c r="I1973" s="68"/>
      <c r="J1973" s="70"/>
      <c r="K1973" s="71"/>
      <c r="L1973" s="72"/>
      <c r="M1973" s="73"/>
      <c r="N1973" s="74"/>
      <c r="O1973" s="75"/>
      <c r="P1973" s="2765"/>
      <c r="Q1973" s="2954"/>
      <c r="R1973" s="76"/>
      <c r="S1973" s="1945"/>
      <c r="T1973" s="77"/>
      <c r="U1973" s="1893"/>
      <c r="V1973" s="2079">
        <f t="shared" si="475"/>
        <v>0</v>
      </c>
      <c r="W1973" s="78">
        <f t="shared" si="476"/>
        <v>0</v>
      </c>
      <c r="X1973" s="1878" t="str">
        <f t="shared" si="474"/>
        <v xml:space="preserve">.-   -OT_    </v>
      </c>
      <c r="Z1973" s="19" t="str">
        <f t="shared" si="479"/>
        <v>ReencaucheReenc. MASTERCAUCHO</v>
      </c>
    </row>
    <row r="1974" spans="2:26" ht="15.2" customHeight="1" outlineLevel="1">
      <c r="B1974" s="37"/>
      <c r="E1974" s="66">
        <v>1</v>
      </c>
      <c r="F1974" s="67" t="s">
        <v>732</v>
      </c>
      <c r="G1974" s="68" t="s">
        <v>733</v>
      </c>
      <c r="H1974" s="69" t="s">
        <v>1458</v>
      </c>
      <c r="I1974" s="174" t="s">
        <v>811</v>
      </c>
      <c r="J1974" s="176" t="s">
        <v>727</v>
      </c>
      <c r="K1974" s="71" t="s">
        <v>1459</v>
      </c>
      <c r="L1974" s="72">
        <v>41737</v>
      </c>
      <c r="M1974" s="73" t="s">
        <v>729</v>
      </c>
      <c r="N1974" s="74">
        <v>41752</v>
      </c>
      <c r="O1974" s="75">
        <f t="shared" ref="O1974:O2005" si="480">+N1974</f>
        <v>41752</v>
      </c>
      <c r="P1974" s="2765" t="s">
        <v>1460</v>
      </c>
      <c r="Q1974" s="2954"/>
      <c r="R1974" s="76">
        <f>125/(1.18)</f>
        <v>105.93220338983052</v>
      </c>
      <c r="S1974" s="1945" t="s">
        <v>731</v>
      </c>
      <c r="T1974" s="77"/>
      <c r="U1974" s="1893"/>
      <c r="V1974" s="2079">
        <f t="shared" si="475"/>
        <v>0</v>
      </c>
      <c r="W1974" s="78">
        <f t="shared" si="476"/>
        <v>125</v>
      </c>
      <c r="X1974" s="1878" t="str">
        <f t="shared" si="474"/>
        <v xml:space="preserve">1.- C Lima Caucho 0381112-OT_000569  Vulcanizado (curación) 001-000945 </v>
      </c>
      <c r="Z1974" s="19" t="str">
        <f t="shared" si="479"/>
        <v>Banda de 2ª usadaReenc. MASTERCAUCHO</v>
      </c>
    </row>
    <row r="1975" spans="2:26" ht="15.2" customHeight="1" outlineLevel="1">
      <c r="B1975" s="37"/>
      <c r="C1975" s="2">
        <f t="shared" ref="C1975:C1983" si="481">1+C1976</f>
        <v>89</v>
      </c>
      <c r="D1975" s="3">
        <f t="shared" ref="D1975:D1983" si="482">1+D1976</f>
        <v>25</v>
      </c>
      <c r="E1975" s="66">
        <v>2</v>
      </c>
      <c r="F1975" s="67" t="s">
        <v>732</v>
      </c>
      <c r="G1975" s="68" t="s">
        <v>737</v>
      </c>
      <c r="H1975" s="69" t="s">
        <v>998</v>
      </c>
      <c r="I1975" s="68" t="s">
        <v>726</v>
      </c>
      <c r="J1975" s="70" t="s">
        <v>727</v>
      </c>
      <c r="K1975" s="71" t="s">
        <v>1459</v>
      </c>
      <c r="L1975" s="72">
        <v>41737</v>
      </c>
      <c r="M1975" s="73" t="s">
        <v>729</v>
      </c>
      <c r="N1975" s="74">
        <v>41752</v>
      </c>
      <c r="O1975" s="75">
        <f t="shared" si="480"/>
        <v>41752</v>
      </c>
      <c r="P1975" s="2765" t="s">
        <v>1460</v>
      </c>
      <c r="Q1975" s="2954"/>
      <c r="R1975" s="76">
        <f>300/(1.18)</f>
        <v>254.23728813559325</v>
      </c>
      <c r="S1975" s="1945" t="s">
        <v>731</v>
      </c>
      <c r="T1975" s="77"/>
      <c r="U1975" s="1893"/>
      <c r="V1975" s="2079">
        <f t="shared" si="475"/>
        <v>0</v>
      </c>
      <c r="W1975" s="78">
        <f t="shared" si="476"/>
        <v>300</v>
      </c>
      <c r="X1975" s="1878" t="str">
        <f t="shared" si="474"/>
        <v xml:space="preserve">2.- C Vikrant 0090111-OT_000569  Reencauche 001-000945 </v>
      </c>
      <c r="Z1975" s="19" t="str">
        <f t="shared" si="479"/>
        <v>ReencaucheReenc. MASTERCAUCHO</v>
      </c>
    </row>
    <row r="1976" spans="2:26" ht="15.2" customHeight="1" outlineLevel="1">
      <c r="B1976" s="37"/>
      <c r="C1976" s="2">
        <f t="shared" si="481"/>
        <v>88</v>
      </c>
      <c r="D1976" s="3">
        <f t="shared" si="482"/>
        <v>24</v>
      </c>
      <c r="E1976" s="66">
        <v>3</v>
      </c>
      <c r="F1976" s="67" t="s">
        <v>732</v>
      </c>
      <c r="G1976" s="68" t="s">
        <v>733</v>
      </c>
      <c r="H1976" s="69" t="s">
        <v>1461</v>
      </c>
      <c r="I1976" s="68" t="s">
        <v>726</v>
      </c>
      <c r="J1976" s="70" t="s">
        <v>727</v>
      </c>
      <c r="K1976" s="71" t="s">
        <v>1459</v>
      </c>
      <c r="L1976" s="72">
        <v>41737</v>
      </c>
      <c r="M1976" s="73" t="s">
        <v>729</v>
      </c>
      <c r="N1976" s="74">
        <v>41752</v>
      </c>
      <c r="O1976" s="75">
        <f t="shared" si="480"/>
        <v>41752</v>
      </c>
      <c r="P1976" s="2765" t="s">
        <v>1460</v>
      </c>
      <c r="Q1976" s="2954"/>
      <c r="R1976" s="76">
        <f>300/(1.18)</f>
        <v>254.23728813559325</v>
      </c>
      <c r="S1976" s="1945" t="s">
        <v>731</v>
      </c>
      <c r="T1976" s="77"/>
      <c r="U1976" s="1893"/>
      <c r="V1976" s="2079">
        <f t="shared" si="475"/>
        <v>0</v>
      </c>
      <c r="W1976" s="78">
        <f t="shared" si="476"/>
        <v>300</v>
      </c>
      <c r="X1976" s="1878" t="str">
        <f t="shared" si="474"/>
        <v xml:space="preserve">3.- C Lima Caucho 0420707-OT_000569  Reencauche 001-000945 </v>
      </c>
      <c r="Z1976" s="19" t="str">
        <f t="shared" si="479"/>
        <v>ReencaucheReenc. MASTERCAUCHO</v>
      </c>
    </row>
    <row r="1977" spans="2:26" ht="15.2" customHeight="1" outlineLevel="1">
      <c r="B1977" s="37"/>
      <c r="C1977" s="2">
        <f t="shared" si="481"/>
        <v>87</v>
      </c>
      <c r="D1977" s="3">
        <f t="shared" si="482"/>
        <v>23</v>
      </c>
      <c r="E1977" s="66">
        <v>4</v>
      </c>
      <c r="F1977" s="67" t="s">
        <v>732</v>
      </c>
      <c r="G1977" s="68" t="s">
        <v>733</v>
      </c>
      <c r="H1977" s="69" t="s">
        <v>954</v>
      </c>
      <c r="I1977" s="90" t="s">
        <v>742</v>
      </c>
      <c r="J1977" s="92" t="s">
        <v>727</v>
      </c>
      <c r="K1977" s="71" t="s">
        <v>1459</v>
      </c>
      <c r="L1977" s="72">
        <v>41737</v>
      </c>
      <c r="M1977" s="73" t="s">
        <v>729</v>
      </c>
      <c r="N1977" s="74">
        <v>41752</v>
      </c>
      <c r="O1977" s="75">
        <f t="shared" si="480"/>
        <v>41752</v>
      </c>
      <c r="P1977" s="2765" t="s">
        <v>1460</v>
      </c>
      <c r="Q1977" s="2954"/>
      <c r="R1977" s="76">
        <f>250/(1.18)</f>
        <v>211.86440677966104</v>
      </c>
      <c r="S1977" s="1945" t="s">
        <v>731</v>
      </c>
      <c r="T1977" s="77"/>
      <c r="U1977" s="1893"/>
      <c r="V1977" s="2079">
        <f t="shared" si="475"/>
        <v>0</v>
      </c>
      <c r="W1977" s="78">
        <f t="shared" si="476"/>
        <v>250</v>
      </c>
      <c r="X1977" s="1878" t="str">
        <f t="shared" si="474"/>
        <v xml:space="preserve">4.- C Lima Caucho 0400707-OT_000569  Banda de 2ª usada 001-000945 </v>
      </c>
      <c r="Z1977" s="19" t="str">
        <f t="shared" si="479"/>
        <v>ReencaucheReencauchadora RENOVA</v>
      </c>
    </row>
    <row r="1978" spans="2:26" ht="15.2" customHeight="1" outlineLevel="1">
      <c r="B1978" s="37"/>
      <c r="C1978" s="2">
        <f t="shared" si="481"/>
        <v>86</v>
      </c>
      <c r="D1978" s="3">
        <f t="shared" si="482"/>
        <v>22</v>
      </c>
      <c r="E1978" s="66">
        <v>5</v>
      </c>
      <c r="F1978" s="67" t="s">
        <v>732</v>
      </c>
      <c r="G1978" s="68" t="s">
        <v>737</v>
      </c>
      <c r="H1978" s="69" t="s">
        <v>1462</v>
      </c>
      <c r="I1978" s="68" t="s">
        <v>726</v>
      </c>
      <c r="J1978" s="70" t="s">
        <v>727</v>
      </c>
      <c r="K1978" s="71" t="s">
        <v>1459</v>
      </c>
      <c r="L1978" s="72">
        <v>41737</v>
      </c>
      <c r="M1978" s="73" t="s">
        <v>729</v>
      </c>
      <c r="N1978" s="74">
        <v>41752</v>
      </c>
      <c r="O1978" s="75">
        <f t="shared" si="480"/>
        <v>41752</v>
      </c>
      <c r="P1978" s="2765" t="s">
        <v>1460</v>
      </c>
      <c r="Q1978" s="2954"/>
      <c r="R1978" s="76">
        <f>300/(1.18)</f>
        <v>254.23728813559325</v>
      </c>
      <c r="S1978" s="1945" t="s">
        <v>731</v>
      </c>
      <c r="T1978" s="77"/>
      <c r="U1978" s="1893"/>
      <c r="V1978" s="2079">
        <f t="shared" si="475"/>
        <v>0</v>
      </c>
      <c r="W1978" s="78">
        <f t="shared" si="476"/>
        <v>300</v>
      </c>
      <c r="X1978" s="1878" t="str">
        <f t="shared" si="474"/>
        <v xml:space="preserve">5.- C Vikrant 0220310-OT_000569  Reencauche 001-000945 </v>
      </c>
      <c r="Z1978" s="19" t="str">
        <f t="shared" si="479"/>
        <v>ReencaucheReencauchadora RENOVA</v>
      </c>
    </row>
    <row r="1979" spans="2:26" ht="15.2" customHeight="1" outlineLevel="1">
      <c r="B1979" s="37"/>
      <c r="C1979" s="2">
        <f t="shared" si="481"/>
        <v>85</v>
      </c>
      <c r="D1979" s="3">
        <f t="shared" si="482"/>
        <v>21</v>
      </c>
      <c r="E1979" s="79">
        <v>6</v>
      </c>
      <c r="F1979" s="80" t="s">
        <v>732</v>
      </c>
      <c r="G1979" s="81" t="s">
        <v>733</v>
      </c>
      <c r="H1979" s="82" t="s">
        <v>1463</v>
      </c>
      <c r="I1979" s="81" t="s">
        <v>726</v>
      </c>
      <c r="J1979" s="83" t="s">
        <v>727</v>
      </c>
      <c r="K1979" s="84" t="s">
        <v>1459</v>
      </c>
      <c r="L1979" s="85">
        <v>41737</v>
      </c>
      <c r="M1979" s="86" t="s">
        <v>729</v>
      </c>
      <c r="N1979" s="87">
        <v>41752</v>
      </c>
      <c r="O1979" s="88">
        <f t="shared" si="480"/>
        <v>41752</v>
      </c>
      <c r="P1979" s="2766" t="s">
        <v>1460</v>
      </c>
      <c r="Q1979" s="2955"/>
      <c r="R1979" s="89">
        <f>300/(1.18)</f>
        <v>254.23728813559325</v>
      </c>
      <c r="S1979" s="1946" t="s">
        <v>731</v>
      </c>
      <c r="T1979" s="77"/>
      <c r="U1979" s="1893"/>
      <c r="V1979" s="2079">
        <f t="shared" si="475"/>
        <v>0</v>
      </c>
      <c r="W1979" s="78">
        <f t="shared" si="476"/>
        <v>300</v>
      </c>
      <c r="X1979" s="1878" t="str">
        <f t="shared" si="474"/>
        <v xml:space="preserve">6.- C Lima Caucho 0510610-OT_000569  Reencauche 001-000945 </v>
      </c>
      <c r="Z1979" s="19" t="str">
        <f t="shared" si="479"/>
        <v>ReencaucheReencauchadora RENOVA</v>
      </c>
    </row>
    <row r="1980" spans="2:26" ht="15.2" customHeight="1" outlineLevel="1">
      <c r="B1980" s="37"/>
      <c r="C1980" s="2">
        <f t="shared" si="481"/>
        <v>84</v>
      </c>
      <c r="D1980" s="3">
        <f t="shared" si="482"/>
        <v>20</v>
      </c>
      <c r="E1980" s="66">
        <v>1</v>
      </c>
      <c r="F1980" s="67" t="s">
        <v>732</v>
      </c>
      <c r="G1980" s="68" t="s">
        <v>733</v>
      </c>
      <c r="H1980" s="69" t="s">
        <v>1464</v>
      </c>
      <c r="I1980" s="68" t="s">
        <v>726</v>
      </c>
      <c r="J1980" s="70" t="s">
        <v>760</v>
      </c>
      <c r="K1980" s="71" t="s">
        <v>1465</v>
      </c>
      <c r="L1980" s="72">
        <v>41730</v>
      </c>
      <c r="M1980" s="73" t="s">
        <v>729</v>
      </c>
      <c r="N1980" s="74">
        <v>41751</v>
      </c>
      <c r="O1980" s="75">
        <f t="shared" si="480"/>
        <v>41751</v>
      </c>
      <c r="P1980" s="2765" t="s">
        <v>1466</v>
      </c>
      <c r="Q1980" s="2954"/>
      <c r="R1980" s="76">
        <v>281.49</v>
      </c>
      <c r="S1980" s="1945" t="s">
        <v>731</v>
      </c>
      <c r="T1980" s="77"/>
      <c r="U1980" s="1893"/>
      <c r="V1980" s="2079">
        <f t="shared" si="475"/>
        <v>0</v>
      </c>
      <c r="W1980" s="78">
        <f t="shared" si="476"/>
        <v>332.15819999999997</v>
      </c>
      <c r="X1980" s="1878" t="str">
        <f t="shared" si="474"/>
        <v xml:space="preserve">1.- C Lima Caucho 0020107-OT_196002  Reencauche 030-0033918 </v>
      </c>
      <c r="Z1980" s="19" t="str">
        <f t="shared" si="479"/>
        <v>ReencaucheReencauchadora RENOVA</v>
      </c>
    </row>
    <row r="1981" spans="2:26" ht="15.2" customHeight="1" outlineLevel="1">
      <c r="B1981" s="37"/>
      <c r="C1981" s="2">
        <f t="shared" si="481"/>
        <v>83</v>
      </c>
      <c r="D1981" s="3">
        <f t="shared" si="482"/>
        <v>19</v>
      </c>
      <c r="E1981" s="66">
        <v>2</v>
      </c>
      <c r="F1981" s="67" t="s">
        <v>732</v>
      </c>
      <c r="G1981" s="68" t="s">
        <v>733</v>
      </c>
      <c r="H1981" s="69" t="s">
        <v>1467</v>
      </c>
      <c r="I1981" s="68" t="s">
        <v>726</v>
      </c>
      <c r="J1981" s="70" t="s">
        <v>760</v>
      </c>
      <c r="K1981" s="71" t="s">
        <v>1465</v>
      </c>
      <c r="L1981" s="72">
        <v>41730</v>
      </c>
      <c r="M1981" s="73" t="s">
        <v>729</v>
      </c>
      <c r="N1981" s="74">
        <v>41751</v>
      </c>
      <c r="O1981" s="75">
        <f t="shared" si="480"/>
        <v>41751</v>
      </c>
      <c r="P1981" s="2765" t="s">
        <v>1466</v>
      </c>
      <c r="Q1981" s="2954"/>
      <c r="R1981" s="76">
        <v>281.49</v>
      </c>
      <c r="S1981" s="1945" t="s">
        <v>731</v>
      </c>
      <c r="T1981" s="77"/>
      <c r="U1981" s="1893"/>
      <c r="V1981" s="2079">
        <f t="shared" si="475"/>
        <v>0</v>
      </c>
      <c r="W1981" s="78">
        <f t="shared" si="476"/>
        <v>332.15819999999997</v>
      </c>
      <c r="X1981" s="1878" t="str">
        <f t="shared" si="474"/>
        <v xml:space="preserve">2.- C Lima Caucho 0360411-OT_196002  Reencauche 030-0033918 </v>
      </c>
      <c r="Z1981" s="19" t="str">
        <f t="shared" si="479"/>
        <v>ReencaucheReencauchadora RENOVA</v>
      </c>
    </row>
    <row r="1982" spans="2:26" ht="15.2" customHeight="1" outlineLevel="1">
      <c r="B1982" s="37"/>
      <c r="C1982" s="2">
        <f t="shared" si="481"/>
        <v>82</v>
      </c>
      <c r="D1982" s="3">
        <f t="shared" si="482"/>
        <v>18</v>
      </c>
      <c r="E1982" s="66">
        <v>3</v>
      </c>
      <c r="F1982" s="67" t="s">
        <v>732</v>
      </c>
      <c r="G1982" s="68" t="s">
        <v>733</v>
      </c>
      <c r="H1982" s="69" t="s">
        <v>1227</v>
      </c>
      <c r="I1982" s="68" t="s">
        <v>726</v>
      </c>
      <c r="J1982" s="70" t="s">
        <v>760</v>
      </c>
      <c r="K1982" s="71" t="s">
        <v>1465</v>
      </c>
      <c r="L1982" s="72">
        <v>41730</v>
      </c>
      <c r="M1982" s="73" t="s">
        <v>729</v>
      </c>
      <c r="N1982" s="74">
        <v>41751</v>
      </c>
      <c r="O1982" s="75">
        <f t="shared" si="480"/>
        <v>41751</v>
      </c>
      <c r="P1982" s="2765" t="s">
        <v>1466</v>
      </c>
      <c r="Q1982" s="2954"/>
      <c r="R1982" s="76">
        <v>281.49</v>
      </c>
      <c r="S1982" s="1945" t="s">
        <v>731</v>
      </c>
      <c r="T1982" s="77"/>
      <c r="U1982" s="1893"/>
      <c r="V1982" s="2079">
        <f t="shared" si="475"/>
        <v>0</v>
      </c>
      <c r="W1982" s="78">
        <f t="shared" si="476"/>
        <v>332.15819999999997</v>
      </c>
      <c r="X1982" s="1878" t="str">
        <f t="shared" si="474"/>
        <v xml:space="preserve">3.- C Lima Caucho 0220211-OT_196002  Reencauche 030-0033918 </v>
      </c>
      <c r="Z1982" s="19" t="str">
        <f t="shared" si="479"/>
        <v>ReencaucheReencauchadora RENOVA</v>
      </c>
    </row>
    <row r="1983" spans="2:26" ht="15.2" customHeight="1" outlineLevel="1">
      <c r="B1983" s="37"/>
      <c r="C1983" s="2">
        <f t="shared" si="481"/>
        <v>81</v>
      </c>
      <c r="D1983" s="3">
        <f t="shared" si="482"/>
        <v>17</v>
      </c>
      <c r="E1983" s="66">
        <v>4</v>
      </c>
      <c r="F1983" s="67" t="s">
        <v>732</v>
      </c>
      <c r="G1983" s="68" t="s">
        <v>733</v>
      </c>
      <c r="H1983" s="69" t="s">
        <v>949</v>
      </c>
      <c r="I1983" s="68" t="s">
        <v>726</v>
      </c>
      <c r="J1983" s="70" t="s">
        <v>760</v>
      </c>
      <c r="K1983" s="71" t="s">
        <v>1465</v>
      </c>
      <c r="L1983" s="72">
        <v>41730</v>
      </c>
      <c r="M1983" s="73" t="s">
        <v>729</v>
      </c>
      <c r="N1983" s="74">
        <v>41751</v>
      </c>
      <c r="O1983" s="75">
        <f t="shared" si="480"/>
        <v>41751</v>
      </c>
      <c r="P1983" s="2765" t="s">
        <v>1466</v>
      </c>
      <c r="Q1983" s="2954"/>
      <c r="R1983" s="76">
        <v>281.49</v>
      </c>
      <c r="S1983" s="1945" t="s">
        <v>731</v>
      </c>
      <c r="T1983" s="77"/>
      <c r="U1983" s="1893"/>
      <c r="V1983" s="2079">
        <f t="shared" si="475"/>
        <v>0</v>
      </c>
      <c r="W1983" s="78">
        <f t="shared" si="476"/>
        <v>332.15819999999997</v>
      </c>
      <c r="X1983" s="1878" t="str">
        <f t="shared" si="474"/>
        <v xml:space="preserve">4.- C Lima Caucho 1241207-OT_196002  Reencauche 030-0033918 </v>
      </c>
      <c r="Z1983" s="19" t="str">
        <f t="shared" si="479"/>
        <v>ReencaucheReencauchadora RENOVA</v>
      </c>
    </row>
    <row r="1984" spans="2:26" ht="15.2" customHeight="1" outlineLevel="1">
      <c r="B1984" s="37"/>
      <c r="C1984" s="2">
        <f>1+C1991</f>
        <v>80</v>
      </c>
      <c r="D1984" s="3">
        <f>1+D1991</f>
        <v>16</v>
      </c>
      <c r="E1984" s="66">
        <v>5</v>
      </c>
      <c r="F1984" s="67" t="s">
        <v>732</v>
      </c>
      <c r="G1984" s="68" t="s">
        <v>733</v>
      </c>
      <c r="H1984" s="69" t="s">
        <v>1354</v>
      </c>
      <c r="I1984" s="68" t="s">
        <v>726</v>
      </c>
      <c r="J1984" s="70" t="s">
        <v>760</v>
      </c>
      <c r="K1984" s="71" t="s">
        <v>1465</v>
      </c>
      <c r="L1984" s="72">
        <v>41730</v>
      </c>
      <c r="M1984" s="73" t="s">
        <v>729</v>
      </c>
      <c r="N1984" s="74">
        <v>41751</v>
      </c>
      <c r="O1984" s="75">
        <f t="shared" si="480"/>
        <v>41751</v>
      </c>
      <c r="P1984" s="2765" t="s">
        <v>1466</v>
      </c>
      <c r="Q1984" s="2954"/>
      <c r="R1984" s="76">
        <v>281.49</v>
      </c>
      <c r="S1984" s="1945" t="s">
        <v>731</v>
      </c>
      <c r="T1984" s="77"/>
      <c r="U1984" s="1893"/>
      <c r="V1984" s="2079">
        <f t="shared" si="475"/>
        <v>0</v>
      </c>
      <c r="W1984" s="78">
        <f t="shared" si="476"/>
        <v>332.15819999999997</v>
      </c>
      <c r="X1984" s="1878" t="str">
        <f t="shared" si="474"/>
        <v xml:space="preserve">5.- C Lima Caucho 0670808-OT_196002  Reencauche 030-0033918 </v>
      </c>
      <c r="Z1984" s="19" t="str">
        <f t="shared" si="479"/>
        <v>ReencaucheReencauchadora RENOVA</v>
      </c>
    </row>
    <row r="1985" spans="2:26" ht="15.2" customHeight="1" outlineLevel="1">
      <c r="B1985" s="37"/>
      <c r="E1985" s="233">
        <v>6</v>
      </c>
      <c r="F1985" s="2049" t="s">
        <v>732</v>
      </c>
      <c r="G1985" s="234" t="s">
        <v>733</v>
      </c>
      <c r="H1985" s="235" t="s">
        <v>1083</v>
      </c>
      <c r="I1985" s="234" t="s">
        <v>726</v>
      </c>
      <c r="J1985" s="236" t="s">
        <v>760</v>
      </c>
      <c r="K1985" s="237" t="s">
        <v>1465</v>
      </c>
      <c r="L1985" s="238">
        <v>41730</v>
      </c>
      <c r="M1985" s="239"/>
      <c r="N1985" s="240">
        <v>41738</v>
      </c>
      <c r="O1985" s="241">
        <f t="shared" si="480"/>
        <v>41738</v>
      </c>
      <c r="P1985" s="2789"/>
      <c r="Q1985" s="2973"/>
      <c r="R1985" s="242">
        <v>0</v>
      </c>
      <c r="S1985" s="1957" t="s">
        <v>731</v>
      </c>
      <c r="T1985" s="1875" t="s">
        <v>1468</v>
      </c>
      <c r="U1985" s="1920"/>
      <c r="V1985" s="2079">
        <f t="shared" si="475"/>
        <v>0</v>
      </c>
      <c r="W1985" s="78">
        <f t="shared" si="476"/>
        <v>0</v>
      </c>
      <c r="X1985" s="1878" t="str">
        <f t="shared" si="474"/>
        <v>6.- C Lima Caucho 1271207-OT_196002  Reencauche  Rechazada, entregada pelada //  Guia 031-0012770</v>
      </c>
      <c r="Z1985" s="19" t="str">
        <f t="shared" si="479"/>
        <v>ReencaucheReencauchadora RENOVA</v>
      </c>
    </row>
    <row r="1986" spans="2:26" ht="15.2" customHeight="1" outlineLevel="1">
      <c r="B1986" s="37"/>
      <c r="E1986" s="233">
        <v>7</v>
      </c>
      <c r="F1986" s="2049" t="s">
        <v>732</v>
      </c>
      <c r="G1986" s="234" t="s">
        <v>733</v>
      </c>
      <c r="H1986" s="235" t="s">
        <v>1455</v>
      </c>
      <c r="I1986" s="234" t="s">
        <v>726</v>
      </c>
      <c r="J1986" s="236" t="s">
        <v>760</v>
      </c>
      <c r="K1986" s="237" t="s">
        <v>1465</v>
      </c>
      <c r="L1986" s="238">
        <v>41730</v>
      </c>
      <c r="M1986" s="239"/>
      <c r="N1986" s="240">
        <v>41738</v>
      </c>
      <c r="O1986" s="241">
        <f t="shared" si="480"/>
        <v>41738</v>
      </c>
      <c r="P1986" s="2789"/>
      <c r="Q1986" s="2973"/>
      <c r="R1986" s="242">
        <v>0</v>
      </c>
      <c r="S1986" s="1957" t="s">
        <v>731</v>
      </c>
      <c r="T1986" s="1875" t="s">
        <v>1468</v>
      </c>
      <c r="U1986" s="1920"/>
      <c r="V1986" s="2079">
        <f t="shared" si="475"/>
        <v>0</v>
      </c>
      <c r="W1986" s="78">
        <f t="shared" si="476"/>
        <v>0</v>
      </c>
      <c r="X1986" s="1878" t="str">
        <f t="shared" si="474"/>
        <v>7.- C Lima Caucho 0010107-OT_196002  Reencauche  Rechazada, entregada pelada //  Guia 031-0012770</v>
      </c>
      <c r="Z1986" s="19" t="str">
        <f t="shared" si="479"/>
        <v>ReencaucheReencauchadora RENOVA</v>
      </c>
    </row>
    <row r="1987" spans="2:26" ht="15.2" customHeight="1" outlineLevel="1">
      <c r="B1987" s="37"/>
      <c r="E1987" s="233">
        <v>8</v>
      </c>
      <c r="F1987" s="2049" t="s">
        <v>732</v>
      </c>
      <c r="G1987" s="234" t="s">
        <v>733</v>
      </c>
      <c r="H1987" s="235" t="s">
        <v>1469</v>
      </c>
      <c r="I1987" s="234" t="s">
        <v>726</v>
      </c>
      <c r="J1987" s="236" t="s">
        <v>760</v>
      </c>
      <c r="K1987" s="237" t="s">
        <v>1465</v>
      </c>
      <c r="L1987" s="238">
        <v>41730</v>
      </c>
      <c r="M1987" s="239"/>
      <c r="N1987" s="240">
        <v>41738</v>
      </c>
      <c r="O1987" s="241">
        <f t="shared" si="480"/>
        <v>41738</v>
      </c>
      <c r="P1987" s="2789"/>
      <c r="Q1987" s="2973"/>
      <c r="R1987" s="242">
        <v>0</v>
      </c>
      <c r="S1987" s="1957" t="s">
        <v>731</v>
      </c>
      <c r="T1987" s="1875" t="s">
        <v>1468</v>
      </c>
      <c r="U1987" s="1920"/>
      <c r="V1987" s="2079">
        <f t="shared" si="475"/>
        <v>0</v>
      </c>
      <c r="W1987" s="78">
        <f t="shared" si="476"/>
        <v>0</v>
      </c>
      <c r="X1987" s="1878" t="str">
        <f t="shared" si="474"/>
        <v>8.- C Lima Caucho 0160207-OT_196002  Reencauche  Rechazada, entregada pelada //  Guia 031-0012770</v>
      </c>
      <c r="Z1987" s="19" t="str">
        <f t="shared" si="479"/>
        <v>ReencaucheReencauchadora RENOVA</v>
      </c>
    </row>
    <row r="1988" spans="2:26" ht="15.2" customHeight="1" outlineLevel="1">
      <c r="B1988" s="37"/>
      <c r="E1988" s="233">
        <v>9</v>
      </c>
      <c r="F1988" s="2049" t="s">
        <v>732</v>
      </c>
      <c r="G1988" s="234" t="s">
        <v>733</v>
      </c>
      <c r="H1988" s="235" t="s">
        <v>1470</v>
      </c>
      <c r="I1988" s="234" t="s">
        <v>726</v>
      </c>
      <c r="J1988" s="236" t="s">
        <v>760</v>
      </c>
      <c r="K1988" s="237" t="s">
        <v>1465</v>
      </c>
      <c r="L1988" s="238">
        <v>41730</v>
      </c>
      <c r="M1988" s="239"/>
      <c r="N1988" s="240">
        <v>41738</v>
      </c>
      <c r="O1988" s="241">
        <f t="shared" si="480"/>
        <v>41738</v>
      </c>
      <c r="P1988" s="2789"/>
      <c r="Q1988" s="2973"/>
      <c r="R1988" s="242">
        <v>0</v>
      </c>
      <c r="S1988" s="1957" t="s">
        <v>731</v>
      </c>
      <c r="T1988" s="1875" t="s">
        <v>1468</v>
      </c>
      <c r="U1988" s="1920"/>
      <c r="V1988" s="2079">
        <f t="shared" si="475"/>
        <v>0</v>
      </c>
      <c r="W1988" s="78">
        <f t="shared" si="476"/>
        <v>0</v>
      </c>
      <c r="X1988" s="1878" t="str">
        <f t="shared" si="474"/>
        <v>9.- C Lima Caucho 0850908-OT_196002  Reencauche  Rechazada, entregada pelada //  Guia 031-0012770</v>
      </c>
      <c r="Z1988" s="19" t="str">
        <f t="shared" si="479"/>
        <v>ReencaucheReencauchadora RENOVA</v>
      </c>
    </row>
    <row r="1989" spans="2:26" ht="15.2" customHeight="1" outlineLevel="1">
      <c r="B1989" s="37"/>
      <c r="E1989" s="233">
        <v>10</v>
      </c>
      <c r="F1989" s="2049" t="s">
        <v>732</v>
      </c>
      <c r="G1989" s="234" t="s">
        <v>733</v>
      </c>
      <c r="H1989" s="235" t="s">
        <v>1471</v>
      </c>
      <c r="I1989" s="234" t="s">
        <v>726</v>
      </c>
      <c r="J1989" s="236" t="s">
        <v>760</v>
      </c>
      <c r="K1989" s="237" t="s">
        <v>1465</v>
      </c>
      <c r="L1989" s="238">
        <v>41730</v>
      </c>
      <c r="M1989" s="239"/>
      <c r="N1989" s="240">
        <v>41738</v>
      </c>
      <c r="O1989" s="241">
        <f t="shared" si="480"/>
        <v>41738</v>
      </c>
      <c r="P1989" s="2789"/>
      <c r="Q1989" s="2973"/>
      <c r="R1989" s="242">
        <v>0</v>
      </c>
      <c r="S1989" s="1957" t="s">
        <v>731</v>
      </c>
      <c r="T1989" s="1875" t="s">
        <v>1468</v>
      </c>
      <c r="U1989" s="1920"/>
      <c r="V1989" s="2079">
        <f t="shared" si="475"/>
        <v>0</v>
      </c>
      <c r="W1989" s="78">
        <f t="shared" si="476"/>
        <v>0</v>
      </c>
      <c r="X1989" s="1878" t="str">
        <f t="shared" si="474"/>
        <v>10.- C Lima Caucho 0170207-OT_196002  Reencauche  Rechazada, entregada pelada //  Guia 031-0012770</v>
      </c>
      <c r="Z1989" s="19" t="str">
        <f t="shared" si="479"/>
        <v>ReencaucheReencauchadora RENOVA</v>
      </c>
    </row>
    <row r="1990" spans="2:26" ht="15.2" customHeight="1" outlineLevel="1">
      <c r="B1990" s="37"/>
      <c r="E1990" s="233">
        <v>11</v>
      </c>
      <c r="F1990" s="2049" t="s">
        <v>732</v>
      </c>
      <c r="G1990" s="234" t="s">
        <v>733</v>
      </c>
      <c r="H1990" s="235" t="s">
        <v>1018</v>
      </c>
      <c r="I1990" s="234" t="s">
        <v>726</v>
      </c>
      <c r="J1990" s="236" t="s">
        <v>760</v>
      </c>
      <c r="K1990" s="237" t="s">
        <v>1472</v>
      </c>
      <c r="L1990" s="238">
        <v>41730</v>
      </c>
      <c r="M1990" s="239"/>
      <c r="N1990" s="240">
        <v>41738</v>
      </c>
      <c r="O1990" s="241">
        <f t="shared" si="480"/>
        <v>41738</v>
      </c>
      <c r="P1990" s="2789"/>
      <c r="Q1990" s="2973"/>
      <c r="R1990" s="242">
        <v>0</v>
      </c>
      <c r="S1990" s="1957" t="s">
        <v>731</v>
      </c>
      <c r="T1990" s="1875" t="s">
        <v>1468</v>
      </c>
      <c r="U1990" s="1920"/>
      <c r="V1990" s="2079">
        <f t="shared" si="475"/>
        <v>0</v>
      </c>
      <c r="W1990" s="78">
        <f t="shared" si="476"/>
        <v>0</v>
      </c>
      <c r="X1990" s="1878" t="str">
        <f t="shared" si="474"/>
        <v>11.- C Lima Caucho 1491207-OT_196003  Reencauche  Rechazada, entregada pelada //  Guia 031-0012770</v>
      </c>
      <c r="Z1990" s="19" t="str">
        <f t="shared" si="479"/>
        <v>ReencaucheReencauchadora RENOVA</v>
      </c>
    </row>
    <row r="1991" spans="2:26" ht="15.2" customHeight="1" outlineLevel="1">
      <c r="B1991" s="37"/>
      <c r="C1991" s="2">
        <f t="shared" ref="C1991:C2004" si="483">1+C1992</f>
        <v>79</v>
      </c>
      <c r="D1991" s="3">
        <f t="shared" ref="D1991:D2004" si="484">1+D1992</f>
        <v>15</v>
      </c>
      <c r="E1991" s="66">
        <v>12</v>
      </c>
      <c r="F1991" s="67" t="s">
        <v>732</v>
      </c>
      <c r="G1991" s="68" t="s">
        <v>733</v>
      </c>
      <c r="H1991" s="69" t="s">
        <v>1058</v>
      </c>
      <c r="I1991" s="68" t="s">
        <v>726</v>
      </c>
      <c r="J1991" s="70" t="s">
        <v>760</v>
      </c>
      <c r="K1991" s="71" t="s">
        <v>1472</v>
      </c>
      <c r="L1991" s="72">
        <v>41730</v>
      </c>
      <c r="M1991" s="73" t="s">
        <v>729</v>
      </c>
      <c r="N1991" s="74">
        <v>41751</v>
      </c>
      <c r="O1991" s="75">
        <f t="shared" si="480"/>
        <v>41751</v>
      </c>
      <c r="P1991" s="2765" t="s">
        <v>1466</v>
      </c>
      <c r="Q1991" s="2954"/>
      <c r="R1991" s="76">
        <v>281.49</v>
      </c>
      <c r="S1991" s="1945" t="s">
        <v>731</v>
      </c>
      <c r="T1991" s="77"/>
      <c r="U1991" s="1893"/>
      <c r="V1991" s="2079">
        <f t="shared" si="475"/>
        <v>0</v>
      </c>
      <c r="W1991" s="78">
        <f t="shared" si="476"/>
        <v>332.15819999999997</v>
      </c>
      <c r="X1991" s="1878" t="str">
        <f t="shared" si="474"/>
        <v xml:space="preserve">12.- C Lima Caucho 050805208-OT_196003  Reencauche 030-0033918 </v>
      </c>
      <c r="Z1991" s="19" t="str">
        <f t="shared" si="479"/>
        <v>ReencaucheReencauchadora RENOVA</v>
      </c>
    </row>
    <row r="1992" spans="2:26" ht="15.2" customHeight="1" outlineLevel="1">
      <c r="B1992" s="37"/>
      <c r="C1992" s="2">
        <f t="shared" si="483"/>
        <v>78</v>
      </c>
      <c r="D1992" s="3">
        <f t="shared" si="484"/>
        <v>14</v>
      </c>
      <c r="E1992" s="66">
        <v>13</v>
      </c>
      <c r="F1992" s="67" t="s">
        <v>732</v>
      </c>
      <c r="G1992" s="68" t="s">
        <v>733</v>
      </c>
      <c r="H1992" s="69" t="s">
        <v>1073</v>
      </c>
      <c r="I1992" s="68" t="s">
        <v>726</v>
      </c>
      <c r="J1992" s="70" t="s">
        <v>760</v>
      </c>
      <c r="K1992" s="71" t="s">
        <v>1472</v>
      </c>
      <c r="L1992" s="72">
        <v>41730</v>
      </c>
      <c r="M1992" s="73" t="s">
        <v>729</v>
      </c>
      <c r="N1992" s="74">
        <v>41751</v>
      </c>
      <c r="O1992" s="75">
        <f t="shared" si="480"/>
        <v>41751</v>
      </c>
      <c r="P1992" s="2765" t="s">
        <v>1466</v>
      </c>
      <c r="Q1992" s="2954"/>
      <c r="R1992" s="76">
        <v>281.49</v>
      </c>
      <c r="S1992" s="1945" t="s">
        <v>731</v>
      </c>
      <c r="T1992" s="77"/>
      <c r="U1992" s="1893"/>
      <c r="V1992" s="2079">
        <f t="shared" si="475"/>
        <v>0</v>
      </c>
      <c r="W1992" s="78">
        <f t="shared" si="476"/>
        <v>332.15819999999997</v>
      </c>
      <c r="X1992" s="1878" t="str">
        <f t="shared" si="474"/>
        <v xml:space="preserve">13.- C Lima Caucho 0220108-OT_196003  Reencauche 030-0033918 </v>
      </c>
      <c r="Z1992" s="19" t="str">
        <f t="shared" si="479"/>
        <v>ReencaucheReencauchadora RENOVA</v>
      </c>
    </row>
    <row r="1993" spans="2:26" ht="15.2" customHeight="1" outlineLevel="1">
      <c r="B1993" s="37"/>
      <c r="C1993" s="2">
        <f t="shared" si="483"/>
        <v>77</v>
      </c>
      <c r="D1993" s="3">
        <f t="shared" si="484"/>
        <v>13</v>
      </c>
      <c r="E1993" s="66">
        <v>14</v>
      </c>
      <c r="F1993" s="67" t="s">
        <v>732</v>
      </c>
      <c r="G1993" s="68" t="s">
        <v>733</v>
      </c>
      <c r="H1993" s="69" t="s">
        <v>739</v>
      </c>
      <c r="I1993" s="68" t="s">
        <v>726</v>
      </c>
      <c r="J1993" s="70" t="s">
        <v>760</v>
      </c>
      <c r="K1993" s="71" t="s">
        <v>1472</v>
      </c>
      <c r="L1993" s="72">
        <v>41730</v>
      </c>
      <c r="M1993" s="73" t="s">
        <v>729</v>
      </c>
      <c r="N1993" s="74">
        <v>41751</v>
      </c>
      <c r="O1993" s="75">
        <f t="shared" si="480"/>
        <v>41751</v>
      </c>
      <c r="P1993" s="2765" t="s">
        <v>1466</v>
      </c>
      <c r="Q1993" s="2954"/>
      <c r="R1993" s="76">
        <v>281.49</v>
      </c>
      <c r="S1993" s="1945" t="s">
        <v>731</v>
      </c>
      <c r="T1993" s="77"/>
      <c r="U1993" s="1893"/>
      <c r="V1993" s="2079">
        <f t="shared" si="475"/>
        <v>0</v>
      </c>
      <c r="W1993" s="78">
        <f t="shared" si="476"/>
        <v>332.15819999999997</v>
      </c>
      <c r="X1993" s="1878" t="str">
        <f t="shared" si="474"/>
        <v xml:space="preserve">14.- C Lima Caucho 0610808-OT_196003  Reencauche 030-0033918 </v>
      </c>
      <c r="Z1993" s="19" t="str">
        <f t="shared" si="479"/>
        <v>ReencaucheReencauchadora RENOVA</v>
      </c>
    </row>
    <row r="1994" spans="2:26" ht="15.2" customHeight="1" outlineLevel="1">
      <c r="B1994" s="37"/>
      <c r="C1994" s="2">
        <f t="shared" si="483"/>
        <v>76</v>
      </c>
      <c r="D1994" s="3">
        <f t="shared" si="484"/>
        <v>12</v>
      </c>
      <c r="E1994" s="66">
        <v>15</v>
      </c>
      <c r="F1994" s="67" t="s">
        <v>732</v>
      </c>
      <c r="G1994" s="68" t="s">
        <v>733</v>
      </c>
      <c r="H1994" s="69" t="s">
        <v>1388</v>
      </c>
      <c r="I1994" s="68" t="s">
        <v>726</v>
      </c>
      <c r="J1994" s="70" t="s">
        <v>760</v>
      </c>
      <c r="K1994" s="71" t="s">
        <v>1472</v>
      </c>
      <c r="L1994" s="72">
        <v>41730</v>
      </c>
      <c r="M1994" s="73" t="s">
        <v>729</v>
      </c>
      <c r="N1994" s="74">
        <v>41751</v>
      </c>
      <c r="O1994" s="75">
        <f t="shared" si="480"/>
        <v>41751</v>
      </c>
      <c r="P1994" s="2765" t="s">
        <v>1466</v>
      </c>
      <c r="Q1994" s="2954"/>
      <c r="R1994" s="76">
        <v>281.49</v>
      </c>
      <c r="S1994" s="1945" t="s">
        <v>731</v>
      </c>
      <c r="T1994" s="77"/>
      <c r="U1994" s="1893"/>
      <c r="V1994" s="2079">
        <f t="shared" si="475"/>
        <v>0</v>
      </c>
      <c r="W1994" s="78">
        <f t="shared" si="476"/>
        <v>332.15819999999997</v>
      </c>
      <c r="X1994" s="1878" t="str">
        <f t="shared" si="474"/>
        <v xml:space="preserve">15.- C Lima Caucho 0720810-OT_196003  Reencauche 030-0033918 </v>
      </c>
      <c r="Z1994" s="19" t="str">
        <f t="shared" si="479"/>
        <v>ReencaucheReencauchadora RENOVA</v>
      </c>
    </row>
    <row r="1995" spans="2:26" ht="15.2" customHeight="1" outlineLevel="1">
      <c r="B1995" s="37"/>
      <c r="C1995" s="2">
        <f t="shared" si="483"/>
        <v>75</v>
      </c>
      <c r="D1995" s="3">
        <f t="shared" si="484"/>
        <v>11</v>
      </c>
      <c r="E1995" s="66">
        <v>16</v>
      </c>
      <c r="F1995" s="67" t="s">
        <v>732</v>
      </c>
      <c r="G1995" s="68" t="s">
        <v>733</v>
      </c>
      <c r="H1995" s="69" t="s">
        <v>1473</v>
      </c>
      <c r="I1995" s="68" t="s">
        <v>726</v>
      </c>
      <c r="J1995" s="70" t="s">
        <v>760</v>
      </c>
      <c r="K1995" s="71" t="s">
        <v>1472</v>
      </c>
      <c r="L1995" s="72">
        <v>41730</v>
      </c>
      <c r="M1995" s="73" t="s">
        <v>729</v>
      </c>
      <c r="N1995" s="74">
        <v>41751</v>
      </c>
      <c r="O1995" s="75">
        <f t="shared" si="480"/>
        <v>41751</v>
      </c>
      <c r="P1995" s="2765" t="s">
        <v>1466</v>
      </c>
      <c r="Q1995" s="2954"/>
      <c r="R1995" s="76">
        <v>281.49</v>
      </c>
      <c r="S1995" s="1945" t="s">
        <v>731</v>
      </c>
      <c r="T1995" s="77"/>
      <c r="U1995" s="1893"/>
      <c r="V1995" s="2079">
        <f t="shared" si="475"/>
        <v>0</v>
      </c>
      <c r="W1995" s="78">
        <f t="shared" si="476"/>
        <v>332.15819999999997</v>
      </c>
      <c r="X1995" s="1878" t="str">
        <f t="shared" si="474"/>
        <v xml:space="preserve">16.- C Lima Caucho 1051208-OT_196003  Reencauche 030-0033918 </v>
      </c>
      <c r="Z1995" s="19" t="str">
        <f t="shared" si="479"/>
        <v>ReencaucheReencauchadora RENOVA</v>
      </c>
    </row>
    <row r="1996" spans="2:26" ht="15.2" customHeight="1" outlineLevel="1">
      <c r="B1996" s="37"/>
      <c r="C1996" s="2">
        <f t="shared" si="483"/>
        <v>74</v>
      </c>
      <c r="D1996" s="3">
        <f t="shared" si="484"/>
        <v>10</v>
      </c>
      <c r="E1996" s="66">
        <v>17</v>
      </c>
      <c r="F1996" s="67" t="s">
        <v>732</v>
      </c>
      <c r="G1996" s="68" t="s">
        <v>737</v>
      </c>
      <c r="H1996" s="69" t="s">
        <v>1474</v>
      </c>
      <c r="I1996" s="68" t="s">
        <v>726</v>
      </c>
      <c r="J1996" s="70" t="s">
        <v>760</v>
      </c>
      <c r="K1996" s="71" t="s">
        <v>1472</v>
      </c>
      <c r="L1996" s="72">
        <v>41730</v>
      </c>
      <c r="M1996" s="73" t="s">
        <v>729</v>
      </c>
      <c r="N1996" s="74">
        <v>41751</v>
      </c>
      <c r="O1996" s="75">
        <f t="shared" si="480"/>
        <v>41751</v>
      </c>
      <c r="P1996" s="2765" t="s">
        <v>1466</v>
      </c>
      <c r="Q1996" s="2954"/>
      <c r="R1996" s="76">
        <v>281.49</v>
      </c>
      <c r="S1996" s="1945" t="s">
        <v>731</v>
      </c>
      <c r="T1996" s="77"/>
      <c r="U1996" s="1893"/>
      <c r="V1996" s="2079">
        <f t="shared" si="475"/>
        <v>0</v>
      </c>
      <c r="W1996" s="78">
        <f t="shared" si="476"/>
        <v>332.15819999999997</v>
      </c>
      <c r="X1996" s="1878" t="str">
        <f t="shared" si="474"/>
        <v xml:space="preserve">17.- C Vikrant 0110111-OT_196003  Reencauche 030-0033918 </v>
      </c>
      <c r="Z1996" s="19" t="str">
        <f t="shared" si="479"/>
        <v>ReencaucheReencauchadora RENOVA</v>
      </c>
    </row>
    <row r="1997" spans="2:26" ht="15.2" customHeight="1" outlineLevel="1">
      <c r="B1997" s="37"/>
      <c r="C1997" s="2">
        <f t="shared" si="483"/>
        <v>73</v>
      </c>
      <c r="D1997" s="3">
        <f t="shared" si="484"/>
        <v>9</v>
      </c>
      <c r="E1997" s="66">
        <v>18</v>
      </c>
      <c r="F1997" s="67" t="s">
        <v>732</v>
      </c>
      <c r="G1997" s="68" t="s">
        <v>737</v>
      </c>
      <c r="H1997" s="69" t="s">
        <v>791</v>
      </c>
      <c r="I1997" s="68" t="s">
        <v>726</v>
      </c>
      <c r="J1997" s="70" t="s">
        <v>760</v>
      </c>
      <c r="K1997" s="71" t="s">
        <v>1472</v>
      </c>
      <c r="L1997" s="72">
        <v>41730</v>
      </c>
      <c r="M1997" s="73" t="s">
        <v>729</v>
      </c>
      <c r="N1997" s="74">
        <v>41751</v>
      </c>
      <c r="O1997" s="75">
        <f t="shared" si="480"/>
        <v>41751</v>
      </c>
      <c r="P1997" s="2765" t="s">
        <v>1466</v>
      </c>
      <c r="Q1997" s="2954"/>
      <c r="R1997" s="76">
        <v>281.49</v>
      </c>
      <c r="S1997" s="1945" t="s">
        <v>731</v>
      </c>
      <c r="T1997" s="77"/>
      <c r="U1997" s="1893"/>
      <c r="V1997" s="2079">
        <f t="shared" si="475"/>
        <v>0</v>
      </c>
      <c r="W1997" s="78">
        <f t="shared" si="476"/>
        <v>332.15819999999997</v>
      </c>
      <c r="X1997" s="1878" t="str">
        <f t="shared" si="474"/>
        <v xml:space="preserve">18.- C Vikrant 0580709-OT_196003  Reencauche 030-0033918 </v>
      </c>
      <c r="Z1997" s="19" t="str">
        <f t="shared" si="479"/>
        <v>ReencaucheReencauchadora RENOVA</v>
      </c>
    </row>
    <row r="1998" spans="2:26" ht="15.2" customHeight="1" outlineLevel="1">
      <c r="B1998" s="37"/>
      <c r="C1998" s="2">
        <f t="shared" si="483"/>
        <v>72</v>
      </c>
      <c r="D1998" s="3">
        <f t="shared" si="484"/>
        <v>8</v>
      </c>
      <c r="E1998" s="66">
        <v>19</v>
      </c>
      <c r="F1998" s="67" t="s">
        <v>732</v>
      </c>
      <c r="G1998" s="68" t="s">
        <v>737</v>
      </c>
      <c r="H1998" s="69" t="s">
        <v>1147</v>
      </c>
      <c r="I1998" s="68" t="s">
        <v>726</v>
      </c>
      <c r="J1998" s="70" t="s">
        <v>760</v>
      </c>
      <c r="K1998" s="71" t="s">
        <v>1472</v>
      </c>
      <c r="L1998" s="72">
        <v>41730</v>
      </c>
      <c r="M1998" s="73" t="s">
        <v>729</v>
      </c>
      <c r="N1998" s="74">
        <v>41751</v>
      </c>
      <c r="O1998" s="75">
        <f t="shared" si="480"/>
        <v>41751</v>
      </c>
      <c r="P1998" s="2765" t="s">
        <v>1466</v>
      </c>
      <c r="Q1998" s="2954"/>
      <c r="R1998" s="76">
        <v>281.49</v>
      </c>
      <c r="S1998" s="1945" t="s">
        <v>731</v>
      </c>
      <c r="T1998" s="77"/>
      <c r="U1998" s="1893"/>
      <c r="V1998" s="2079">
        <f t="shared" si="475"/>
        <v>0</v>
      </c>
      <c r="W1998" s="78">
        <f t="shared" si="476"/>
        <v>332.15819999999997</v>
      </c>
      <c r="X1998" s="1878" t="str">
        <f t="shared" si="474"/>
        <v xml:space="preserve">19.- C Vikrant 0160310-OT_196003  Reencauche 030-0033918 </v>
      </c>
      <c r="Z1998" s="19" t="str">
        <f t="shared" si="479"/>
        <v>ReencaucheReencauchadora RENOVA</v>
      </c>
    </row>
    <row r="1999" spans="2:26" ht="15.2" customHeight="1" outlineLevel="1">
      <c r="B1999" s="37"/>
      <c r="C1999" s="2">
        <f t="shared" si="483"/>
        <v>71</v>
      </c>
      <c r="D1999" s="3">
        <f t="shared" si="484"/>
        <v>7</v>
      </c>
      <c r="E1999" s="66">
        <v>20</v>
      </c>
      <c r="F1999" s="67" t="s">
        <v>732</v>
      </c>
      <c r="G1999" s="68" t="s">
        <v>737</v>
      </c>
      <c r="H1999" s="69" t="s">
        <v>1475</v>
      </c>
      <c r="I1999" s="68" t="s">
        <v>726</v>
      </c>
      <c r="J1999" s="70" t="s">
        <v>760</v>
      </c>
      <c r="K1999" s="71" t="s">
        <v>1472</v>
      </c>
      <c r="L1999" s="72">
        <v>41730</v>
      </c>
      <c r="M1999" s="73" t="s">
        <v>729</v>
      </c>
      <c r="N1999" s="74">
        <v>41751</v>
      </c>
      <c r="O1999" s="75">
        <f t="shared" si="480"/>
        <v>41751</v>
      </c>
      <c r="P1999" s="2765" t="s">
        <v>1466</v>
      </c>
      <c r="Q1999" s="2954"/>
      <c r="R1999" s="76">
        <v>281.49</v>
      </c>
      <c r="S1999" s="1945" t="s">
        <v>731</v>
      </c>
      <c r="T1999" s="77"/>
      <c r="U1999" s="1893"/>
      <c r="V1999" s="2079">
        <f t="shared" si="475"/>
        <v>0</v>
      </c>
      <c r="W1999" s="78">
        <f t="shared" si="476"/>
        <v>332.15819999999997</v>
      </c>
      <c r="X1999" s="1878" t="str">
        <f t="shared" si="474"/>
        <v xml:space="preserve">20.- C Vikrant 0100109-OT_196003  Reencauche 030-0033918 </v>
      </c>
      <c r="Z1999" s="19" t="str">
        <f t="shared" si="479"/>
        <v>ReencaucheReencauchadora RENOVA</v>
      </c>
    </row>
    <row r="2000" spans="2:26" ht="15.2" customHeight="1" outlineLevel="1">
      <c r="B2000" s="37"/>
      <c r="C2000" s="2">
        <f t="shared" si="483"/>
        <v>70</v>
      </c>
      <c r="D2000" s="3">
        <f t="shared" si="484"/>
        <v>6</v>
      </c>
      <c r="E2000" s="66">
        <v>21</v>
      </c>
      <c r="F2000" s="67" t="s">
        <v>732</v>
      </c>
      <c r="G2000" s="68" t="s">
        <v>737</v>
      </c>
      <c r="H2000" s="69" t="s">
        <v>1476</v>
      </c>
      <c r="I2000" s="68" t="s">
        <v>726</v>
      </c>
      <c r="J2000" s="70" t="s">
        <v>760</v>
      </c>
      <c r="K2000" s="71" t="s">
        <v>1477</v>
      </c>
      <c r="L2000" s="72">
        <v>41730</v>
      </c>
      <c r="M2000" s="73" t="s">
        <v>729</v>
      </c>
      <c r="N2000" s="74">
        <v>41751</v>
      </c>
      <c r="O2000" s="75">
        <f t="shared" si="480"/>
        <v>41751</v>
      </c>
      <c r="P2000" s="2765" t="s">
        <v>1466</v>
      </c>
      <c r="Q2000" s="2954"/>
      <c r="R2000" s="76">
        <v>281.49</v>
      </c>
      <c r="S2000" s="1945" t="s">
        <v>731</v>
      </c>
      <c r="T2000" s="77"/>
      <c r="U2000" s="1893"/>
      <c r="V2000" s="2079">
        <f t="shared" si="475"/>
        <v>0</v>
      </c>
      <c r="W2000" s="78">
        <f t="shared" si="476"/>
        <v>332.15819999999997</v>
      </c>
      <c r="X2000" s="1878" t="str">
        <f t="shared" si="474"/>
        <v xml:space="preserve">21.- C Vikrant 0050109-OT_196004  Reencauche 030-0033918 </v>
      </c>
      <c r="Z2000" s="19" t="str">
        <f t="shared" si="479"/>
        <v>ReencaucheReencauchadora RENOVA</v>
      </c>
    </row>
    <row r="2001" spans="2:26" ht="15.2" customHeight="1" outlineLevel="1">
      <c r="B2001" s="37"/>
      <c r="C2001" s="2">
        <f t="shared" si="483"/>
        <v>69</v>
      </c>
      <c r="D2001" s="3">
        <f t="shared" si="484"/>
        <v>5</v>
      </c>
      <c r="E2001" s="66">
        <v>22</v>
      </c>
      <c r="F2001" s="67" t="s">
        <v>732</v>
      </c>
      <c r="G2001" s="68" t="s">
        <v>737</v>
      </c>
      <c r="H2001" s="69" t="s">
        <v>1478</v>
      </c>
      <c r="I2001" s="68" t="s">
        <v>726</v>
      </c>
      <c r="J2001" s="70" t="s">
        <v>760</v>
      </c>
      <c r="K2001" s="71" t="s">
        <v>1477</v>
      </c>
      <c r="L2001" s="72">
        <v>41730</v>
      </c>
      <c r="M2001" s="73" t="s">
        <v>729</v>
      </c>
      <c r="N2001" s="74">
        <v>41751</v>
      </c>
      <c r="O2001" s="75">
        <f t="shared" si="480"/>
        <v>41751</v>
      </c>
      <c r="P2001" s="2765" t="s">
        <v>1466</v>
      </c>
      <c r="Q2001" s="2954"/>
      <c r="R2001" s="76">
        <v>281.49</v>
      </c>
      <c r="S2001" s="1945" t="s">
        <v>731</v>
      </c>
      <c r="T2001" s="77"/>
      <c r="U2001" s="1893"/>
      <c r="V2001" s="2079">
        <f t="shared" si="475"/>
        <v>0</v>
      </c>
      <c r="W2001" s="78">
        <f t="shared" si="476"/>
        <v>332.15819999999997</v>
      </c>
      <c r="X2001" s="1878" t="str">
        <f t="shared" si="474"/>
        <v xml:space="preserve">22.- C Vikrant 080505-OT_196004  Reencauche 030-0033918 </v>
      </c>
      <c r="Z2001" s="19" t="str">
        <f t="shared" si="479"/>
        <v>ReencaucheReencauchadora RENOVA</v>
      </c>
    </row>
    <row r="2002" spans="2:26" ht="15.2" customHeight="1" outlineLevel="1">
      <c r="B2002" s="37"/>
      <c r="C2002" s="2">
        <f t="shared" si="483"/>
        <v>68</v>
      </c>
      <c r="D2002" s="3">
        <f t="shared" si="484"/>
        <v>4</v>
      </c>
      <c r="E2002" s="66">
        <v>23</v>
      </c>
      <c r="F2002" s="67" t="s">
        <v>732</v>
      </c>
      <c r="G2002" s="68" t="s">
        <v>737</v>
      </c>
      <c r="H2002" s="69" t="s">
        <v>1479</v>
      </c>
      <c r="I2002" s="68" t="s">
        <v>726</v>
      </c>
      <c r="J2002" s="70" t="s">
        <v>760</v>
      </c>
      <c r="K2002" s="71" t="s">
        <v>1477</v>
      </c>
      <c r="L2002" s="72">
        <v>41730</v>
      </c>
      <c r="M2002" s="73" t="s">
        <v>729</v>
      </c>
      <c r="N2002" s="74">
        <v>41751</v>
      </c>
      <c r="O2002" s="75">
        <f t="shared" si="480"/>
        <v>41751</v>
      </c>
      <c r="P2002" s="2765" t="s">
        <v>1466</v>
      </c>
      <c r="Q2002" s="2954"/>
      <c r="R2002" s="76">
        <v>281.49</v>
      </c>
      <c r="S2002" s="1945" t="s">
        <v>731</v>
      </c>
      <c r="T2002" s="77"/>
      <c r="U2002" s="1893"/>
      <c r="V2002" s="2079">
        <f t="shared" si="475"/>
        <v>0</v>
      </c>
      <c r="W2002" s="78">
        <f t="shared" si="476"/>
        <v>332.15819999999997</v>
      </c>
      <c r="X2002" s="1878" t="str">
        <f t="shared" si="474"/>
        <v xml:space="preserve">23.- C Vikrant 0730809-OT_196004  Reencauche 030-0033918 </v>
      </c>
      <c r="Z2002" s="19" t="str">
        <f t="shared" si="479"/>
        <v>ReencaucheReencauchadora RENOVA</v>
      </c>
    </row>
    <row r="2003" spans="2:26" ht="15.2" customHeight="1">
      <c r="B2003" s="37"/>
      <c r="C2003" s="2">
        <f t="shared" si="483"/>
        <v>67</v>
      </c>
      <c r="D2003" s="3">
        <f t="shared" si="484"/>
        <v>3</v>
      </c>
      <c r="E2003" s="66">
        <v>24</v>
      </c>
      <c r="F2003" s="67" t="s">
        <v>732</v>
      </c>
      <c r="G2003" s="68" t="s">
        <v>737</v>
      </c>
      <c r="H2003" s="69" t="s">
        <v>1389</v>
      </c>
      <c r="I2003" s="68" t="s">
        <v>726</v>
      </c>
      <c r="J2003" s="70" t="s">
        <v>760</v>
      </c>
      <c r="K2003" s="71" t="s">
        <v>1477</v>
      </c>
      <c r="L2003" s="72">
        <v>41730</v>
      </c>
      <c r="M2003" s="73" t="s">
        <v>729</v>
      </c>
      <c r="N2003" s="74">
        <v>41751</v>
      </c>
      <c r="O2003" s="75">
        <f t="shared" si="480"/>
        <v>41751</v>
      </c>
      <c r="P2003" s="2765" t="s">
        <v>1466</v>
      </c>
      <c r="Q2003" s="2954"/>
      <c r="R2003" s="76">
        <v>281.49</v>
      </c>
      <c r="S2003" s="1945" t="s">
        <v>731</v>
      </c>
      <c r="T2003" s="77"/>
      <c r="U2003" s="1893"/>
      <c r="V2003" s="2079">
        <f t="shared" si="475"/>
        <v>0</v>
      </c>
      <c r="W2003" s="78">
        <f t="shared" si="476"/>
        <v>332.15819999999997</v>
      </c>
      <c r="X2003" s="1878" t="str">
        <f t="shared" si="474"/>
        <v xml:space="preserve">24.- C Vikrant 0060109-OT_196004  Reencauche 030-0033918 </v>
      </c>
    </row>
    <row r="2004" spans="2:26" ht="15.2" customHeight="1" outlineLevel="1">
      <c r="B2004" s="37"/>
      <c r="C2004" s="2">
        <f t="shared" si="483"/>
        <v>66</v>
      </c>
      <c r="D2004" s="3">
        <f t="shared" si="484"/>
        <v>2</v>
      </c>
      <c r="E2004" s="66">
        <v>25</v>
      </c>
      <c r="F2004" s="67" t="s">
        <v>732</v>
      </c>
      <c r="G2004" s="68" t="s">
        <v>737</v>
      </c>
      <c r="H2004" s="69" t="s">
        <v>1243</v>
      </c>
      <c r="I2004" s="68" t="s">
        <v>726</v>
      </c>
      <c r="J2004" s="70" t="s">
        <v>760</v>
      </c>
      <c r="K2004" s="71" t="s">
        <v>1477</v>
      </c>
      <c r="L2004" s="72">
        <v>41730</v>
      </c>
      <c r="M2004" s="73" t="s">
        <v>729</v>
      </c>
      <c r="N2004" s="74">
        <v>41751</v>
      </c>
      <c r="O2004" s="75">
        <f t="shared" si="480"/>
        <v>41751</v>
      </c>
      <c r="P2004" s="2765" t="s">
        <v>1466</v>
      </c>
      <c r="Q2004" s="2954"/>
      <c r="R2004" s="76">
        <v>281.49</v>
      </c>
      <c r="S2004" s="1945" t="s">
        <v>731</v>
      </c>
      <c r="T2004" s="77"/>
      <c r="U2004" s="1893"/>
      <c r="V2004" s="2079">
        <f t="shared" si="475"/>
        <v>0</v>
      </c>
      <c r="W2004" s="78">
        <f t="shared" si="476"/>
        <v>332.15819999999997</v>
      </c>
      <c r="X2004" s="1878" t="str">
        <f t="shared" si="474"/>
        <v xml:space="preserve">25.- C Vikrant 1290805-OT_196004  Reencauche 030-0033918 </v>
      </c>
      <c r="Z2004" s="19" t="str">
        <f t="shared" ref="Z2004:Z2040" si="485">CONCATENATE(I2007,J2007)</f>
        <v>Transpl BandaReenc. MASTERCAUCHO</v>
      </c>
    </row>
    <row r="2005" spans="2:26" ht="15.2" customHeight="1" outlineLevel="1">
      <c r="B2005" s="37"/>
      <c r="C2005" s="2">
        <f>1+C2007</f>
        <v>65</v>
      </c>
      <c r="D2005" s="3">
        <v>1</v>
      </c>
      <c r="E2005" s="79">
        <v>26</v>
      </c>
      <c r="F2005" s="80" t="s">
        <v>732</v>
      </c>
      <c r="G2005" s="81" t="s">
        <v>814</v>
      </c>
      <c r="H2005" s="82" t="s">
        <v>1480</v>
      </c>
      <c r="I2005" s="81" t="s">
        <v>726</v>
      </c>
      <c r="J2005" s="83" t="s">
        <v>760</v>
      </c>
      <c r="K2005" s="84" t="s">
        <v>1477</v>
      </c>
      <c r="L2005" s="85">
        <v>41730</v>
      </c>
      <c r="M2005" s="86" t="s">
        <v>729</v>
      </c>
      <c r="N2005" s="87">
        <v>41751</v>
      </c>
      <c r="O2005" s="88">
        <f t="shared" si="480"/>
        <v>41751</v>
      </c>
      <c r="P2005" s="2766" t="s">
        <v>1466</v>
      </c>
      <c r="Q2005" s="2955"/>
      <c r="R2005" s="89">
        <v>281.49</v>
      </c>
      <c r="S2005" s="1946" t="s">
        <v>731</v>
      </c>
      <c r="T2005" s="77"/>
      <c r="U2005" s="1893"/>
      <c r="V2005" s="2079">
        <f t="shared" si="475"/>
        <v>0</v>
      </c>
      <c r="W2005" s="78">
        <f t="shared" si="476"/>
        <v>332.15819999999997</v>
      </c>
      <c r="X2005" s="1878" t="str">
        <f t="shared" si="474"/>
        <v xml:space="preserve">26.- C Birla 0510706-OT_196004  Reencauche 030-0033918 </v>
      </c>
      <c r="Z2005" s="19" t="str">
        <f t="shared" si="485"/>
        <v>Transpl BandaReenc. MASTERCAUCHO</v>
      </c>
    </row>
    <row r="2006" spans="2:26" ht="15.2" customHeight="1" outlineLevel="1">
      <c r="B2006" s="1">
        <v>41699</v>
      </c>
      <c r="C2006" s="1"/>
      <c r="D2006" s="173">
        <f>+D2007</f>
        <v>32</v>
      </c>
      <c r="E2006" s="66"/>
      <c r="F2006" s="67"/>
      <c r="G2006" s="68"/>
      <c r="H2006" s="69"/>
      <c r="I2006" s="68"/>
      <c r="J2006" s="70"/>
      <c r="K2006" s="71"/>
      <c r="L2006" s="72"/>
      <c r="M2006" s="73"/>
      <c r="N2006" s="74"/>
      <c r="O2006" s="75"/>
      <c r="P2006" s="2765"/>
      <c r="Q2006" s="2954"/>
      <c r="R2006" s="76"/>
      <c r="S2006" s="1945"/>
      <c r="T2006" s="77"/>
      <c r="U2006" s="1893"/>
      <c r="V2006" s="2079">
        <f t="shared" si="475"/>
        <v>0</v>
      </c>
      <c r="W2006" s="78">
        <f t="shared" si="476"/>
        <v>0</v>
      </c>
      <c r="X2006" s="1878" t="str">
        <f t="shared" si="474"/>
        <v xml:space="preserve">.-   -OT_    </v>
      </c>
      <c r="Z2006" s="19" t="str">
        <f t="shared" si="485"/>
        <v>Transpl BandaReenc. MASTERCAUCHO</v>
      </c>
    </row>
    <row r="2007" spans="2:26" ht="15.2" customHeight="1" outlineLevel="1">
      <c r="B2007" s="37"/>
      <c r="C2007" s="2">
        <f>1+C2008</f>
        <v>64</v>
      </c>
      <c r="D2007" s="3">
        <v>32</v>
      </c>
      <c r="E2007" s="66">
        <v>1</v>
      </c>
      <c r="F2007" s="67" t="s">
        <v>732</v>
      </c>
      <c r="G2007" s="68" t="s">
        <v>831</v>
      </c>
      <c r="H2007" s="69" t="s">
        <v>832</v>
      </c>
      <c r="I2007" s="90" t="s">
        <v>740</v>
      </c>
      <c r="J2007" s="92" t="s">
        <v>727</v>
      </c>
      <c r="K2007" s="71" t="s">
        <v>1481</v>
      </c>
      <c r="L2007" s="72">
        <v>41712</v>
      </c>
      <c r="M2007" s="73" t="s">
        <v>729</v>
      </c>
      <c r="N2007" s="74">
        <v>41718</v>
      </c>
      <c r="O2007" s="75">
        <f t="shared" ref="O2007:O2043" si="486">+N2007</f>
        <v>41718</v>
      </c>
      <c r="P2007" s="2765" t="s">
        <v>1482</v>
      </c>
      <c r="Q2007" s="2954"/>
      <c r="R2007" s="76">
        <f>150/(1.18)</f>
        <v>127.11864406779662</v>
      </c>
      <c r="S2007" s="1945" t="s">
        <v>731</v>
      </c>
      <c r="T2007" s="77"/>
      <c r="U2007" s="1893"/>
      <c r="V2007" s="2079">
        <f t="shared" si="475"/>
        <v>0</v>
      </c>
      <c r="W2007" s="78">
        <f t="shared" si="476"/>
        <v>150</v>
      </c>
      <c r="X2007" s="1878" t="str">
        <f t="shared" si="474"/>
        <v xml:space="preserve">1.- C Kumho 0230305-OT_000557  Transpl Banda 001-000789 </v>
      </c>
      <c r="Z2007" s="19" t="str">
        <f t="shared" si="485"/>
        <v>Transpl BandaReenc. MASTERCAUCHO</v>
      </c>
    </row>
    <row r="2008" spans="2:26" ht="15.2" customHeight="1" outlineLevel="1">
      <c r="B2008" s="37"/>
      <c r="C2008" s="2">
        <f>1+C2009</f>
        <v>63</v>
      </c>
      <c r="D2008" s="3">
        <v>31</v>
      </c>
      <c r="E2008" s="66">
        <v>2</v>
      </c>
      <c r="F2008" s="67" t="s">
        <v>732</v>
      </c>
      <c r="G2008" s="68" t="s">
        <v>733</v>
      </c>
      <c r="H2008" s="69" t="s">
        <v>1483</v>
      </c>
      <c r="I2008" s="90" t="s">
        <v>740</v>
      </c>
      <c r="J2008" s="92" t="s">
        <v>727</v>
      </c>
      <c r="K2008" s="71" t="s">
        <v>1481</v>
      </c>
      <c r="L2008" s="72">
        <v>41712</v>
      </c>
      <c r="M2008" s="73" t="s">
        <v>729</v>
      </c>
      <c r="N2008" s="74">
        <v>41718</v>
      </c>
      <c r="O2008" s="75">
        <f t="shared" si="486"/>
        <v>41718</v>
      </c>
      <c r="P2008" s="2765" t="s">
        <v>1482</v>
      </c>
      <c r="Q2008" s="2954"/>
      <c r="R2008" s="76">
        <f>150/(1.18)</f>
        <v>127.11864406779662</v>
      </c>
      <c r="S2008" s="1945" t="s">
        <v>731</v>
      </c>
      <c r="T2008" s="77"/>
      <c r="U2008" s="1893"/>
      <c r="V2008" s="2079">
        <f t="shared" si="475"/>
        <v>0</v>
      </c>
      <c r="W2008" s="78">
        <f t="shared" si="476"/>
        <v>150</v>
      </c>
      <c r="X2008" s="1878" t="str">
        <f t="shared" si="474"/>
        <v xml:space="preserve">2.- C Lima Caucho 04540707-OT_000557  Transpl Banda 001-000789 </v>
      </c>
      <c r="Z2008" s="19" t="str">
        <f t="shared" si="485"/>
        <v>Transpl BandaReenc. MASTERCAUCHO</v>
      </c>
    </row>
    <row r="2009" spans="2:26" ht="15.2" customHeight="1" outlineLevel="1">
      <c r="B2009" s="37"/>
      <c r="C2009" s="2">
        <f>1+C2010</f>
        <v>62</v>
      </c>
      <c r="D2009" s="3">
        <v>30</v>
      </c>
      <c r="E2009" s="66">
        <v>3</v>
      </c>
      <c r="F2009" s="67" t="s">
        <v>732</v>
      </c>
      <c r="G2009" s="68" t="s">
        <v>737</v>
      </c>
      <c r="H2009" s="69" t="s">
        <v>1190</v>
      </c>
      <c r="I2009" s="90" t="s">
        <v>740</v>
      </c>
      <c r="J2009" s="92" t="s">
        <v>727</v>
      </c>
      <c r="K2009" s="71" t="s">
        <v>1481</v>
      </c>
      <c r="L2009" s="72">
        <v>41712</v>
      </c>
      <c r="M2009" s="73" t="s">
        <v>729</v>
      </c>
      <c r="N2009" s="74">
        <v>41718</v>
      </c>
      <c r="O2009" s="75">
        <f t="shared" si="486"/>
        <v>41718</v>
      </c>
      <c r="P2009" s="2765" t="s">
        <v>1482</v>
      </c>
      <c r="Q2009" s="2954"/>
      <c r="R2009" s="76">
        <f>150/(1.18)</f>
        <v>127.11864406779662</v>
      </c>
      <c r="S2009" s="1945" t="s">
        <v>731</v>
      </c>
      <c r="T2009" s="77"/>
      <c r="U2009" s="1893"/>
      <c r="V2009" s="2079">
        <f t="shared" si="475"/>
        <v>0</v>
      </c>
      <c r="W2009" s="78">
        <f t="shared" si="476"/>
        <v>150</v>
      </c>
      <c r="X2009" s="1878" t="str">
        <f t="shared" si="474"/>
        <v xml:space="preserve">3.- C Vikrant 1240805-OT_000557  Transpl Banda 001-000789 </v>
      </c>
      <c r="Z2009" s="19" t="str">
        <f t="shared" si="485"/>
        <v>Sacar_BandaReenc. MASTERCAUCHO</v>
      </c>
    </row>
    <row r="2010" spans="2:26" ht="15.2" customHeight="1" outlineLevel="1">
      <c r="B2010" s="37"/>
      <c r="C2010" s="2">
        <f>1+C2011</f>
        <v>61</v>
      </c>
      <c r="D2010" s="3">
        <v>29</v>
      </c>
      <c r="E2010" s="66">
        <v>4</v>
      </c>
      <c r="F2010" s="67" t="s">
        <v>732</v>
      </c>
      <c r="G2010" s="68" t="s">
        <v>733</v>
      </c>
      <c r="H2010" s="69" t="s">
        <v>1484</v>
      </c>
      <c r="I2010" s="90" t="s">
        <v>740</v>
      </c>
      <c r="J2010" s="92" t="s">
        <v>727</v>
      </c>
      <c r="K2010" s="71" t="s">
        <v>1481</v>
      </c>
      <c r="L2010" s="72">
        <v>41712</v>
      </c>
      <c r="M2010" s="73" t="s">
        <v>729</v>
      </c>
      <c r="N2010" s="74">
        <v>41718</v>
      </c>
      <c r="O2010" s="75">
        <f t="shared" si="486"/>
        <v>41718</v>
      </c>
      <c r="P2010" s="2765" t="s">
        <v>1482</v>
      </c>
      <c r="Q2010" s="2954"/>
      <c r="R2010" s="76">
        <f>150/(1.18)</f>
        <v>127.11864406779662</v>
      </c>
      <c r="S2010" s="1945" t="s">
        <v>731</v>
      </c>
      <c r="T2010" s="77"/>
      <c r="U2010" s="1893"/>
      <c r="V2010" s="2079">
        <f t="shared" si="475"/>
        <v>0</v>
      </c>
      <c r="W2010" s="78">
        <f t="shared" si="476"/>
        <v>150</v>
      </c>
      <c r="X2010" s="1878" t="str">
        <f t="shared" si="474"/>
        <v xml:space="preserve">4.- C Lima Caucho 1261207-OT_000557  Transpl Banda 001-000789 </v>
      </c>
      <c r="Z2010" s="19" t="str">
        <f t="shared" si="485"/>
        <v>Sacar_BandaReenc. MASTERCAUCHO</v>
      </c>
    </row>
    <row r="2011" spans="2:26" ht="15.2" customHeight="1" outlineLevel="1">
      <c r="B2011" s="37"/>
      <c r="C2011" s="2">
        <f>1+C2017</f>
        <v>60</v>
      </c>
      <c r="D2011" s="3">
        <v>28</v>
      </c>
      <c r="E2011" s="66">
        <v>5</v>
      </c>
      <c r="F2011" s="67" t="s">
        <v>732</v>
      </c>
      <c r="G2011" s="68" t="s">
        <v>776</v>
      </c>
      <c r="H2011" s="69" t="s">
        <v>1485</v>
      </c>
      <c r="I2011" s="90" t="s">
        <v>740</v>
      </c>
      <c r="J2011" s="92" t="s">
        <v>727</v>
      </c>
      <c r="K2011" s="71" t="s">
        <v>1481</v>
      </c>
      <c r="L2011" s="72">
        <v>41712</v>
      </c>
      <c r="M2011" s="73" t="s">
        <v>729</v>
      </c>
      <c r="N2011" s="74">
        <v>41718</v>
      </c>
      <c r="O2011" s="75">
        <f t="shared" si="486"/>
        <v>41718</v>
      </c>
      <c r="P2011" s="2765" t="s">
        <v>1482</v>
      </c>
      <c r="Q2011" s="2954"/>
      <c r="R2011" s="76">
        <f>150/(1.18)</f>
        <v>127.11864406779662</v>
      </c>
      <c r="S2011" s="1945" t="s">
        <v>731</v>
      </c>
      <c r="T2011" s="77"/>
      <c r="U2011" s="1893"/>
      <c r="V2011" s="2079">
        <f t="shared" si="475"/>
        <v>0</v>
      </c>
      <c r="W2011" s="78">
        <f t="shared" si="476"/>
        <v>150</v>
      </c>
      <c r="X2011" s="1878" t="str">
        <f t="shared" si="474"/>
        <v xml:space="preserve">5.- C Altura 0660911-OT_000557  Transpl Banda 001-000789 </v>
      </c>
      <c r="Z2011" s="19" t="str">
        <f t="shared" si="485"/>
        <v>Sacar_BandaReenc. MASTERCAUCHO</v>
      </c>
    </row>
    <row r="2012" spans="2:26" ht="15.2" customHeight="1" outlineLevel="1">
      <c r="B2012" s="37"/>
      <c r="E2012" s="66">
        <v>6</v>
      </c>
      <c r="F2012" s="67" t="s">
        <v>732</v>
      </c>
      <c r="G2012" s="68" t="s">
        <v>733</v>
      </c>
      <c r="H2012" s="69" t="s">
        <v>1486</v>
      </c>
      <c r="I2012" s="90" t="s">
        <v>744</v>
      </c>
      <c r="J2012" s="92" t="s">
        <v>727</v>
      </c>
      <c r="K2012" s="71" t="s">
        <v>1481</v>
      </c>
      <c r="L2012" s="72">
        <v>41712</v>
      </c>
      <c r="M2012" s="73" t="s">
        <v>729</v>
      </c>
      <c r="N2012" s="74">
        <v>41718</v>
      </c>
      <c r="O2012" s="75">
        <f t="shared" si="486"/>
        <v>41718</v>
      </c>
      <c r="P2012" s="2765" t="s">
        <v>1482</v>
      </c>
      <c r="Q2012" s="2954"/>
      <c r="R2012" s="76">
        <v>0</v>
      </c>
      <c r="S2012" s="1945" t="s">
        <v>731</v>
      </c>
      <c r="T2012" s="77"/>
      <c r="U2012" s="1893"/>
      <c r="V2012" s="2079">
        <f t="shared" si="475"/>
        <v>0</v>
      </c>
      <c r="W2012" s="78">
        <f t="shared" si="476"/>
        <v>0</v>
      </c>
      <c r="X2012" s="1878" t="str">
        <f t="shared" si="474"/>
        <v xml:space="preserve">6.- C Lima Caucho 1041210-OT_000557  Sacar_Banda 001-000789 </v>
      </c>
      <c r="Z2012" s="19" t="str">
        <f t="shared" si="485"/>
        <v>Sacar_BandaReenc. MASTERCAUCHO</v>
      </c>
    </row>
    <row r="2013" spans="2:26" ht="15.2" customHeight="1" outlineLevel="1">
      <c r="B2013" s="37"/>
      <c r="E2013" s="66">
        <v>7</v>
      </c>
      <c r="F2013" s="67" t="s">
        <v>732</v>
      </c>
      <c r="G2013" s="68" t="s">
        <v>737</v>
      </c>
      <c r="H2013" s="69" t="s">
        <v>1487</v>
      </c>
      <c r="I2013" s="90" t="s">
        <v>744</v>
      </c>
      <c r="J2013" s="92" t="s">
        <v>727</v>
      </c>
      <c r="K2013" s="71" t="s">
        <v>1481</v>
      </c>
      <c r="L2013" s="72">
        <v>41712</v>
      </c>
      <c r="M2013" s="73" t="s">
        <v>729</v>
      </c>
      <c r="N2013" s="74">
        <v>41718</v>
      </c>
      <c r="O2013" s="75">
        <f t="shared" si="486"/>
        <v>41718</v>
      </c>
      <c r="P2013" s="2765" t="s">
        <v>1482</v>
      </c>
      <c r="Q2013" s="2954"/>
      <c r="R2013" s="76">
        <v>0</v>
      </c>
      <c r="S2013" s="1945" t="s">
        <v>731</v>
      </c>
      <c r="T2013" s="77"/>
      <c r="U2013" s="1893"/>
      <c r="V2013" s="2079">
        <f t="shared" si="475"/>
        <v>0</v>
      </c>
      <c r="W2013" s="78">
        <f t="shared" si="476"/>
        <v>0</v>
      </c>
      <c r="X2013" s="1878" t="str">
        <f t="shared" si="474"/>
        <v xml:space="preserve">7.- C Vikrant 1571105-OT_000557  Sacar_Banda 001-000789 </v>
      </c>
      <c r="Z2013" s="19" t="str">
        <f t="shared" si="485"/>
        <v>Vulcanizado (curación)Reenc. MASTERCAUCHO</v>
      </c>
    </row>
    <row r="2014" spans="2:26" ht="15.2" customHeight="1" outlineLevel="1">
      <c r="B2014" s="37"/>
      <c r="E2014" s="66">
        <v>8</v>
      </c>
      <c r="F2014" s="67" t="s">
        <v>732</v>
      </c>
      <c r="G2014" s="68" t="s">
        <v>757</v>
      </c>
      <c r="H2014" s="69" t="s">
        <v>1488</v>
      </c>
      <c r="I2014" s="90" t="s">
        <v>744</v>
      </c>
      <c r="J2014" s="92" t="s">
        <v>727</v>
      </c>
      <c r="K2014" s="71" t="s">
        <v>1481</v>
      </c>
      <c r="L2014" s="72">
        <v>41712</v>
      </c>
      <c r="M2014" s="73" t="s">
        <v>729</v>
      </c>
      <c r="N2014" s="74">
        <v>41718</v>
      </c>
      <c r="O2014" s="75">
        <f t="shared" si="486"/>
        <v>41718</v>
      </c>
      <c r="P2014" s="2765" t="s">
        <v>1482</v>
      </c>
      <c r="Q2014" s="2954"/>
      <c r="R2014" s="76">
        <v>0</v>
      </c>
      <c r="S2014" s="1945" t="s">
        <v>731</v>
      </c>
      <c r="T2014" s="77"/>
      <c r="U2014" s="1893"/>
      <c r="V2014" s="2079">
        <f t="shared" si="475"/>
        <v>0</v>
      </c>
      <c r="W2014" s="78">
        <f t="shared" si="476"/>
        <v>0</v>
      </c>
      <c r="X2014" s="1878" t="str">
        <f t="shared" si="474"/>
        <v xml:space="preserve">8.- C Goodyear 1941204-OT_000557  Sacar_Banda 001-000789 </v>
      </c>
      <c r="Z2014" s="19" t="str">
        <f t="shared" si="485"/>
        <v>ReencaucheReencauchadora RENOVA</v>
      </c>
    </row>
    <row r="2015" spans="2:26" ht="15.2" customHeight="1" outlineLevel="1">
      <c r="B2015" s="37"/>
      <c r="E2015" s="66">
        <v>9</v>
      </c>
      <c r="F2015" s="67" t="s">
        <v>732</v>
      </c>
      <c r="G2015" s="68" t="s">
        <v>737</v>
      </c>
      <c r="H2015" s="69" t="s">
        <v>1489</v>
      </c>
      <c r="I2015" s="90" t="s">
        <v>744</v>
      </c>
      <c r="J2015" s="92" t="s">
        <v>727</v>
      </c>
      <c r="K2015" s="71" t="s">
        <v>1481</v>
      </c>
      <c r="L2015" s="72">
        <v>41712</v>
      </c>
      <c r="M2015" s="73" t="s">
        <v>729</v>
      </c>
      <c r="N2015" s="74">
        <v>41718</v>
      </c>
      <c r="O2015" s="75">
        <f t="shared" si="486"/>
        <v>41718</v>
      </c>
      <c r="P2015" s="2765" t="s">
        <v>1482</v>
      </c>
      <c r="Q2015" s="2954"/>
      <c r="R2015" s="76">
        <v>0</v>
      </c>
      <c r="S2015" s="1945" t="s">
        <v>731</v>
      </c>
      <c r="T2015" s="77"/>
      <c r="U2015" s="1893"/>
      <c r="V2015" s="2079">
        <f t="shared" si="475"/>
        <v>0</v>
      </c>
      <c r="W2015" s="78">
        <f t="shared" si="476"/>
        <v>0</v>
      </c>
      <c r="X2015" s="1878" t="str">
        <f t="shared" si="474"/>
        <v xml:space="preserve">9.- C Vikrant 0650906-OT_000557  Sacar_Banda 001-000789 </v>
      </c>
      <c r="Z2015" s="19" t="str">
        <f t="shared" si="485"/>
        <v>ReencaucheReencauchadora RENOVA</v>
      </c>
    </row>
    <row r="2016" spans="2:26" ht="15.2" customHeight="1" outlineLevel="1">
      <c r="B2016" s="37"/>
      <c r="E2016" s="79">
        <v>10</v>
      </c>
      <c r="F2016" s="80" t="s">
        <v>732</v>
      </c>
      <c r="G2016" s="81" t="s">
        <v>733</v>
      </c>
      <c r="H2016" s="82" t="s">
        <v>1490</v>
      </c>
      <c r="I2016" s="150" t="s">
        <v>811</v>
      </c>
      <c r="J2016" s="152" t="s">
        <v>727</v>
      </c>
      <c r="K2016" s="84" t="s">
        <v>1481</v>
      </c>
      <c r="L2016" s="85">
        <v>41712</v>
      </c>
      <c r="M2016" s="86" t="s">
        <v>729</v>
      </c>
      <c r="N2016" s="87">
        <v>41718</v>
      </c>
      <c r="O2016" s="88">
        <f t="shared" si="486"/>
        <v>41718</v>
      </c>
      <c r="P2016" s="2766" t="s">
        <v>1482</v>
      </c>
      <c r="Q2016" s="2955"/>
      <c r="R2016" s="89">
        <f>125/(1.18)</f>
        <v>105.93220338983052</v>
      </c>
      <c r="S2016" s="1946" t="s">
        <v>731</v>
      </c>
      <c r="T2016" s="77"/>
      <c r="U2016" s="1893"/>
      <c r="V2016" s="2079">
        <f t="shared" si="475"/>
        <v>0</v>
      </c>
      <c r="W2016" s="78">
        <f t="shared" si="476"/>
        <v>125</v>
      </c>
      <c r="X2016" s="1878" t="str">
        <f t="shared" si="474"/>
        <v xml:space="preserve">10.- C Lima Caucho 0371112-OT_000557  Vulcanizado (curación) 001-000789 </v>
      </c>
      <c r="Z2016" s="19" t="str">
        <f t="shared" si="485"/>
        <v>ReencaucheReencauchadora RENOVA</v>
      </c>
    </row>
    <row r="2017" spans="2:26" ht="15.2" customHeight="1" outlineLevel="1">
      <c r="B2017" s="37"/>
      <c r="C2017" s="2">
        <f t="shared" ref="C2017:C2042" si="487">1+C2018</f>
        <v>59</v>
      </c>
      <c r="D2017" s="3">
        <f t="shared" ref="D2017:D2042" si="488">1+D2018</f>
        <v>27</v>
      </c>
      <c r="E2017" s="66">
        <v>1</v>
      </c>
      <c r="F2017" s="67" t="s">
        <v>732</v>
      </c>
      <c r="G2017" s="68" t="s">
        <v>737</v>
      </c>
      <c r="H2017" s="69" t="s">
        <v>1265</v>
      </c>
      <c r="I2017" s="68" t="s">
        <v>726</v>
      </c>
      <c r="J2017" s="70" t="s">
        <v>760</v>
      </c>
      <c r="K2017" s="71" t="s">
        <v>1491</v>
      </c>
      <c r="L2017" s="72">
        <v>41706</v>
      </c>
      <c r="M2017" s="73" t="s">
        <v>729</v>
      </c>
      <c r="N2017" s="74">
        <v>41713</v>
      </c>
      <c r="O2017" s="75">
        <f t="shared" si="486"/>
        <v>41713</v>
      </c>
      <c r="P2017" s="2765" t="s">
        <v>1492</v>
      </c>
      <c r="Q2017" s="2954"/>
      <c r="R2017" s="76">
        <v>281.49</v>
      </c>
      <c r="S2017" s="1945" t="s">
        <v>731</v>
      </c>
      <c r="T2017" s="77"/>
      <c r="U2017" s="1893"/>
      <c r="V2017" s="2079">
        <f t="shared" si="475"/>
        <v>0</v>
      </c>
      <c r="W2017" s="78">
        <f t="shared" si="476"/>
        <v>332.15819999999997</v>
      </c>
      <c r="X2017" s="1878" t="str">
        <f t="shared" si="474"/>
        <v xml:space="preserve">1.- C Vikrant 06022010-OT_195659  Reencauche 030-033336 </v>
      </c>
      <c r="Z2017" s="19" t="str">
        <f t="shared" si="485"/>
        <v>ReencaucheReencauchadora RENOVA</v>
      </c>
    </row>
    <row r="2018" spans="2:26" ht="15.2" customHeight="1" outlineLevel="1">
      <c r="B2018" s="37"/>
      <c r="C2018" s="2">
        <f t="shared" si="487"/>
        <v>58</v>
      </c>
      <c r="D2018" s="3">
        <f t="shared" si="488"/>
        <v>26</v>
      </c>
      <c r="E2018" s="66">
        <v>2</v>
      </c>
      <c r="F2018" s="67" t="s">
        <v>732</v>
      </c>
      <c r="G2018" s="68" t="s">
        <v>737</v>
      </c>
      <c r="H2018" s="69" t="s">
        <v>1493</v>
      </c>
      <c r="I2018" s="68" t="s">
        <v>726</v>
      </c>
      <c r="J2018" s="70" t="s">
        <v>760</v>
      </c>
      <c r="K2018" s="71" t="s">
        <v>1491</v>
      </c>
      <c r="L2018" s="72">
        <v>41706</v>
      </c>
      <c r="M2018" s="73" t="s">
        <v>729</v>
      </c>
      <c r="N2018" s="74">
        <v>41713</v>
      </c>
      <c r="O2018" s="75">
        <f t="shared" si="486"/>
        <v>41713</v>
      </c>
      <c r="P2018" s="2765" t="s">
        <v>1492</v>
      </c>
      <c r="Q2018" s="2954"/>
      <c r="R2018" s="76">
        <v>281.49</v>
      </c>
      <c r="S2018" s="1945" t="s">
        <v>731</v>
      </c>
      <c r="T2018" s="77"/>
      <c r="U2018" s="1893"/>
      <c r="V2018" s="2079">
        <f t="shared" si="475"/>
        <v>0</v>
      </c>
      <c r="W2018" s="78">
        <f t="shared" si="476"/>
        <v>332.15819999999997</v>
      </c>
      <c r="X2018" s="1878" t="str">
        <f t="shared" ref="X2018:X2081" si="489">CONCATENATE(E2018,".- ",F2018," ",G2018," ",H2018,"-OT_",K2018," "," ",I2018," ",P2018," ",T2018)</f>
        <v xml:space="preserve">2.- C Vikrant 030022010-OT_195659  Reencauche 030-033336 </v>
      </c>
      <c r="Z2018" s="19" t="str">
        <f t="shared" si="485"/>
        <v>ReencaucheReencauchadora RENOVA</v>
      </c>
    </row>
    <row r="2019" spans="2:26" ht="15.2" customHeight="1" outlineLevel="1">
      <c r="B2019" s="37"/>
      <c r="C2019" s="2">
        <f t="shared" si="487"/>
        <v>57</v>
      </c>
      <c r="D2019" s="3">
        <f t="shared" si="488"/>
        <v>25</v>
      </c>
      <c r="E2019" s="66">
        <v>3</v>
      </c>
      <c r="F2019" s="67" t="s">
        <v>732</v>
      </c>
      <c r="G2019" s="68" t="s">
        <v>737</v>
      </c>
      <c r="H2019" s="69" t="s">
        <v>1031</v>
      </c>
      <c r="I2019" s="68" t="s">
        <v>726</v>
      </c>
      <c r="J2019" s="70" t="s">
        <v>760</v>
      </c>
      <c r="K2019" s="71" t="s">
        <v>1491</v>
      </c>
      <c r="L2019" s="72">
        <v>41706</v>
      </c>
      <c r="M2019" s="73" t="s">
        <v>729</v>
      </c>
      <c r="N2019" s="74">
        <v>41713</v>
      </c>
      <c r="O2019" s="75">
        <f t="shared" si="486"/>
        <v>41713</v>
      </c>
      <c r="P2019" s="2765" t="s">
        <v>1492</v>
      </c>
      <c r="Q2019" s="2954"/>
      <c r="R2019" s="76">
        <v>281.49</v>
      </c>
      <c r="S2019" s="1945" t="s">
        <v>731</v>
      </c>
      <c r="T2019" s="77"/>
      <c r="U2019" s="1893"/>
      <c r="V2019" s="2079">
        <f t="shared" ref="V2019:V2082" si="490">+Q2019*(1.18)</f>
        <v>0</v>
      </c>
      <c r="W2019" s="78">
        <f t="shared" ref="W2019:W2082" si="491">+R2019*(1.18)</f>
        <v>332.15819999999997</v>
      </c>
      <c r="X2019" s="1878" t="str">
        <f t="shared" si="489"/>
        <v xml:space="preserve">3.- C Vikrant 0840505-OT_195659  Reencauche 030-033336 </v>
      </c>
      <c r="Z2019" s="19" t="str">
        <f t="shared" si="485"/>
        <v>ReencaucheReencauchadora RENOVA</v>
      </c>
    </row>
    <row r="2020" spans="2:26" ht="15.2" customHeight="1" outlineLevel="1">
      <c r="B2020" s="37"/>
      <c r="C2020" s="2">
        <f t="shared" si="487"/>
        <v>56</v>
      </c>
      <c r="D2020" s="3">
        <f t="shared" si="488"/>
        <v>24</v>
      </c>
      <c r="E2020" s="66">
        <v>4</v>
      </c>
      <c r="F2020" s="67" t="s">
        <v>732</v>
      </c>
      <c r="G2020" s="68" t="s">
        <v>737</v>
      </c>
      <c r="H2020" s="69" t="s">
        <v>1280</v>
      </c>
      <c r="I2020" s="68" t="s">
        <v>726</v>
      </c>
      <c r="J2020" s="70" t="s">
        <v>760</v>
      </c>
      <c r="K2020" s="71" t="s">
        <v>1491</v>
      </c>
      <c r="L2020" s="72">
        <v>41706</v>
      </c>
      <c r="M2020" s="73" t="s">
        <v>729</v>
      </c>
      <c r="N2020" s="74">
        <v>41713</v>
      </c>
      <c r="O2020" s="75">
        <f t="shared" si="486"/>
        <v>41713</v>
      </c>
      <c r="P2020" s="2765" t="s">
        <v>1492</v>
      </c>
      <c r="Q2020" s="2954"/>
      <c r="R2020" s="76">
        <v>281.49</v>
      </c>
      <c r="S2020" s="1945" t="s">
        <v>731</v>
      </c>
      <c r="T2020" s="77"/>
      <c r="U2020" s="1893"/>
      <c r="V2020" s="2079">
        <f t="shared" si="490"/>
        <v>0</v>
      </c>
      <c r="W2020" s="78">
        <f t="shared" si="491"/>
        <v>332.15819999999997</v>
      </c>
      <c r="X2020" s="1878" t="str">
        <f t="shared" si="489"/>
        <v xml:space="preserve">4.- C Vikrant 0410506-OT_195659  Reencauche 030-033336 </v>
      </c>
      <c r="Z2020" s="19" t="str">
        <f t="shared" si="485"/>
        <v>ReencaucheReencauchadora RENOVA</v>
      </c>
    </row>
    <row r="2021" spans="2:26" ht="15.2" customHeight="1" outlineLevel="1">
      <c r="B2021" s="37"/>
      <c r="C2021" s="2">
        <f t="shared" si="487"/>
        <v>55</v>
      </c>
      <c r="D2021" s="3">
        <f t="shared" si="488"/>
        <v>23</v>
      </c>
      <c r="E2021" s="66">
        <v>5</v>
      </c>
      <c r="F2021" s="67" t="s">
        <v>732</v>
      </c>
      <c r="G2021" s="68" t="s">
        <v>737</v>
      </c>
      <c r="H2021" s="69" t="s">
        <v>1167</v>
      </c>
      <c r="I2021" s="68" t="s">
        <v>726</v>
      </c>
      <c r="J2021" s="70" t="s">
        <v>760</v>
      </c>
      <c r="K2021" s="71" t="s">
        <v>1491</v>
      </c>
      <c r="L2021" s="72">
        <v>41706</v>
      </c>
      <c r="M2021" s="73" t="s">
        <v>729</v>
      </c>
      <c r="N2021" s="74">
        <v>41713</v>
      </c>
      <c r="O2021" s="75">
        <f t="shared" si="486"/>
        <v>41713</v>
      </c>
      <c r="P2021" s="2765" t="s">
        <v>1492</v>
      </c>
      <c r="Q2021" s="2954"/>
      <c r="R2021" s="76">
        <v>281.49</v>
      </c>
      <c r="S2021" s="1945" t="s">
        <v>731</v>
      </c>
      <c r="T2021" s="77"/>
      <c r="U2021" s="1893"/>
      <c r="V2021" s="2079">
        <f t="shared" si="490"/>
        <v>0</v>
      </c>
      <c r="W2021" s="78">
        <f t="shared" si="491"/>
        <v>332.15819999999997</v>
      </c>
      <c r="X2021" s="1878" t="str">
        <f t="shared" si="489"/>
        <v xml:space="preserve">5.- C Vikrant 0270410-OT_195659  Reencauche 030-033336 </v>
      </c>
      <c r="Z2021" s="19" t="str">
        <f t="shared" si="485"/>
        <v>ReencaucheReencauchadora RENOVA</v>
      </c>
    </row>
    <row r="2022" spans="2:26" ht="15.2" customHeight="1" outlineLevel="1">
      <c r="B2022" s="37"/>
      <c r="C2022" s="2">
        <f t="shared" si="487"/>
        <v>54</v>
      </c>
      <c r="D2022" s="3">
        <f t="shared" si="488"/>
        <v>22</v>
      </c>
      <c r="E2022" s="66">
        <v>6</v>
      </c>
      <c r="F2022" s="67" t="s">
        <v>732</v>
      </c>
      <c r="G2022" s="68" t="s">
        <v>737</v>
      </c>
      <c r="H2022" s="69" t="s">
        <v>1494</v>
      </c>
      <c r="I2022" s="68" t="s">
        <v>726</v>
      </c>
      <c r="J2022" s="70" t="s">
        <v>760</v>
      </c>
      <c r="K2022" s="71" t="s">
        <v>1491</v>
      </c>
      <c r="L2022" s="72">
        <v>41706</v>
      </c>
      <c r="M2022" s="73" t="s">
        <v>729</v>
      </c>
      <c r="N2022" s="74">
        <v>41713</v>
      </c>
      <c r="O2022" s="75">
        <f t="shared" si="486"/>
        <v>41713</v>
      </c>
      <c r="P2022" s="2765" t="s">
        <v>1492</v>
      </c>
      <c r="Q2022" s="2974"/>
      <c r="R2022" s="76">
        <v>281.49</v>
      </c>
      <c r="S2022" s="1945" t="s">
        <v>731</v>
      </c>
      <c r="T2022" s="77"/>
      <c r="U2022" s="1893"/>
      <c r="V2022" s="2079">
        <f t="shared" si="490"/>
        <v>0</v>
      </c>
      <c r="W2022" s="78">
        <f t="shared" si="491"/>
        <v>332.15819999999997</v>
      </c>
      <c r="X2022" s="1878" t="str">
        <f t="shared" si="489"/>
        <v xml:space="preserve">6.- C Vikrant 0690906-OT_195659  Reencauche 030-033336 </v>
      </c>
      <c r="Z2022" s="19" t="str">
        <f t="shared" si="485"/>
        <v>ReencaucheReencauchadora RENOVA</v>
      </c>
    </row>
    <row r="2023" spans="2:26" ht="15.2" customHeight="1" outlineLevel="1">
      <c r="B2023" s="37"/>
      <c r="C2023" s="2">
        <f t="shared" si="487"/>
        <v>53</v>
      </c>
      <c r="D2023" s="3">
        <f t="shared" si="488"/>
        <v>21</v>
      </c>
      <c r="E2023" s="66">
        <v>7</v>
      </c>
      <c r="F2023" s="67" t="s">
        <v>732</v>
      </c>
      <c r="G2023" s="68" t="s">
        <v>737</v>
      </c>
      <c r="H2023" s="69" t="s">
        <v>1199</v>
      </c>
      <c r="I2023" s="68" t="s">
        <v>726</v>
      </c>
      <c r="J2023" s="70" t="s">
        <v>760</v>
      </c>
      <c r="K2023" s="71" t="s">
        <v>1491</v>
      </c>
      <c r="L2023" s="72">
        <v>41706</v>
      </c>
      <c r="M2023" s="73" t="s">
        <v>729</v>
      </c>
      <c r="N2023" s="74">
        <v>41713</v>
      </c>
      <c r="O2023" s="75">
        <f t="shared" si="486"/>
        <v>41713</v>
      </c>
      <c r="P2023" s="2765" t="s">
        <v>1492</v>
      </c>
      <c r="Q2023" s="2954"/>
      <c r="R2023" s="76">
        <v>281.49</v>
      </c>
      <c r="S2023" s="1945" t="s">
        <v>731</v>
      </c>
      <c r="T2023" s="77"/>
      <c r="U2023" s="1893"/>
      <c r="V2023" s="2079">
        <f t="shared" si="490"/>
        <v>0</v>
      </c>
      <c r="W2023" s="78">
        <f t="shared" si="491"/>
        <v>332.15819999999997</v>
      </c>
      <c r="X2023" s="1878" t="str">
        <f t="shared" si="489"/>
        <v xml:space="preserve">7.- C Vikrant 0040109-OT_195659  Reencauche 030-033336 </v>
      </c>
      <c r="Z2023" s="19" t="str">
        <f t="shared" si="485"/>
        <v>ReencaucheReencauchadora RENOVA</v>
      </c>
    </row>
    <row r="2024" spans="2:26" ht="15.2" customHeight="1" outlineLevel="1">
      <c r="B2024" s="37"/>
      <c r="C2024" s="2">
        <f t="shared" si="487"/>
        <v>52</v>
      </c>
      <c r="D2024" s="3">
        <f t="shared" si="488"/>
        <v>20</v>
      </c>
      <c r="E2024" s="66">
        <v>8</v>
      </c>
      <c r="F2024" s="67" t="s">
        <v>732</v>
      </c>
      <c r="G2024" s="68" t="s">
        <v>737</v>
      </c>
      <c r="H2024" s="69" t="s">
        <v>1495</v>
      </c>
      <c r="I2024" s="68" t="s">
        <v>726</v>
      </c>
      <c r="J2024" s="70" t="s">
        <v>760</v>
      </c>
      <c r="K2024" s="71" t="s">
        <v>1491</v>
      </c>
      <c r="L2024" s="72">
        <v>41706</v>
      </c>
      <c r="M2024" s="73" t="s">
        <v>729</v>
      </c>
      <c r="N2024" s="74">
        <v>41713</v>
      </c>
      <c r="O2024" s="75">
        <f t="shared" si="486"/>
        <v>41713</v>
      </c>
      <c r="P2024" s="2765" t="s">
        <v>1492</v>
      </c>
      <c r="Q2024" s="2954"/>
      <c r="R2024" s="76">
        <v>281.49</v>
      </c>
      <c r="S2024" s="1945" t="s">
        <v>731</v>
      </c>
      <c r="T2024" s="77"/>
      <c r="U2024" s="1893"/>
      <c r="V2024" s="2079">
        <f t="shared" si="490"/>
        <v>0</v>
      </c>
      <c r="W2024" s="78">
        <f t="shared" si="491"/>
        <v>332.15819999999997</v>
      </c>
      <c r="X2024" s="1878" t="str">
        <f t="shared" si="489"/>
        <v xml:space="preserve">8.- C Vikrant 0210712-OT_195659  Reencauche 030-033336 </v>
      </c>
      <c r="Z2024" s="19" t="str">
        <f t="shared" si="485"/>
        <v>ReencaucheReencauchadora RENOVA</v>
      </c>
    </row>
    <row r="2025" spans="2:26" ht="15.2" customHeight="1" outlineLevel="1">
      <c r="B2025" s="37"/>
      <c r="C2025" s="2">
        <f t="shared" si="487"/>
        <v>51</v>
      </c>
      <c r="D2025" s="3">
        <f t="shared" si="488"/>
        <v>19</v>
      </c>
      <c r="E2025" s="66">
        <v>9</v>
      </c>
      <c r="F2025" s="67" t="s">
        <v>732</v>
      </c>
      <c r="G2025" s="68" t="s">
        <v>737</v>
      </c>
      <c r="H2025" s="69" t="s">
        <v>1325</v>
      </c>
      <c r="I2025" s="68" t="s">
        <v>726</v>
      </c>
      <c r="J2025" s="70" t="s">
        <v>760</v>
      </c>
      <c r="K2025" s="71" t="s">
        <v>1491</v>
      </c>
      <c r="L2025" s="72">
        <v>41706</v>
      </c>
      <c r="M2025" s="73" t="s">
        <v>729</v>
      </c>
      <c r="N2025" s="74">
        <v>41713</v>
      </c>
      <c r="O2025" s="75">
        <f t="shared" si="486"/>
        <v>41713</v>
      </c>
      <c r="P2025" s="2765" t="s">
        <v>1492</v>
      </c>
      <c r="Q2025" s="2954"/>
      <c r="R2025" s="76">
        <v>281.49</v>
      </c>
      <c r="S2025" s="1945" t="s">
        <v>731</v>
      </c>
      <c r="T2025" s="77"/>
      <c r="U2025" s="1893"/>
      <c r="V2025" s="2079">
        <f t="shared" si="490"/>
        <v>0</v>
      </c>
      <c r="W2025" s="78">
        <f t="shared" si="491"/>
        <v>332.15819999999997</v>
      </c>
      <c r="X2025" s="1878" t="str">
        <f t="shared" si="489"/>
        <v xml:space="preserve">9.- C Vikrant 0080312-OT_195659  Reencauche 030-033336 </v>
      </c>
      <c r="Z2025" s="19" t="str">
        <f t="shared" si="485"/>
        <v>ReencaucheReencauchadora RENOVA</v>
      </c>
    </row>
    <row r="2026" spans="2:26" ht="15.2" customHeight="1" outlineLevel="1">
      <c r="B2026" s="37"/>
      <c r="C2026" s="2">
        <f t="shared" si="487"/>
        <v>50</v>
      </c>
      <c r="D2026" s="3">
        <f t="shared" si="488"/>
        <v>18</v>
      </c>
      <c r="E2026" s="66">
        <v>10</v>
      </c>
      <c r="F2026" s="67" t="s">
        <v>732</v>
      </c>
      <c r="G2026" s="68" t="s">
        <v>737</v>
      </c>
      <c r="H2026" s="69" t="s">
        <v>794</v>
      </c>
      <c r="I2026" s="68" t="s">
        <v>726</v>
      </c>
      <c r="J2026" s="70" t="s">
        <v>760</v>
      </c>
      <c r="K2026" s="71" t="s">
        <v>1491</v>
      </c>
      <c r="L2026" s="72">
        <v>41706</v>
      </c>
      <c r="M2026" s="73" t="s">
        <v>729</v>
      </c>
      <c r="N2026" s="74">
        <v>41713</v>
      </c>
      <c r="O2026" s="75">
        <f t="shared" si="486"/>
        <v>41713</v>
      </c>
      <c r="P2026" s="2765" t="s">
        <v>1492</v>
      </c>
      <c r="Q2026" s="2954"/>
      <c r="R2026" s="76">
        <v>281.49</v>
      </c>
      <c r="S2026" s="1945" t="s">
        <v>731</v>
      </c>
      <c r="T2026" s="77"/>
      <c r="U2026" s="1893"/>
      <c r="V2026" s="2079">
        <f t="shared" si="490"/>
        <v>0</v>
      </c>
      <c r="W2026" s="78">
        <f t="shared" si="491"/>
        <v>332.15819999999997</v>
      </c>
      <c r="X2026" s="1878" t="str">
        <f t="shared" si="489"/>
        <v xml:space="preserve">10.- C Vikrant 0570709-OT_195659  Reencauche 030-033336 </v>
      </c>
      <c r="Z2026" s="19" t="str">
        <f t="shared" si="485"/>
        <v>ReencaucheReencauchadora RENOVA</v>
      </c>
    </row>
    <row r="2027" spans="2:26" ht="15.2" customHeight="1" outlineLevel="1">
      <c r="B2027" s="37"/>
      <c r="C2027" s="2">
        <f t="shared" si="487"/>
        <v>49</v>
      </c>
      <c r="D2027" s="3">
        <f t="shared" si="488"/>
        <v>17</v>
      </c>
      <c r="E2027" s="66">
        <v>11</v>
      </c>
      <c r="F2027" s="67" t="s">
        <v>732</v>
      </c>
      <c r="G2027" s="68" t="s">
        <v>737</v>
      </c>
      <c r="H2027" s="69" t="s">
        <v>1496</v>
      </c>
      <c r="I2027" s="68" t="s">
        <v>726</v>
      </c>
      <c r="J2027" s="70" t="s">
        <v>760</v>
      </c>
      <c r="K2027" s="71" t="s">
        <v>1497</v>
      </c>
      <c r="L2027" s="72">
        <v>41706</v>
      </c>
      <c r="M2027" s="73" t="s">
        <v>729</v>
      </c>
      <c r="N2027" s="74">
        <v>41713</v>
      </c>
      <c r="O2027" s="75">
        <f t="shared" si="486"/>
        <v>41713</v>
      </c>
      <c r="P2027" s="2765" t="s">
        <v>1492</v>
      </c>
      <c r="Q2027" s="2954"/>
      <c r="R2027" s="76">
        <v>281.49</v>
      </c>
      <c r="S2027" s="1945" t="s">
        <v>731</v>
      </c>
      <c r="T2027" s="77"/>
      <c r="U2027" s="1893"/>
      <c r="V2027" s="2079">
        <f t="shared" si="490"/>
        <v>0</v>
      </c>
      <c r="W2027" s="78">
        <f t="shared" si="491"/>
        <v>332.15819999999997</v>
      </c>
      <c r="X2027" s="1878" t="str">
        <f t="shared" si="489"/>
        <v xml:space="preserve">11.- C Vikrant 740505-OT_195660  Reencauche 030-033336 </v>
      </c>
      <c r="Z2027" s="19" t="str">
        <f t="shared" si="485"/>
        <v>ReencaucheReencauchadora RENOVA</v>
      </c>
    </row>
    <row r="2028" spans="2:26" ht="15.2" customHeight="1" outlineLevel="1">
      <c r="B2028" s="37"/>
      <c r="C2028" s="2">
        <f t="shared" si="487"/>
        <v>48</v>
      </c>
      <c r="D2028" s="3">
        <f t="shared" si="488"/>
        <v>16</v>
      </c>
      <c r="E2028" s="66">
        <v>12</v>
      </c>
      <c r="F2028" s="67" t="s">
        <v>732</v>
      </c>
      <c r="G2028" s="68" t="s">
        <v>757</v>
      </c>
      <c r="H2028" s="69" t="s">
        <v>1025</v>
      </c>
      <c r="I2028" s="68" t="s">
        <v>726</v>
      </c>
      <c r="J2028" s="70" t="s">
        <v>760</v>
      </c>
      <c r="K2028" s="71" t="s">
        <v>1497</v>
      </c>
      <c r="L2028" s="72">
        <v>41706</v>
      </c>
      <c r="M2028" s="73" t="s">
        <v>729</v>
      </c>
      <c r="N2028" s="74">
        <v>41713</v>
      </c>
      <c r="O2028" s="75">
        <f t="shared" si="486"/>
        <v>41713</v>
      </c>
      <c r="P2028" s="2765" t="s">
        <v>1492</v>
      </c>
      <c r="Q2028" s="2954"/>
      <c r="R2028" s="76">
        <v>281.49</v>
      </c>
      <c r="S2028" s="1945" t="s">
        <v>731</v>
      </c>
      <c r="T2028" s="77"/>
      <c r="U2028" s="1893"/>
      <c r="V2028" s="2079">
        <f t="shared" si="490"/>
        <v>0</v>
      </c>
      <c r="W2028" s="78">
        <f t="shared" si="491"/>
        <v>332.15819999999997</v>
      </c>
      <c r="X2028" s="1882" t="str">
        <f t="shared" si="489"/>
        <v xml:space="preserve">12.- C Goodyear 1130704-OT_195660  Reencauche 030-033336 </v>
      </c>
      <c r="Z2028" s="19" t="str">
        <f t="shared" si="485"/>
        <v>ReencaucheReencauchadora RENOVA</v>
      </c>
    </row>
    <row r="2029" spans="2:26" ht="15.2" customHeight="1" outlineLevel="1">
      <c r="B2029" s="37"/>
      <c r="C2029" s="2">
        <f t="shared" si="487"/>
        <v>47</v>
      </c>
      <c r="D2029" s="3">
        <f t="shared" si="488"/>
        <v>15</v>
      </c>
      <c r="E2029" s="66">
        <v>13</v>
      </c>
      <c r="F2029" s="67" t="s">
        <v>732</v>
      </c>
      <c r="G2029" s="68" t="s">
        <v>757</v>
      </c>
      <c r="H2029" s="69" t="s">
        <v>1498</v>
      </c>
      <c r="I2029" s="68" t="s">
        <v>726</v>
      </c>
      <c r="J2029" s="70" t="s">
        <v>760</v>
      </c>
      <c r="K2029" s="71" t="s">
        <v>1497</v>
      </c>
      <c r="L2029" s="72">
        <v>41706</v>
      </c>
      <c r="M2029" s="73" t="s">
        <v>729</v>
      </c>
      <c r="N2029" s="74">
        <v>41713</v>
      </c>
      <c r="O2029" s="75">
        <f t="shared" si="486"/>
        <v>41713</v>
      </c>
      <c r="P2029" s="2765" t="s">
        <v>1492</v>
      </c>
      <c r="Q2029" s="2954"/>
      <c r="R2029" s="76">
        <v>281.49</v>
      </c>
      <c r="S2029" s="1945" t="s">
        <v>731</v>
      </c>
      <c r="T2029" s="77"/>
      <c r="U2029" s="1893"/>
      <c r="V2029" s="2079">
        <f t="shared" si="490"/>
        <v>0</v>
      </c>
      <c r="W2029" s="78">
        <f t="shared" si="491"/>
        <v>332.15819999999997</v>
      </c>
      <c r="X2029" s="1878" t="str">
        <f t="shared" si="489"/>
        <v xml:space="preserve">13.- C Goodyear 066112002-OT_195660  Reencauche 030-033336 </v>
      </c>
      <c r="Z2029" s="19" t="str">
        <f t="shared" si="485"/>
        <v>ReencaucheReencauchadora RENOVA</v>
      </c>
    </row>
    <row r="2030" spans="2:26" ht="15.2" customHeight="1" outlineLevel="1">
      <c r="B2030" s="37"/>
      <c r="C2030" s="2">
        <f t="shared" si="487"/>
        <v>46</v>
      </c>
      <c r="D2030" s="3">
        <f t="shared" si="488"/>
        <v>14</v>
      </c>
      <c r="E2030" s="66">
        <v>14</v>
      </c>
      <c r="F2030" s="67" t="s">
        <v>732</v>
      </c>
      <c r="G2030" s="68" t="s">
        <v>757</v>
      </c>
      <c r="H2030" s="69" t="s">
        <v>934</v>
      </c>
      <c r="I2030" s="68" t="s">
        <v>726</v>
      </c>
      <c r="J2030" s="70" t="s">
        <v>760</v>
      </c>
      <c r="K2030" s="71" t="s">
        <v>1497</v>
      </c>
      <c r="L2030" s="72">
        <v>41706</v>
      </c>
      <c r="M2030" s="73" t="s">
        <v>729</v>
      </c>
      <c r="N2030" s="74">
        <v>41713</v>
      </c>
      <c r="O2030" s="75">
        <f t="shared" si="486"/>
        <v>41713</v>
      </c>
      <c r="P2030" s="2765" t="s">
        <v>1492</v>
      </c>
      <c r="Q2030" s="2954"/>
      <c r="R2030" s="76">
        <v>281.49</v>
      </c>
      <c r="S2030" s="1945" t="s">
        <v>731</v>
      </c>
      <c r="T2030" s="77"/>
      <c r="U2030" s="1893"/>
      <c r="V2030" s="2079">
        <f t="shared" si="490"/>
        <v>0</v>
      </c>
      <c r="W2030" s="78">
        <f t="shared" si="491"/>
        <v>332.15819999999997</v>
      </c>
      <c r="X2030" s="1878" t="str">
        <f t="shared" si="489"/>
        <v xml:space="preserve">14.- C Goodyear 050032004-OT_195660  Reencauche 030-033336 </v>
      </c>
      <c r="Z2030" s="19" t="str">
        <f t="shared" si="485"/>
        <v>ReencaucheReencauchadora RENOVA</v>
      </c>
    </row>
    <row r="2031" spans="2:26" ht="15.2" customHeight="1" outlineLevel="1">
      <c r="B2031" s="37"/>
      <c r="C2031" s="2">
        <f t="shared" si="487"/>
        <v>45</v>
      </c>
      <c r="D2031" s="3">
        <f t="shared" si="488"/>
        <v>13</v>
      </c>
      <c r="E2031" s="66">
        <v>15</v>
      </c>
      <c r="F2031" s="67" t="s">
        <v>732</v>
      </c>
      <c r="G2031" s="90" t="s">
        <v>757</v>
      </c>
      <c r="H2031" s="91" t="s">
        <v>1290</v>
      </c>
      <c r="I2031" s="90" t="s">
        <v>726</v>
      </c>
      <c r="J2031" s="92" t="s">
        <v>760</v>
      </c>
      <c r="K2031" s="243" t="s">
        <v>1497</v>
      </c>
      <c r="L2031" s="244">
        <v>41706</v>
      </c>
      <c r="M2031" s="245" t="s">
        <v>729</v>
      </c>
      <c r="N2031" s="246">
        <v>41751</v>
      </c>
      <c r="O2031" s="247">
        <f t="shared" si="486"/>
        <v>41751</v>
      </c>
      <c r="P2031" s="2790" t="s">
        <v>1466</v>
      </c>
      <c r="Q2031" s="2954"/>
      <c r="R2031" s="248">
        <v>281.49</v>
      </c>
      <c r="S2031" s="1958" t="s">
        <v>731</v>
      </c>
      <c r="T2031" s="77"/>
      <c r="U2031" s="1893"/>
      <c r="V2031" s="2079">
        <f t="shared" si="490"/>
        <v>0</v>
      </c>
      <c r="W2031" s="78">
        <f t="shared" si="491"/>
        <v>332.15819999999997</v>
      </c>
      <c r="X2031" s="1878" t="str">
        <f t="shared" si="489"/>
        <v xml:space="preserve">15.- C Goodyear 0471001-OT_195660  Reencauche 030-0033918 </v>
      </c>
      <c r="Z2031" s="19" t="str">
        <f t="shared" si="485"/>
        <v>ReencaucheReencauchadora RENOVA</v>
      </c>
    </row>
    <row r="2032" spans="2:26" ht="15.2" customHeight="1" outlineLevel="1">
      <c r="B2032" s="37"/>
      <c r="C2032" s="2">
        <f t="shared" si="487"/>
        <v>44</v>
      </c>
      <c r="D2032" s="3">
        <f t="shared" si="488"/>
        <v>12</v>
      </c>
      <c r="E2032" s="66">
        <v>16</v>
      </c>
      <c r="F2032" s="67" t="s">
        <v>732</v>
      </c>
      <c r="G2032" s="68" t="s">
        <v>776</v>
      </c>
      <c r="H2032" s="69" t="s">
        <v>1201</v>
      </c>
      <c r="I2032" s="68" t="s">
        <v>726</v>
      </c>
      <c r="J2032" s="70" t="s">
        <v>760</v>
      </c>
      <c r="K2032" s="71" t="s">
        <v>1497</v>
      </c>
      <c r="L2032" s="72">
        <v>41706</v>
      </c>
      <c r="M2032" s="73" t="s">
        <v>729</v>
      </c>
      <c r="N2032" s="74">
        <v>41713</v>
      </c>
      <c r="O2032" s="75">
        <f t="shared" si="486"/>
        <v>41713</v>
      </c>
      <c r="P2032" s="2765" t="s">
        <v>1492</v>
      </c>
      <c r="Q2032" s="2954"/>
      <c r="R2032" s="76">
        <v>281.49</v>
      </c>
      <c r="S2032" s="1945" t="s">
        <v>731</v>
      </c>
      <c r="T2032" s="77"/>
      <c r="U2032" s="1893"/>
      <c r="V2032" s="2079">
        <f t="shared" si="490"/>
        <v>0</v>
      </c>
      <c r="W2032" s="78">
        <f t="shared" si="491"/>
        <v>332.15819999999997</v>
      </c>
      <c r="X2032" s="1878" t="str">
        <f t="shared" si="489"/>
        <v xml:space="preserve">16.- C Altura 0630911-OT_195660  Reencauche 030-033336 </v>
      </c>
      <c r="Z2032" s="19" t="str">
        <f t="shared" si="485"/>
        <v>ReencaucheReencauchadora RENOVA</v>
      </c>
    </row>
    <row r="2033" spans="2:26" ht="15.2" customHeight="1" outlineLevel="1">
      <c r="B2033" s="37"/>
      <c r="C2033" s="2">
        <f t="shared" si="487"/>
        <v>43</v>
      </c>
      <c r="D2033" s="3">
        <f t="shared" si="488"/>
        <v>11</v>
      </c>
      <c r="E2033" s="66">
        <v>17</v>
      </c>
      <c r="F2033" s="67" t="s">
        <v>732</v>
      </c>
      <c r="G2033" s="68" t="s">
        <v>776</v>
      </c>
      <c r="H2033" s="69" t="s">
        <v>777</v>
      </c>
      <c r="I2033" s="68" t="s">
        <v>726</v>
      </c>
      <c r="J2033" s="70" t="s">
        <v>760</v>
      </c>
      <c r="K2033" s="71" t="s">
        <v>1497</v>
      </c>
      <c r="L2033" s="72">
        <v>41706</v>
      </c>
      <c r="M2033" s="73" t="s">
        <v>729</v>
      </c>
      <c r="N2033" s="74">
        <v>41713</v>
      </c>
      <c r="O2033" s="75">
        <f t="shared" si="486"/>
        <v>41713</v>
      </c>
      <c r="P2033" s="2765" t="s">
        <v>1492</v>
      </c>
      <c r="Q2033" s="2954"/>
      <c r="R2033" s="76">
        <v>281.49</v>
      </c>
      <c r="S2033" s="1945" t="s">
        <v>731</v>
      </c>
      <c r="T2033" s="77"/>
      <c r="U2033" s="1893"/>
      <c r="V2033" s="2079">
        <f t="shared" si="490"/>
        <v>0</v>
      </c>
      <c r="W2033" s="78">
        <f t="shared" si="491"/>
        <v>332.15819999999997</v>
      </c>
      <c r="X2033" s="1878" t="str">
        <f t="shared" si="489"/>
        <v xml:space="preserve">17.- C Altura 0670911-OT_195660  Reencauche 030-033336 </v>
      </c>
      <c r="Z2033" s="19" t="str">
        <f t="shared" si="485"/>
        <v>ReencaucheReencauchadora RENOVA</v>
      </c>
    </row>
    <row r="2034" spans="2:26" ht="15.2" customHeight="1" outlineLevel="1">
      <c r="B2034" s="37"/>
      <c r="C2034" s="2">
        <f t="shared" si="487"/>
        <v>42</v>
      </c>
      <c r="D2034" s="3">
        <f t="shared" si="488"/>
        <v>10</v>
      </c>
      <c r="E2034" s="66">
        <v>18</v>
      </c>
      <c r="F2034" s="67" t="s">
        <v>732</v>
      </c>
      <c r="G2034" s="68" t="s">
        <v>769</v>
      </c>
      <c r="H2034" s="69" t="s">
        <v>1499</v>
      </c>
      <c r="I2034" s="68" t="s">
        <v>726</v>
      </c>
      <c r="J2034" s="70" t="s">
        <v>760</v>
      </c>
      <c r="K2034" s="71" t="s">
        <v>1497</v>
      </c>
      <c r="L2034" s="72">
        <v>41706</v>
      </c>
      <c r="M2034" s="73" t="s">
        <v>729</v>
      </c>
      <c r="N2034" s="74">
        <v>41713</v>
      </c>
      <c r="O2034" s="75">
        <f t="shared" si="486"/>
        <v>41713</v>
      </c>
      <c r="P2034" s="2765" t="s">
        <v>1492</v>
      </c>
      <c r="Q2034" s="2954"/>
      <c r="R2034" s="76">
        <v>281.49</v>
      </c>
      <c r="S2034" s="1945" t="s">
        <v>731</v>
      </c>
      <c r="T2034" s="77"/>
      <c r="U2034" s="1893"/>
      <c r="V2034" s="2079">
        <f t="shared" si="490"/>
        <v>0</v>
      </c>
      <c r="W2034" s="78">
        <f t="shared" si="491"/>
        <v>332.15819999999997</v>
      </c>
      <c r="X2034" s="1878" t="str">
        <f t="shared" si="489"/>
        <v xml:space="preserve">18.- C Lu He 0440509-OT_195660  Reencauche 030-033336 </v>
      </c>
      <c r="Z2034" s="19" t="str">
        <f t="shared" si="485"/>
        <v>ReencaucheReencauchadora RENOVA</v>
      </c>
    </row>
    <row r="2035" spans="2:26" ht="15.2" customHeight="1" outlineLevel="1">
      <c r="B2035" s="37"/>
      <c r="C2035" s="2">
        <f t="shared" si="487"/>
        <v>41</v>
      </c>
      <c r="D2035" s="3">
        <f t="shared" si="488"/>
        <v>9</v>
      </c>
      <c r="E2035" s="66">
        <v>19</v>
      </c>
      <c r="F2035" s="67" t="s">
        <v>732</v>
      </c>
      <c r="G2035" s="68" t="s">
        <v>1233</v>
      </c>
      <c r="H2035" s="69" t="s">
        <v>1234</v>
      </c>
      <c r="I2035" s="68" t="s">
        <v>726</v>
      </c>
      <c r="J2035" s="70" t="s">
        <v>760</v>
      </c>
      <c r="K2035" s="71" t="s">
        <v>1497</v>
      </c>
      <c r="L2035" s="72">
        <v>41706</v>
      </c>
      <c r="M2035" s="73" t="s">
        <v>729</v>
      </c>
      <c r="N2035" s="74">
        <v>41713</v>
      </c>
      <c r="O2035" s="75">
        <f t="shared" si="486"/>
        <v>41713</v>
      </c>
      <c r="P2035" s="2765" t="s">
        <v>1492</v>
      </c>
      <c r="Q2035" s="2954"/>
      <c r="R2035" s="76">
        <v>281.49</v>
      </c>
      <c r="S2035" s="1945" t="s">
        <v>731</v>
      </c>
      <c r="T2035" s="77"/>
      <c r="U2035" s="1893"/>
      <c r="V2035" s="2079">
        <f t="shared" si="490"/>
        <v>0</v>
      </c>
      <c r="W2035" s="78">
        <f t="shared" si="491"/>
        <v>332.15819999999997</v>
      </c>
      <c r="X2035" s="1878" t="str">
        <f t="shared" si="489"/>
        <v xml:space="preserve">19.- C Saratoga 0090306-OT_195660  Reencauche 030-033336 </v>
      </c>
      <c r="Z2035" s="19" t="str">
        <f t="shared" si="485"/>
        <v>ReencaucheReencauchadora RENOVA</v>
      </c>
    </row>
    <row r="2036" spans="2:26" ht="15.2" customHeight="1" outlineLevel="1">
      <c r="B2036" s="37"/>
      <c r="C2036" s="2">
        <f t="shared" si="487"/>
        <v>40</v>
      </c>
      <c r="D2036" s="3">
        <f t="shared" si="488"/>
        <v>8</v>
      </c>
      <c r="E2036" s="66">
        <v>20</v>
      </c>
      <c r="F2036" s="67" t="s">
        <v>732</v>
      </c>
      <c r="G2036" s="68" t="s">
        <v>814</v>
      </c>
      <c r="H2036" s="69" t="s">
        <v>1500</v>
      </c>
      <c r="I2036" s="68" t="s">
        <v>726</v>
      </c>
      <c r="J2036" s="70" t="s">
        <v>760</v>
      </c>
      <c r="K2036" s="71" t="s">
        <v>1497</v>
      </c>
      <c r="L2036" s="72">
        <v>41706</v>
      </c>
      <c r="M2036" s="73" t="s">
        <v>729</v>
      </c>
      <c r="N2036" s="74">
        <v>41713</v>
      </c>
      <c r="O2036" s="75">
        <f t="shared" si="486"/>
        <v>41713</v>
      </c>
      <c r="P2036" s="2765" t="s">
        <v>1492</v>
      </c>
      <c r="Q2036" s="2954"/>
      <c r="R2036" s="76">
        <v>281.49</v>
      </c>
      <c r="S2036" s="1945" t="s">
        <v>731</v>
      </c>
      <c r="T2036" s="77"/>
      <c r="U2036" s="1893"/>
      <c r="V2036" s="2079">
        <f t="shared" si="490"/>
        <v>0</v>
      </c>
      <c r="W2036" s="78">
        <f t="shared" si="491"/>
        <v>332.15819999999997</v>
      </c>
      <c r="X2036" s="1878" t="str">
        <f t="shared" si="489"/>
        <v xml:space="preserve">20.- C Birla 0630806-OT_195660  Reencauche 030-033336 </v>
      </c>
      <c r="Z2036" s="19" t="str">
        <f t="shared" si="485"/>
        <v>ReencaucheReencauchadora RENOVA</v>
      </c>
    </row>
    <row r="2037" spans="2:26" ht="15.2" customHeight="1" outlineLevel="1">
      <c r="B2037" s="37"/>
      <c r="C2037" s="2">
        <f t="shared" si="487"/>
        <v>39</v>
      </c>
      <c r="D2037" s="3">
        <f t="shared" si="488"/>
        <v>7</v>
      </c>
      <c r="E2037" s="66">
        <v>21</v>
      </c>
      <c r="F2037" s="67" t="s">
        <v>732</v>
      </c>
      <c r="G2037" s="68" t="s">
        <v>733</v>
      </c>
      <c r="H2037" s="69" t="s">
        <v>890</v>
      </c>
      <c r="I2037" s="68" t="s">
        <v>726</v>
      </c>
      <c r="J2037" s="70" t="s">
        <v>760</v>
      </c>
      <c r="K2037" s="71" t="s">
        <v>1501</v>
      </c>
      <c r="L2037" s="72">
        <v>41706</v>
      </c>
      <c r="M2037" s="73" t="s">
        <v>729</v>
      </c>
      <c r="N2037" s="74">
        <v>41713</v>
      </c>
      <c r="O2037" s="75">
        <f t="shared" si="486"/>
        <v>41713</v>
      </c>
      <c r="P2037" s="2765" t="s">
        <v>1492</v>
      </c>
      <c r="Q2037" s="2954"/>
      <c r="R2037" s="76">
        <v>281.49</v>
      </c>
      <c r="S2037" s="1945" t="s">
        <v>731</v>
      </c>
      <c r="T2037" s="77"/>
      <c r="U2037" s="1893"/>
      <c r="V2037" s="2079">
        <f t="shared" si="490"/>
        <v>0</v>
      </c>
      <c r="W2037" s="78">
        <f t="shared" si="491"/>
        <v>332.15819999999997</v>
      </c>
      <c r="X2037" s="1878" t="str">
        <f t="shared" si="489"/>
        <v xml:space="preserve">21.- C Lima Caucho 0470707-OT_195661  Reencauche 030-033336 </v>
      </c>
      <c r="Z2037" s="19" t="str">
        <f t="shared" si="485"/>
        <v>ReencaucheReencauchadora RENOVA</v>
      </c>
    </row>
    <row r="2038" spans="2:26" ht="15.2" customHeight="1" outlineLevel="1">
      <c r="B2038" s="37"/>
      <c r="C2038" s="2">
        <f t="shared" si="487"/>
        <v>38</v>
      </c>
      <c r="D2038" s="3">
        <f t="shared" si="488"/>
        <v>6</v>
      </c>
      <c r="E2038" s="66">
        <v>22</v>
      </c>
      <c r="F2038" s="67" t="s">
        <v>732</v>
      </c>
      <c r="G2038" s="68" t="s">
        <v>733</v>
      </c>
      <c r="H2038" s="69" t="s">
        <v>883</v>
      </c>
      <c r="I2038" s="68" t="s">
        <v>726</v>
      </c>
      <c r="J2038" s="70" t="s">
        <v>760</v>
      </c>
      <c r="K2038" s="71" t="s">
        <v>1501</v>
      </c>
      <c r="L2038" s="72">
        <v>41706</v>
      </c>
      <c r="M2038" s="73" t="s">
        <v>729</v>
      </c>
      <c r="N2038" s="74">
        <v>41713</v>
      </c>
      <c r="O2038" s="75">
        <f t="shared" si="486"/>
        <v>41713</v>
      </c>
      <c r="P2038" s="2765" t="s">
        <v>1492</v>
      </c>
      <c r="Q2038" s="2954"/>
      <c r="R2038" s="76">
        <v>281.49</v>
      </c>
      <c r="S2038" s="1945" t="s">
        <v>731</v>
      </c>
      <c r="T2038" s="77"/>
      <c r="U2038" s="1893"/>
      <c r="V2038" s="2079">
        <f t="shared" si="490"/>
        <v>0</v>
      </c>
      <c r="W2038" s="78">
        <f t="shared" si="491"/>
        <v>332.15819999999997</v>
      </c>
      <c r="X2038" s="1878" t="str">
        <f t="shared" si="489"/>
        <v xml:space="preserve">22.- C Lima Caucho 1091210-OT_195661  Reencauche 030-033336 </v>
      </c>
      <c r="Z2038" s="19" t="str">
        <f t="shared" si="485"/>
        <v>ReencaucheReencauchadora RENOVA</v>
      </c>
    </row>
    <row r="2039" spans="2:26" ht="15.2" customHeight="1" outlineLevel="1">
      <c r="B2039" s="37"/>
      <c r="C2039" s="2">
        <f t="shared" si="487"/>
        <v>37</v>
      </c>
      <c r="D2039" s="3">
        <f t="shared" si="488"/>
        <v>5</v>
      </c>
      <c r="E2039" s="66">
        <v>23</v>
      </c>
      <c r="F2039" s="67" t="s">
        <v>732</v>
      </c>
      <c r="G2039" s="68" t="s">
        <v>733</v>
      </c>
      <c r="H2039" s="69" t="s">
        <v>1244</v>
      </c>
      <c r="I2039" s="68" t="s">
        <v>726</v>
      </c>
      <c r="J2039" s="70" t="s">
        <v>760</v>
      </c>
      <c r="K2039" s="71" t="s">
        <v>1501</v>
      </c>
      <c r="L2039" s="72">
        <v>41706</v>
      </c>
      <c r="M2039" s="73" t="s">
        <v>729</v>
      </c>
      <c r="N2039" s="74">
        <v>41713</v>
      </c>
      <c r="O2039" s="75">
        <f t="shared" si="486"/>
        <v>41713</v>
      </c>
      <c r="P2039" s="2765" t="s">
        <v>1492</v>
      </c>
      <c r="Q2039" s="2954"/>
      <c r="R2039" s="76">
        <v>281.49</v>
      </c>
      <c r="S2039" s="1945" t="s">
        <v>731</v>
      </c>
      <c r="T2039" s="77"/>
      <c r="U2039" s="1893"/>
      <c r="V2039" s="2079">
        <f t="shared" si="490"/>
        <v>0</v>
      </c>
      <c r="W2039" s="78">
        <f t="shared" si="491"/>
        <v>332.15819999999997</v>
      </c>
      <c r="X2039" s="1878" t="str">
        <f t="shared" si="489"/>
        <v xml:space="preserve">23.- C Lima Caucho 1201210-OT_195661  Reencauche 030-033336 </v>
      </c>
      <c r="Z2039" s="19" t="str">
        <f t="shared" si="485"/>
        <v>ReencaucheReencauchadora RENOVA</v>
      </c>
    </row>
    <row r="2040" spans="2:26" ht="15.2" customHeight="1" outlineLevel="1">
      <c r="B2040" s="37"/>
      <c r="C2040" s="2">
        <f t="shared" si="487"/>
        <v>36</v>
      </c>
      <c r="D2040" s="3">
        <f t="shared" si="488"/>
        <v>4</v>
      </c>
      <c r="E2040" s="66">
        <v>24</v>
      </c>
      <c r="F2040" s="67" t="s">
        <v>732</v>
      </c>
      <c r="G2040" s="68" t="s">
        <v>733</v>
      </c>
      <c r="H2040" s="69" t="s">
        <v>851</v>
      </c>
      <c r="I2040" s="68" t="s">
        <v>726</v>
      </c>
      <c r="J2040" s="70" t="s">
        <v>760</v>
      </c>
      <c r="K2040" s="71" t="s">
        <v>1501</v>
      </c>
      <c r="L2040" s="72">
        <v>41706</v>
      </c>
      <c r="M2040" s="73" t="s">
        <v>729</v>
      </c>
      <c r="N2040" s="74">
        <v>41713</v>
      </c>
      <c r="O2040" s="75">
        <f t="shared" si="486"/>
        <v>41713</v>
      </c>
      <c r="P2040" s="2765" t="s">
        <v>1492</v>
      </c>
      <c r="Q2040" s="2954"/>
      <c r="R2040" s="76">
        <v>281.49</v>
      </c>
      <c r="S2040" s="1945" t="s">
        <v>731</v>
      </c>
      <c r="T2040" s="77"/>
      <c r="U2040" s="1893"/>
      <c r="V2040" s="2079">
        <f t="shared" si="490"/>
        <v>0</v>
      </c>
      <c r="W2040" s="78">
        <f t="shared" si="491"/>
        <v>332.15819999999997</v>
      </c>
      <c r="X2040" s="1878" t="str">
        <f t="shared" si="489"/>
        <v xml:space="preserve">24.- C Lima Caucho 1211207-OT_195661  Reencauche 030-033336 </v>
      </c>
      <c r="Z2040" s="19" t="str">
        <f t="shared" si="485"/>
        <v>ReencaucheReencauchadora RENOVA</v>
      </c>
    </row>
    <row r="2041" spans="2:26" ht="15.2" customHeight="1">
      <c r="B2041" s="37"/>
      <c r="C2041" s="2">
        <f t="shared" si="487"/>
        <v>35</v>
      </c>
      <c r="D2041" s="3">
        <f t="shared" si="488"/>
        <v>3</v>
      </c>
      <c r="E2041" s="66">
        <v>25</v>
      </c>
      <c r="F2041" s="67" t="s">
        <v>732</v>
      </c>
      <c r="G2041" s="68" t="s">
        <v>733</v>
      </c>
      <c r="H2041" s="69" t="s">
        <v>772</v>
      </c>
      <c r="I2041" s="68" t="s">
        <v>726</v>
      </c>
      <c r="J2041" s="70" t="s">
        <v>760</v>
      </c>
      <c r="K2041" s="71" t="s">
        <v>1501</v>
      </c>
      <c r="L2041" s="72">
        <v>41706</v>
      </c>
      <c r="M2041" s="73" t="s">
        <v>729</v>
      </c>
      <c r="N2041" s="74">
        <v>41713</v>
      </c>
      <c r="O2041" s="75">
        <f t="shared" si="486"/>
        <v>41713</v>
      </c>
      <c r="P2041" s="2765" t="s">
        <v>1492</v>
      </c>
      <c r="Q2041" s="2954"/>
      <c r="R2041" s="76">
        <v>281.49</v>
      </c>
      <c r="S2041" s="1945" t="s">
        <v>731</v>
      </c>
      <c r="T2041" s="77"/>
      <c r="U2041" s="1893"/>
      <c r="V2041" s="2079">
        <f t="shared" si="490"/>
        <v>0</v>
      </c>
      <c r="W2041" s="78">
        <f t="shared" si="491"/>
        <v>332.15819999999997</v>
      </c>
      <c r="X2041" s="1878" t="str">
        <f t="shared" si="489"/>
        <v xml:space="preserve">25.- C Lima Caucho 1181210-OT_195661  Reencauche 030-033336 </v>
      </c>
    </row>
    <row r="2042" spans="2:26" ht="15.2" customHeight="1" outlineLevel="1">
      <c r="B2042" s="37"/>
      <c r="C2042" s="2">
        <f t="shared" si="487"/>
        <v>34</v>
      </c>
      <c r="D2042" s="3">
        <f t="shared" si="488"/>
        <v>2</v>
      </c>
      <c r="E2042" s="66">
        <v>26</v>
      </c>
      <c r="F2042" s="67" t="s">
        <v>732</v>
      </c>
      <c r="G2042" s="68" t="s">
        <v>733</v>
      </c>
      <c r="H2042" s="69" t="s">
        <v>1172</v>
      </c>
      <c r="I2042" s="68" t="s">
        <v>726</v>
      </c>
      <c r="J2042" s="70" t="s">
        <v>760</v>
      </c>
      <c r="K2042" s="71" t="s">
        <v>1501</v>
      </c>
      <c r="L2042" s="72">
        <v>41706</v>
      </c>
      <c r="M2042" s="73" t="s">
        <v>729</v>
      </c>
      <c r="N2042" s="74">
        <v>41713</v>
      </c>
      <c r="O2042" s="75">
        <f t="shared" si="486"/>
        <v>41713</v>
      </c>
      <c r="P2042" s="2765" t="s">
        <v>1492</v>
      </c>
      <c r="Q2042" s="2954"/>
      <c r="R2042" s="76">
        <v>281.49</v>
      </c>
      <c r="S2042" s="1945" t="s">
        <v>731</v>
      </c>
      <c r="T2042" s="77"/>
      <c r="U2042" s="1893"/>
      <c r="V2042" s="2079">
        <f t="shared" si="490"/>
        <v>0</v>
      </c>
      <c r="W2042" s="78">
        <f t="shared" si="491"/>
        <v>332.15819999999997</v>
      </c>
      <c r="X2042" s="1878" t="str">
        <f t="shared" si="489"/>
        <v xml:space="preserve">26.- C Lima Caucho 0300508-OT_195661  Reencauche 030-033336 </v>
      </c>
      <c r="Z2042" s="19" t="str">
        <f t="shared" ref="Z2042:Z2073" si="492">CONCATENATE(I2045,J2045)</f>
        <v>Transpl BandaReenc. MASTERCAUCHO</v>
      </c>
    </row>
    <row r="2043" spans="2:26" ht="15.2" customHeight="1" outlineLevel="1">
      <c r="B2043" s="37"/>
      <c r="C2043" s="2">
        <f>1+C2046</f>
        <v>33</v>
      </c>
      <c r="D2043" s="3">
        <v>1</v>
      </c>
      <c r="E2043" s="79">
        <v>27</v>
      </c>
      <c r="F2043" s="80" t="s">
        <v>732</v>
      </c>
      <c r="G2043" s="81" t="s">
        <v>733</v>
      </c>
      <c r="H2043" s="82" t="s">
        <v>1133</v>
      </c>
      <c r="I2043" s="81" t="s">
        <v>726</v>
      </c>
      <c r="J2043" s="83" t="s">
        <v>760</v>
      </c>
      <c r="K2043" s="84" t="s">
        <v>1501</v>
      </c>
      <c r="L2043" s="85">
        <v>41706</v>
      </c>
      <c r="M2043" s="86" t="s">
        <v>729</v>
      </c>
      <c r="N2043" s="87">
        <v>41713</v>
      </c>
      <c r="O2043" s="88">
        <f t="shared" si="486"/>
        <v>41713</v>
      </c>
      <c r="P2043" s="2766" t="s">
        <v>1492</v>
      </c>
      <c r="Q2043" s="2955"/>
      <c r="R2043" s="89">
        <v>281.49</v>
      </c>
      <c r="S2043" s="1946" t="s">
        <v>731</v>
      </c>
      <c r="T2043" s="77"/>
      <c r="U2043" s="1893"/>
      <c r="V2043" s="2079">
        <f t="shared" si="490"/>
        <v>0</v>
      </c>
      <c r="W2043" s="78">
        <f t="shared" si="491"/>
        <v>332.15819999999997</v>
      </c>
      <c r="X2043" s="1878" t="str">
        <f t="shared" si="489"/>
        <v xml:space="preserve">27.- C Lima Caucho 0110107-OT_195661  Reencauche 030-033336 </v>
      </c>
      <c r="Z2043" s="19" t="str">
        <f t="shared" si="492"/>
        <v>Transpl BandaReenc. MASTERCAUCHO</v>
      </c>
    </row>
    <row r="2044" spans="2:26" ht="15.2" customHeight="1" outlineLevel="1" thickBot="1">
      <c r="B2044" s="1">
        <v>41671</v>
      </c>
      <c r="C2044" s="1"/>
      <c r="D2044" s="173">
        <f>+D2046</f>
        <v>26</v>
      </c>
      <c r="E2044" s="66"/>
      <c r="F2044" s="67"/>
      <c r="G2044" s="68"/>
      <c r="H2044" s="69"/>
      <c r="I2044" s="68"/>
      <c r="J2044" s="70"/>
      <c r="K2044" s="71"/>
      <c r="L2044" s="72"/>
      <c r="M2044" s="73"/>
      <c r="N2044" s="74"/>
      <c r="O2044" s="75"/>
      <c r="P2044" s="2765"/>
      <c r="Q2044" s="2954"/>
      <c r="R2044" s="76"/>
      <c r="S2044" s="1945"/>
      <c r="T2044" s="77"/>
      <c r="U2044" s="1893"/>
      <c r="V2044" s="2079">
        <f t="shared" si="490"/>
        <v>0</v>
      </c>
      <c r="W2044" s="78">
        <f t="shared" si="491"/>
        <v>0</v>
      </c>
      <c r="X2044" s="1878" t="str">
        <f t="shared" si="489"/>
        <v xml:space="preserve">.-   -OT_    </v>
      </c>
      <c r="Z2044" s="19" t="str">
        <f t="shared" si="492"/>
        <v>Transpl BandaReenc. MASTERCAUCHO</v>
      </c>
    </row>
    <row r="2045" spans="2:26" ht="15.2" customHeight="1" outlineLevel="1">
      <c r="B2045" s="3325">
        <v>41671</v>
      </c>
      <c r="E2045" s="66">
        <v>1</v>
      </c>
      <c r="F2045" s="67" t="s">
        <v>732</v>
      </c>
      <c r="G2045" s="68" t="s">
        <v>757</v>
      </c>
      <c r="H2045" s="249" t="s">
        <v>1502</v>
      </c>
      <c r="I2045" s="250" t="s">
        <v>740</v>
      </c>
      <c r="J2045" s="251" t="s">
        <v>727</v>
      </c>
      <c r="K2045" s="252" t="s">
        <v>1503</v>
      </c>
      <c r="L2045" s="253">
        <v>41673</v>
      </c>
      <c r="M2045" s="254" t="s">
        <v>729</v>
      </c>
      <c r="N2045" s="74">
        <v>41682</v>
      </c>
      <c r="O2045" s="75">
        <v>41682</v>
      </c>
      <c r="P2045" s="2791"/>
      <c r="Q2045" s="2973"/>
      <c r="R2045" s="256"/>
      <c r="S2045" s="1959" t="s">
        <v>731</v>
      </c>
      <c r="T2045" s="1877" t="s">
        <v>1504</v>
      </c>
      <c r="U2045" s="1922"/>
      <c r="V2045" s="2079">
        <f t="shared" si="490"/>
        <v>0</v>
      </c>
      <c r="W2045" s="78">
        <f t="shared" si="491"/>
        <v>0</v>
      </c>
      <c r="X2045" s="1878" t="str">
        <f t="shared" si="489"/>
        <v>1.- C Goodyear 032082003-OT_000528  Transpl Banda  RECHAZADO Falla en casco, no transpl (desecho)</v>
      </c>
      <c r="Z2045" s="19" t="str">
        <f t="shared" si="492"/>
        <v>Transpl BandaReenc. MASTERCAUCHO</v>
      </c>
    </row>
    <row r="2046" spans="2:26" ht="15.2" customHeight="1" outlineLevel="1">
      <c r="B2046" s="3326"/>
      <c r="C2046" s="2">
        <f t="shared" ref="C2046:D2048" si="493">1+C2047</f>
        <v>32</v>
      </c>
      <c r="D2046" s="3">
        <f t="shared" si="493"/>
        <v>26</v>
      </c>
      <c r="E2046" s="66">
        <v>2</v>
      </c>
      <c r="F2046" s="67" t="s">
        <v>732</v>
      </c>
      <c r="G2046" s="68" t="s">
        <v>757</v>
      </c>
      <c r="H2046" s="69" t="s">
        <v>972</v>
      </c>
      <c r="I2046" s="90" t="s">
        <v>740</v>
      </c>
      <c r="J2046" s="92" t="s">
        <v>727</v>
      </c>
      <c r="K2046" s="71" t="s">
        <v>1503</v>
      </c>
      <c r="L2046" s="72">
        <v>41673</v>
      </c>
      <c r="M2046" s="73" t="s">
        <v>729</v>
      </c>
      <c r="N2046" s="74">
        <v>41682</v>
      </c>
      <c r="O2046" s="75">
        <v>41682</v>
      </c>
      <c r="P2046" s="2765" t="s">
        <v>1505</v>
      </c>
      <c r="Q2046" s="2954"/>
      <c r="R2046" s="76">
        <v>127.12</v>
      </c>
      <c r="S2046" s="1945" t="s">
        <v>731</v>
      </c>
      <c r="T2046" s="77"/>
      <c r="U2046" s="1893"/>
      <c r="V2046" s="2079">
        <f t="shared" si="490"/>
        <v>0</v>
      </c>
      <c r="W2046" s="78">
        <f t="shared" si="491"/>
        <v>150.0016</v>
      </c>
      <c r="X2046" s="1878" t="str">
        <f t="shared" si="489"/>
        <v xml:space="preserve">2.- C Goodyear 1971204-OT_000528  Transpl Banda 001-00592 </v>
      </c>
      <c r="Z2046" s="19" t="str">
        <f t="shared" si="492"/>
        <v>Transpl BandaReenc. MASTERCAUCHO</v>
      </c>
    </row>
    <row r="2047" spans="2:26" ht="15.2" customHeight="1" outlineLevel="1">
      <c r="B2047" s="3326"/>
      <c r="C2047" s="2">
        <f t="shared" si="493"/>
        <v>31</v>
      </c>
      <c r="D2047" s="3">
        <f t="shared" si="493"/>
        <v>25</v>
      </c>
      <c r="E2047" s="66">
        <v>3</v>
      </c>
      <c r="F2047" s="67" t="s">
        <v>732</v>
      </c>
      <c r="G2047" s="68" t="s">
        <v>757</v>
      </c>
      <c r="H2047" s="69" t="s">
        <v>1397</v>
      </c>
      <c r="I2047" s="90" t="s">
        <v>740</v>
      </c>
      <c r="J2047" s="92" t="s">
        <v>727</v>
      </c>
      <c r="K2047" s="71" t="s">
        <v>1503</v>
      </c>
      <c r="L2047" s="72">
        <v>41673</v>
      </c>
      <c r="M2047" s="73" t="s">
        <v>729</v>
      </c>
      <c r="N2047" s="74">
        <v>41682</v>
      </c>
      <c r="O2047" s="75">
        <v>41682</v>
      </c>
      <c r="P2047" s="2765" t="s">
        <v>1505</v>
      </c>
      <c r="Q2047" s="2954"/>
      <c r="R2047" s="76">
        <v>127.12</v>
      </c>
      <c r="S2047" s="1945" t="s">
        <v>731</v>
      </c>
      <c r="T2047" s="77"/>
      <c r="U2047" s="1893"/>
      <c r="V2047" s="2079">
        <f t="shared" si="490"/>
        <v>0</v>
      </c>
      <c r="W2047" s="78">
        <f t="shared" si="491"/>
        <v>150.0016</v>
      </c>
      <c r="X2047" s="1878" t="str">
        <f t="shared" si="489"/>
        <v xml:space="preserve">3.- C Goodyear 044092003-OT_000528  Transpl Banda 001-00592 </v>
      </c>
      <c r="Z2047" s="19" t="str">
        <f t="shared" si="492"/>
        <v>Sacar_BandaReenc. MASTERCAUCHO</v>
      </c>
    </row>
    <row r="2048" spans="2:26" ht="15.2" customHeight="1" outlineLevel="1">
      <c r="B2048" s="3326"/>
      <c r="C2048" s="2">
        <f t="shared" si="493"/>
        <v>30</v>
      </c>
      <c r="D2048" s="3">
        <f t="shared" si="493"/>
        <v>24</v>
      </c>
      <c r="E2048" s="66">
        <v>4</v>
      </c>
      <c r="F2048" s="67" t="s">
        <v>732</v>
      </c>
      <c r="G2048" s="68" t="s">
        <v>1233</v>
      </c>
      <c r="H2048" s="69" t="s">
        <v>1506</v>
      </c>
      <c r="I2048" s="90" t="s">
        <v>740</v>
      </c>
      <c r="J2048" s="92" t="s">
        <v>727</v>
      </c>
      <c r="K2048" s="71" t="s">
        <v>1503</v>
      </c>
      <c r="L2048" s="72">
        <v>41673</v>
      </c>
      <c r="M2048" s="73" t="s">
        <v>729</v>
      </c>
      <c r="N2048" s="74">
        <v>41682</v>
      </c>
      <c r="O2048" s="75">
        <v>41682</v>
      </c>
      <c r="P2048" s="2765" t="s">
        <v>1505</v>
      </c>
      <c r="Q2048" s="2954"/>
      <c r="R2048" s="76">
        <v>127.12</v>
      </c>
      <c r="S2048" s="1945" t="s">
        <v>731</v>
      </c>
      <c r="T2048" s="77"/>
      <c r="U2048" s="1893"/>
      <c r="V2048" s="2079">
        <f t="shared" si="490"/>
        <v>0</v>
      </c>
      <c r="W2048" s="78">
        <f t="shared" si="491"/>
        <v>150.0016</v>
      </c>
      <c r="X2048" s="1878" t="str">
        <f t="shared" si="489"/>
        <v xml:space="preserve">4.- C Saratoga 0330506-OT_000528  Transpl Banda 001-00592 </v>
      </c>
      <c r="Z2048" s="19" t="str">
        <f t="shared" si="492"/>
        <v>Sacar_BandaReenc. MASTERCAUCHO</v>
      </c>
    </row>
    <row r="2049" spans="2:26" ht="15.2" customHeight="1" outlineLevel="1">
      <c r="B2049" s="3326"/>
      <c r="C2049" s="2">
        <f>1+C2055</f>
        <v>29</v>
      </c>
      <c r="D2049" s="3">
        <f>1+D2055</f>
        <v>23</v>
      </c>
      <c r="E2049" s="66">
        <v>5</v>
      </c>
      <c r="F2049" s="67" t="s">
        <v>732</v>
      </c>
      <c r="G2049" s="68" t="s">
        <v>733</v>
      </c>
      <c r="H2049" s="69" t="s">
        <v>848</v>
      </c>
      <c r="I2049" s="90" t="s">
        <v>740</v>
      </c>
      <c r="J2049" s="92" t="s">
        <v>727</v>
      </c>
      <c r="K2049" s="71" t="s">
        <v>1503</v>
      </c>
      <c r="L2049" s="72">
        <v>41673</v>
      </c>
      <c r="M2049" s="73" t="s">
        <v>729</v>
      </c>
      <c r="N2049" s="74">
        <v>41682</v>
      </c>
      <c r="O2049" s="75">
        <v>41682</v>
      </c>
      <c r="P2049" s="2765" t="s">
        <v>1505</v>
      </c>
      <c r="Q2049" s="2954"/>
      <c r="R2049" s="76">
        <v>127.12</v>
      </c>
      <c r="S2049" s="1945" t="s">
        <v>731</v>
      </c>
      <c r="T2049" s="77"/>
      <c r="U2049" s="1893"/>
      <c r="V2049" s="2079">
        <f t="shared" si="490"/>
        <v>0</v>
      </c>
      <c r="W2049" s="78">
        <f t="shared" si="491"/>
        <v>150.0016</v>
      </c>
      <c r="X2049" s="1878" t="str">
        <f t="shared" si="489"/>
        <v xml:space="preserve">5.- C Lima Caucho 0530807-OT_000528  Transpl Banda 001-00592 </v>
      </c>
      <c r="Z2049" s="19" t="str">
        <f t="shared" si="492"/>
        <v>Sacar_BandaReenc. MASTERCAUCHO</v>
      </c>
    </row>
    <row r="2050" spans="2:26" ht="15.2" customHeight="1" outlineLevel="1">
      <c r="B2050" s="3326"/>
      <c r="E2050" s="66">
        <v>6</v>
      </c>
      <c r="F2050" s="67" t="s">
        <v>732</v>
      </c>
      <c r="G2050" s="68" t="s">
        <v>757</v>
      </c>
      <c r="H2050" s="69" t="s">
        <v>1507</v>
      </c>
      <c r="I2050" s="90" t="s">
        <v>744</v>
      </c>
      <c r="J2050" s="92" t="s">
        <v>727</v>
      </c>
      <c r="K2050" s="71" t="s">
        <v>1503</v>
      </c>
      <c r="L2050" s="72">
        <v>41673</v>
      </c>
      <c r="M2050" s="73" t="s">
        <v>729</v>
      </c>
      <c r="N2050" s="74">
        <v>41682</v>
      </c>
      <c r="O2050" s="75">
        <v>41682</v>
      </c>
      <c r="P2050" s="2765" t="s">
        <v>1505</v>
      </c>
      <c r="Q2050" s="2954"/>
      <c r="R2050" s="76">
        <v>0</v>
      </c>
      <c r="S2050" s="1945" t="s">
        <v>731</v>
      </c>
      <c r="T2050" s="77"/>
      <c r="U2050" s="1893"/>
      <c r="V2050" s="2079">
        <f t="shared" si="490"/>
        <v>0</v>
      </c>
      <c r="W2050" s="78">
        <f t="shared" si="491"/>
        <v>0</v>
      </c>
      <c r="X2050" s="1878" t="str">
        <f t="shared" si="489"/>
        <v xml:space="preserve">6.- C Goodyear 0370302-OT_000528  Sacar_Banda 001-00592 </v>
      </c>
      <c r="Z2050" s="19" t="str">
        <f t="shared" si="492"/>
        <v>Sacar_BandaReenc. MASTERCAUCHO</v>
      </c>
    </row>
    <row r="2051" spans="2:26" ht="15.2" customHeight="1" outlineLevel="1">
      <c r="B2051" s="3326"/>
      <c r="E2051" s="66">
        <v>7</v>
      </c>
      <c r="F2051" s="67" t="s">
        <v>732</v>
      </c>
      <c r="G2051" s="68" t="s">
        <v>733</v>
      </c>
      <c r="H2051" s="69" t="s">
        <v>1508</v>
      </c>
      <c r="I2051" s="90" t="s">
        <v>744</v>
      </c>
      <c r="J2051" s="92" t="s">
        <v>727</v>
      </c>
      <c r="K2051" s="71" t="s">
        <v>1503</v>
      </c>
      <c r="L2051" s="72">
        <v>41673</v>
      </c>
      <c r="M2051" s="73" t="s">
        <v>729</v>
      </c>
      <c r="N2051" s="74">
        <v>41682</v>
      </c>
      <c r="O2051" s="75">
        <v>41682</v>
      </c>
      <c r="P2051" s="2765" t="s">
        <v>1505</v>
      </c>
      <c r="Q2051" s="2954"/>
      <c r="R2051" s="76">
        <v>0</v>
      </c>
      <c r="S2051" s="1945" t="s">
        <v>731</v>
      </c>
      <c r="T2051" s="77"/>
      <c r="U2051" s="1893"/>
      <c r="V2051" s="2079">
        <f t="shared" si="490"/>
        <v>0</v>
      </c>
      <c r="W2051" s="78">
        <f t="shared" si="491"/>
        <v>0</v>
      </c>
      <c r="X2051" s="1878" t="str">
        <f t="shared" si="489"/>
        <v xml:space="preserve">7.- C Lima Caucho 0320508-OT_000528  Sacar_Banda 001-00592 </v>
      </c>
      <c r="Z2051" s="19" t="str">
        <f t="shared" si="492"/>
        <v>Sacar_BandaReenc. MASTERCAUCHO</v>
      </c>
    </row>
    <row r="2052" spans="2:26" ht="15.2" customHeight="1" outlineLevel="1">
      <c r="B2052" s="3326"/>
      <c r="E2052" s="66">
        <v>8</v>
      </c>
      <c r="F2052" s="67" t="s">
        <v>732</v>
      </c>
      <c r="G2052" s="68" t="s">
        <v>757</v>
      </c>
      <c r="H2052" s="69" t="s">
        <v>1509</v>
      </c>
      <c r="I2052" s="90" t="s">
        <v>744</v>
      </c>
      <c r="J2052" s="92" t="s">
        <v>727</v>
      </c>
      <c r="K2052" s="71" t="s">
        <v>1503</v>
      </c>
      <c r="L2052" s="72">
        <v>41673</v>
      </c>
      <c r="M2052" s="73" t="s">
        <v>729</v>
      </c>
      <c r="N2052" s="74">
        <v>41682</v>
      </c>
      <c r="O2052" s="75">
        <v>41682</v>
      </c>
      <c r="P2052" s="2765" t="s">
        <v>1505</v>
      </c>
      <c r="Q2052" s="2954"/>
      <c r="R2052" s="76">
        <v>0</v>
      </c>
      <c r="S2052" s="1945" t="s">
        <v>731</v>
      </c>
      <c r="T2052" s="77"/>
      <c r="U2052" s="1893"/>
      <c r="V2052" s="2079">
        <f t="shared" si="490"/>
        <v>0</v>
      </c>
      <c r="W2052" s="78">
        <f t="shared" si="491"/>
        <v>0</v>
      </c>
      <c r="X2052" s="1878" t="str">
        <f t="shared" si="489"/>
        <v xml:space="preserve">8.- C Goodyear 0670404-OT_000528  Sacar_Banda 001-00592 </v>
      </c>
      <c r="Z2052" s="19" t="str">
        <f t="shared" si="492"/>
        <v>Vulcanizado (curación)Reenc. MASTERCAUCHO</v>
      </c>
    </row>
    <row r="2053" spans="2:26" ht="15.2" customHeight="1" outlineLevel="1">
      <c r="B2053" s="3326"/>
      <c r="E2053" s="66">
        <v>9</v>
      </c>
      <c r="F2053" s="67" t="s">
        <v>732</v>
      </c>
      <c r="G2053" s="68" t="s">
        <v>757</v>
      </c>
      <c r="H2053" s="69" t="s">
        <v>1510</v>
      </c>
      <c r="I2053" s="90" t="s">
        <v>744</v>
      </c>
      <c r="J2053" s="92" t="s">
        <v>727</v>
      </c>
      <c r="K2053" s="71" t="s">
        <v>1503</v>
      </c>
      <c r="L2053" s="72">
        <v>41673</v>
      </c>
      <c r="M2053" s="73" t="s">
        <v>729</v>
      </c>
      <c r="N2053" s="74">
        <v>41682</v>
      </c>
      <c r="O2053" s="75">
        <v>41682</v>
      </c>
      <c r="P2053" s="2765" t="s">
        <v>1505</v>
      </c>
      <c r="Q2053" s="2954"/>
      <c r="R2053" s="76">
        <v>0</v>
      </c>
      <c r="S2053" s="1945" t="s">
        <v>731</v>
      </c>
      <c r="T2053" s="77"/>
      <c r="U2053" s="1893"/>
      <c r="V2053" s="2079">
        <f t="shared" si="490"/>
        <v>0</v>
      </c>
      <c r="W2053" s="78">
        <f t="shared" si="491"/>
        <v>0</v>
      </c>
      <c r="X2053" s="1878" t="str">
        <f t="shared" si="489"/>
        <v xml:space="preserve">9.- C Goodyear 046092003-OT_000528  Sacar_Banda 001-00592 </v>
      </c>
      <c r="Z2053" s="19" t="str">
        <f t="shared" si="492"/>
        <v>ReencaucheReencauchadora RENOVA</v>
      </c>
    </row>
    <row r="2054" spans="2:26" ht="15.2" customHeight="1" outlineLevel="1">
      <c r="B2054" s="3326"/>
      <c r="E2054" s="66">
        <v>10</v>
      </c>
      <c r="F2054" s="67" t="s">
        <v>732</v>
      </c>
      <c r="G2054" s="68" t="s">
        <v>757</v>
      </c>
      <c r="H2054" s="69" t="s">
        <v>1511</v>
      </c>
      <c r="I2054" s="90" t="s">
        <v>744</v>
      </c>
      <c r="J2054" s="92" t="s">
        <v>727</v>
      </c>
      <c r="K2054" s="71" t="s">
        <v>1503</v>
      </c>
      <c r="L2054" s="72">
        <v>41673</v>
      </c>
      <c r="M2054" s="73" t="s">
        <v>729</v>
      </c>
      <c r="N2054" s="74">
        <v>41682</v>
      </c>
      <c r="O2054" s="75">
        <v>41682</v>
      </c>
      <c r="P2054" s="2765" t="s">
        <v>1505</v>
      </c>
      <c r="Q2054" s="2954"/>
      <c r="R2054" s="76">
        <v>0</v>
      </c>
      <c r="S2054" s="1945" t="s">
        <v>731</v>
      </c>
      <c r="T2054" s="77"/>
      <c r="U2054" s="1893"/>
      <c r="V2054" s="2079">
        <f t="shared" si="490"/>
        <v>0</v>
      </c>
      <c r="W2054" s="78">
        <f t="shared" si="491"/>
        <v>0</v>
      </c>
      <c r="X2054" s="1878" t="str">
        <f t="shared" si="489"/>
        <v xml:space="preserve">10.- C Goodyear 1911204-OT_000528  Sacar_Banda 001-00592 </v>
      </c>
      <c r="Z2054" s="19" t="str">
        <f t="shared" si="492"/>
        <v>ReencaucheReencauchadora RENOVA</v>
      </c>
    </row>
    <row r="2055" spans="2:26" ht="15.2" customHeight="1" outlineLevel="1">
      <c r="B2055" s="3326"/>
      <c r="C2055" s="2">
        <f t="shared" ref="C2055:C2075" si="494">1+C2056</f>
        <v>28</v>
      </c>
      <c r="D2055" s="3">
        <f t="shared" ref="D2055:D2075" si="495">1+D2056</f>
        <v>22</v>
      </c>
      <c r="E2055" s="79">
        <v>11</v>
      </c>
      <c r="F2055" s="80" t="s">
        <v>732</v>
      </c>
      <c r="G2055" s="81" t="s">
        <v>737</v>
      </c>
      <c r="H2055" s="82" t="s">
        <v>786</v>
      </c>
      <c r="I2055" s="150" t="s">
        <v>811</v>
      </c>
      <c r="J2055" s="152" t="s">
        <v>727</v>
      </c>
      <c r="K2055" s="84" t="s">
        <v>1503</v>
      </c>
      <c r="L2055" s="85">
        <v>41673</v>
      </c>
      <c r="M2055" s="86" t="s">
        <v>729</v>
      </c>
      <c r="N2055" s="87">
        <v>41682</v>
      </c>
      <c r="O2055" s="88">
        <f t="shared" ref="O2055:O2076" si="496">+N2055</f>
        <v>41682</v>
      </c>
      <c r="P2055" s="2766" t="s">
        <v>1505</v>
      </c>
      <c r="Q2055" s="2955"/>
      <c r="R2055" s="89">
        <v>0</v>
      </c>
      <c r="S2055" s="1946" t="s">
        <v>731</v>
      </c>
      <c r="T2055" s="77"/>
      <c r="U2055" s="1893"/>
      <c r="V2055" s="2079">
        <f t="shared" si="490"/>
        <v>0</v>
      </c>
      <c r="W2055" s="78">
        <f t="shared" si="491"/>
        <v>0</v>
      </c>
      <c r="X2055" s="1878" t="str">
        <f t="shared" si="489"/>
        <v xml:space="preserve">11.- C Vikrant 0210310-OT_000528  Vulcanizado (curación) 001-00592 </v>
      </c>
      <c r="Z2055" s="19" t="str">
        <f t="shared" si="492"/>
        <v>ReencaucheReencauchadora RENOVA</v>
      </c>
    </row>
    <row r="2056" spans="2:26" ht="15.2" customHeight="1" outlineLevel="1">
      <c r="B2056" s="3326"/>
      <c r="C2056" s="2">
        <f t="shared" si="494"/>
        <v>27</v>
      </c>
      <c r="D2056" s="3">
        <f t="shared" si="495"/>
        <v>21</v>
      </c>
      <c r="E2056" s="66">
        <v>1</v>
      </c>
      <c r="F2056" s="67" t="s">
        <v>732</v>
      </c>
      <c r="G2056" s="68" t="s">
        <v>733</v>
      </c>
      <c r="H2056" s="69" t="s">
        <v>986</v>
      </c>
      <c r="I2056" s="68" t="s">
        <v>726</v>
      </c>
      <c r="J2056" s="70" t="s">
        <v>760</v>
      </c>
      <c r="K2056" s="71" t="s">
        <v>1512</v>
      </c>
      <c r="L2056" s="72">
        <v>41659</v>
      </c>
      <c r="M2056" s="73" t="s">
        <v>729</v>
      </c>
      <c r="N2056" s="74">
        <v>41673</v>
      </c>
      <c r="O2056" s="75">
        <f t="shared" si="496"/>
        <v>41673</v>
      </c>
      <c r="P2056" s="2765" t="s">
        <v>1518</v>
      </c>
      <c r="Q2056" s="2954"/>
      <c r="R2056" s="76">
        <v>281.49</v>
      </c>
      <c r="S2056" s="1945" t="s">
        <v>731</v>
      </c>
      <c r="T2056" s="77"/>
      <c r="U2056" s="1893"/>
      <c r="V2056" s="2079">
        <f t="shared" si="490"/>
        <v>0</v>
      </c>
      <c r="W2056" s="78">
        <f t="shared" si="491"/>
        <v>332.15819999999997</v>
      </c>
      <c r="X2056" s="1878" t="str">
        <f t="shared" si="489"/>
        <v xml:space="preserve">1.- C Lima Caucho 1181107-OT_193265  Reencauche 030-032595 </v>
      </c>
      <c r="Z2056" s="19" t="str">
        <f t="shared" si="492"/>
        <v>ReencaucheReencauchadora RENOVA</v>
      </c>
    </row>
    <row r="2057" spans="2:26" ht="15.2" customHeight="1" outlineLevel="1">
      <c r="B2057" s="3326"/>
      <c r="C2057" s="2">
        <f t="shared" si="494"/>
        <v>26</v>
      </c>
      <c r="D2057" s="3">
        <f t="shared" si="495"/>
        <v>20</v>
      </c>
      <c r="E2057" s="66">
        <v>2</v>
      </c>
      <c r="F2057" s="67" t="s">
        <v>732</v>
      </c>
      <c r="G2057" s="68" t="s">
        <v>733</v>
      </c>
      <c r="H2057" s="69" t="s">
        <v>1519</v>
      </c>
      <c r="I2057" s="68" t="s">
        <v>726</v>
      </c>
      <c r="J2057" s="70" t="s">
        <v>760</v>
      </c>
      <c r="K2057" s="71" t="s">
        <v>1512</v>
      </c>
      <c r="L2057" s="72">
        <v>41659</v>
      </c>
      <c r="M2057" s="73" t="s">
        <v>729</v>
      </c>
      <c r="N2057" s="74">
        <v>41673</v>
      </c>
      <c r="O2057" s="75">
        <f t="shared" si="496"/>
        <v>41673</v>
      </c>
      <c r="P2057" s="2765" t="s">
        <v>1518</v>
      </c>
      <c r="Q2057" s="2954"/>
      <c r="R2057" s="76">
        <v>281.49</v>
      </c>
      <c r="S2057" s="1945" t="s">
        <v>731</v>
      </c>
      <c r="T2057" s="77"/>
      <c r="U2057" s="1893"/>
      <c r="V2057" s="2079">
        <f t="shared" si="490"/>
        <v>0</v>
      </c>
      <c r="W2057" s="78">
        <f t="shared" si="491"/>
        <v>332.15819999999997</v>
      </c>
      <c r="X2057" s="1878" t="str">
        <f t="shared" si="489"/>
        <v xml:space="preserve">2.- C Lima Caucho 0630907-OT_193265  Reencauche 030-032595 </v>
      </c>
      <c r="Z2057" s="19" t="str">
        <f t="shared" si="492"/>
        <v>ReencaucheReencauchadora RENOVA</v>
      </c>
    </row>
    <row r="2058" spans="2:26" ht="15.2" customHeight="1" outlineLevel="1">
      <c r="B2058" s="3326"/>
      <c r="C2058" s="2">
        <f t="shared" si="494"/>
        <v>25</v>
      </c>
      <c r="D2058" s="3">
        <f t="shared" si="495"/>
        <v>19</v>
      </c>
      <c r="E2058" s="66">
        <v>3</v>
      </c>
      <c r="F2058" s="67" t="s">
        <v>732</v>
      </c>
      <c r="G2058" s="68" t="s">
        <v>733</v>
      </c>
      <c r="H2058" s="69" t="s">
        <v>1520</v>
      </c>
      <c r="I2058" s="68" t="s">
        <v>726</v>
      </c>
      <c r="J2058" s="70" t="s">
        <v>760</v>
      </c>
      <c r="K2058" s="71" t="s">
        <v>1512</v>
      </c>
      <c r="L2058" s="72">
        <v>41659</v>
      </c>
      <c r="M2058" s="73" t="s">
        <v>729</v>
      </c>
      <c r="N2058" s="74">
        <v>41673</v>
      </c>
      <c r="O2058" s="75">
        <f t="shared" si="496"/>
        <v>41673</v>
      </c>
      <c r="P2058" s="2765" t="s">
        <v>1518</v>
      </c>
      <c r="Q2058" s="2954"/>
      <c r="R2058" s="76">
        <v>281.49</v>
      </c>
      <c r="S2058" s="1945" t="s">
        <v>731</v>
      </c>
      <c r="T2058" s="77"/>
      <c r="U2058" s="1893"/>
      <c r="V2058" s="2079">
        <f t="shared" si="490"/>
        <v>0</v>
      </c>
      <c r="W2058" s="78">
        <f t="shared" si="491"/>
        <v>332.15819999999997</v>
      </c>
      <c r="X2058" s="1878" t="str">
        <f t="shared" si="489"/>
        <v xml:space="preserve">3.- C Lima Caucho 0901010-OT_193265  Reencauche 030-032595 </v>
      </c>
      <c r="Z2058" s="19" t="str">
        <f t="shared" si="492"/>
        <v>ReencaucheReencauchadora RENOVA</v>
      </c>
    </row>
    <row r="2059" spans="2:26" ht="15.2" customHeight="1" outlineLevel="1">
      <c r="B2059" s="3326"/>
      <c r="C2059" s="2">
        <f t="shared" si="494"/>
        <v>24</v>
      </c>
      <c r="D2059" s="3">
        <f t="shared" si="495"/>
        <v>18</v>
      </c>
      <c r="E2059" s="66">
        <v>4</v>
      </c>
      <c r="F2059" s="67" t="s">
        <v>732</v>
      </c>
      <c r="G2059" s="68" t="s">
        <v>733</v>
      </c>
      <c r="H2059" s="69" t="s">
        <v>813</v>
      </c>
      <c r="I2059" s="68" t="s">
        <v>726</v>
      </c>
      <c r="J2059" s="70" t="s">
        <v>760</v>
      </c>
      <c r="K2059" s="71" t="s">
        <v>1512</v>
      </c>
      <c r="L2059" s="72">
        <v>41659</v>
      </c>
      <c r="M2059" s="73" t="s">
        <v>729</v>
      </c>
      <c r="N2059" s="74">
        <v>41673</v>
      </c>
      <c r="O2059" s="75">
        <f t="shared" si="496"/>
        <v>41673</v>
      </c>
      <c r="P2059" s="2765" t="s">
        <v>1518</v>
      </c>
      <c r="Q2059" s="2954"/>
      <c r="R2059" s="76">
        <v>281.49</v>
      </c>
      <c r="S2059" s="1945" t="s">
        <v>731</v>
      </c>
      <c r="T2059" s="77"/>
      <c r="U2059" s="1893"/>
      <c r="V2059" s="2079">
        <f t="shared" si="490"/>
        <v>0</v>
      </c>
      <c r="W2059" s="78">
        <f t="shared" si="491"/>
        <v>332.15819999999997</v>
      </c>
      <c r="X2059" s="1878" t="str">
        <f t="shared" si="489"/>
        <v xml:space="preserve">4.- C Lima Caucho 0971210-OT_193265  Reencauche 030-032595 </v>
      </c>
      <c r="Z2059" s="19" t="str">
        <f t="shared" si="492"/>
        <v>ReencaucheReencauchadora RENOVA</v>
      </c>
    </row>
    <row r="2060" spans="2:26" ht="15.2" customHeight="1" outlineLevel="1">
      <c r="B2060" s="3326"/>
      <c r="C2060" s="2">
        <f t="shared" si="494"/>
        <v>23</v>
      </c>
      <c r="D2060" s="3">
        <f t="shared" si="495"/>
        <v>17</v>
      </c>
      <c r="E2060" s="66">
        <v>5</v>
      </c>
      <c r="F2060" s="67" t="s">
        <v>732</v>
      </c>
      <c r="G2060" s="68" t="s">
        <v>733</v>
      </c>
      <c r="H2060" s="69" t="s">
        <v>1521</v>
      </c>
      <c r="I2060" s="68" t="s">
        <v>726</v>
      </c>
      <c r="J2060" s="70" t="s">
        <v>760</v>
      </c>
      <c r="K2060" s="71" t="s">
        <v>1512</v>
      </c>
      <c r="L2060" s="72">
        <v>41659</v>
      </c>
      <c r="M2060" s="73" t="s">
        <v>729</v>
      </c>
      <c r="N2060" s="74">
        <v>41673</v>
      </c>
      <c r="O2060" s="75">
        <f t="shared" si="496"/>
        <v>41673</v>
      </c>
      <c r="P2060" s="2765" t="s">
        <v>1518</v>
      </c>
      <c r="Q2060" s="2954"/>
      <c r="R2060" s="76">
        <v>281.49</v>
      </c>
      <c r="S2060" s="1945" t="s">
        <v>731</v>
      </c>
      <c r="T2060" s="77"/>
      <c r="U2060" s="1893"/>
      <c r="V2060" s="2079">
        <f t="shared" si="490"/>
        <v>0</v>
      </c>
      <c r="W2060" s="78">
        <f t="shared" si="491"/>
        <v>332.15819999999997</v>
      </c>
      <c r="X2060" s="1878" t="str">
        <f t="shared" si="489"/>
        <v xml:space="preserve">5.- C Lima Caucho 0250507-OT_193265  Reencauche 030-032595 </v>
      </c>
      <c r="Z2060" s="19" t="str">
        <f t="shared" si="492"/>
        <v>ReencaucheReencauchadora RENOVA</v>
      </c>
    </row>
    <row r="2061" spans="2:26" ht="15.2" customHeight="1" outlineLevel="1">
      <c r="B2061" s="3326"/>
      <c r="C2061" s="2">
        <f t="shared" si="494"/>
        <v>22</v>
      </c>
      <c r="D2061" s="3">
        <f t="shared" si="495"/>
        <v>16</v>
      </c>
      <c r="E2061" s="66">
        <v>6</v>
      </c>
      <c r="F2061" s="67" t="s">
        <v>732</v>
      </c>
      <c r="G2061" s="68" t="s">
        <v>733</v>
      </c>
      <c r="H2061" s="69" t="s">
        <v>1522</v>
      </c>
      <c r="I2061" s="68" t="s">
        <v>726</v>
      </c>
      <c r="J2061" s="70" t="s">
        <v>760</v>
      </c>
      <c r="K2061" s="71" t="s">
        <v>1512</v>
      </c>
      <c r="L2061" s="72">
        <v>41659</v>
      </c>
      <c r="M2061" s="73" t="s">
        <v>729</v>
      </c>
      <c r="N2061" s="74">
        <v>41673</v>
      </c>
      <c r="O2061" s="75">
        <f t="shared" si="496"/>
        <v>41673</v>
      </c>
      <c r="P2061" s="2765" t="s">
        <v>1518</v>
      </c>
      <c r="Q2061" s="2954"/>
      <c r="R2061" s="76">
        <v>281.49</v>
      </c>
      <c r="S2061" s="1945" t="s">
        <v>731</v>
      </c>
      <c r="T2061" s="77"/>
      <c r="U2061" s="1893"/>
      <c r="V2061" s="2079">
        <f t="shared" si="490"/>
        <v>0</v>
      </c>
      <c r="W2061" s="78">
        <f t="shared" si="491"/>
        <v>332.15819999999997</v>
      </c>
      <c r="X2061" s="1878" t="str">
        <f t="shared" si="489"/>
        <v xml:space="preserve">6.- C Lima Caucho 1501209-OT_193265  Reencauche 030-032595 </v>
      </c>
      <c r="Z2061" s="19" t="str">
        <f t="shared" si="492"/>
        <v>ReencaucheReencauchadora RENOVA</v>
      </c>
    </row>
    <row r="2062" spans="2:26" ht="15.2" customHeight="1" outlineLevel="1">
      <c r="B2062" s="3326"/>
      <c r="C2062" s="2">
        <f t="shared" si="494"/>
        <v>21</v>
      </c>
      <c r="D2062" s="3">
        <f t="shared" si="495"/>
        <v>15</v>
      </c>
      <c r="E2062" s="66">
        <v>7</v>
      </c>
      <c r="F2062" s="67" t="s">
        <v>732</v>
      </c>
      <c r="G2062" s="68" t="s">
        <v>733</v>
      </c>
      <c r="H2062" s="69" t="s">
        <v>983</v>
      </c>
      <c r="I2062" s="68" t="s">
        <v>726</v>
      </c>
      <c r="J2062" s="70" t="s">
        <v>760</v>
      </c>
      <c r="K2062" s="71" t="s">
        <v>1512</v>
      </c>
      <c r="L2062" s="72">
        <v>41659</v>
      </c>
      <c r="M2062" s="73" t="s">
        <v>729</v>
      </c>
      <c r="N2062" s="74">
        <v>41673</v>
      </c>
      <c r="O2062" s="75">
        <f t="shared" si="496"/>
        <v>41673</v>
      </c>
      <c r="P2062" s="2765" t="s">
        <v>1518</v>
      </c>
      <c r="Q2062" s="2954"/>
      <c r="R2062" s="76">
        <v>281.49</v>
      </c>
      <c r="S2062" s="1945" t="s">
        <v>731</v>
      </c>
      <c r="T2062" s="77"/>
      <c r="U2062" s="1893"/>
      <c r="V2062" s="2079">
        <f t="shared" si="490"/>
        <v>0</v>
      </c>
      <c r="W2062" s="78">
        <f t="shared" si="491"/>
        <v>332.15819999999997</v>
      </c>
      <c r="X2062" s="1878" t="str">
        <f t="shared" si="489"/>
        <v xml:space="preserve">7.- C Lima Caucho 1211210-OT_193265  Reencauche 030-032595 </v>
      </c>
      <c r="Z2062" s="19" t="str">
        <f t="shared" si="492"/>
        <v>ReencaucheReencauchadora RENOVA</v>
      </c>
    </row>
    <row r="2063" spans="2:26" ht="15.2" customHeight="1" outlineLevel="1">
      <c r="B2063" s="3326"/>
      <c r="C2063" s="2">
        <f t="shared" si="494"/>
        <v>20</v>
      </c>
      <c r="D2063" s="3">
        <f t="shared" si="495"/>
        <v>14</v>
      </c>
      <c r="E2063" s="66">
        <v>8</v>
      </c>
      <c r="F2063" s="67" t="s">
        <v>732</v>
      </c>
      <c r="G2063" s="68" t="s">
        <v>733</v>
      </c>
      <c r="H2063" s="69" t="s">
        <v>970</v>
      </c>
      <c r="I2063" s="68" t="s">
        <v>726</v>
      </c>
      <c r="J2063" s="70" t="s">
        <v>760</v>
      </c>
      <c r="K2063" s="71" t="s">
        <v>1512</v>
      </c>
      <c r="L2063" s="72">
        <v>41659</v>
      </c>
      <c r="M2063" s="73" t="s">
        <v>729</v>
      </c>
      <c r="N2063" s="74">
        <v>41673</v>
      </c>
      <c r="O2063" s="75">
        <f t="shared" si="496"/>
        <v>41673</v>
      </c>
      <c r="P2063" s="2765" t="s">
        <v>1518</v>
      </c>
      <c r="Q2063" s="2954"/>
      <c r="R2063" s="76">
        <v>281.49</v>
      </c>
      <c r="S2063" s="1945" t="s">
        <v>731</v>
      </c>
      <c r="T2063" s="77"/>
      <c r="U2063" s="1893"/>
      <c r="V2063" s="2079">
        <f t="shared" si="490"/>
        <v>0</v>
      </c>
      <c r="W2063" s="78">
        <f t="shared" si="491"/>
        <v>332.15819999999997</v>
      </c>
      <c r="X2063" s="1878" t="str">
        <f t="shared" si="489"/>
        <v xml:space="preserve">8.- C Lima Caucho 0951010-OT_193265  Reencauche 030-032595 </v>
      </c>
      <c r="Z2063" s="19" t="str">
        <f t="shared" si="492"/>
        <v>ReencaucheReencauchadora RENOVA</v>
      </c>
    </row>
    <row r="2064" spans="2:26" ht="15.2" customHeight="1" outlineLevel="1">
      <c r="B2064" s="3326"/>
      <c r="C2064" s="2">
        <f t="shared" si="494"/>
        <v>19</v>
      </c>
      <c r="D2064" s="3">
        <f t="shared" si="495"/>
        <v>13</v>
      </c>
      <c r="E2064" s="66">
        <v>9</v>
      </c>
      <c r="F2064" s="67" t="s">
        <v>732</v>
      </c>
      <c r="G2064" s="68" t="s">
        <v>733</v>
      </c>
      <c r="H2064" s="69" t="s">
        <v>1523</v>
      </c>
      <c r="I2064" s="68" t="s">
        <v>726</v>
      </c>
      <c r="J2064" s="70" t="s">
        <v>760</v>
      </c>
      <c r="K2064" s="71" t="s">
        <v>1512</v>
      </c>
      <c r="L2064" s="72">
        <v>41659</v>
      </c>
      <c r="M2064" s="73" t="s">
        <v>729</v>
      </c>
      <c r="N2064" s="74">
        <v>41673</v>
      </c>
      <c r="O2064" s="75">
        <f t="shared" si="496"/>
        <v>41673</v>
      </c>
      <c r="P2064" s="2765" t="s">
        <v>1518</v>
      </c>
      <c r="Q2064" s="2954"/>
      <c r="R2064" s="76">
        <v>281.49</v>
      </c>
      <c r="S2064" s="1945" t="s">
        <v>731</v>
      </c>
      <c r="T2064" s="77"/>
      <c r="U2064" s="1893"/>
      <c r="V2064" s="2079">
        <f t="shared" si="490"/>
        <v>0</v>
      </c>
      <c r="W2064" s="78">
        <f t="shared" si="491"/>
        <v>332.15819999999997</v>
      </c>
      <c r="X2064" s="1878" t="str">
        <f t="shared" si="489"/>
        <v xml:space="preserve">9.- C Lima Caucho 0550807-OT_193265  Reencauche 030-032595 </v>
      </c>
      <c r="Z2064" s="19" t="str">
        <f t="shared" si="492"/>
        <v>ReencaucheReencauchadora RENOVA</v>
      </c>
    </row>
    <row r="2065" spans="2:26" ht="15.2" customHeight="1" outlineLevel="1">
      <c r="B2065" s="3326"/>
      <c r="C2065" s="2">
        <f t="shared" si="494"/>
        <v>18</v>
      </c>
      <c r="D2065" s="3">
        <f t="shared" si="495"/>
        <v>12</v>
      </c>
      <c r="E2065" s="66">
        <v>10</v>
      </c>
      <c r="F2065" s="67" t="s">
        <v>732</v>
      </c>
      <c r="G2065" s="68" t="s">
        <v>733</v>
      </c>
      <c r="H2065" s="69" t="s">
        <v>1284</v>
      </c>
      <c r="I2065" s="68" t="s">
        <v>726</v>
      </c>
      <c r="J2065" s="70" t="s">
        <v>760</v>
      </c>
      <c r="K2065" s="71" t="s">
        <v>1512</v>
      </c>
      <c r="L2065" s="72">
        <v>41659</v>
      </c>
      <c r="M2065" s="73" t="s">
        <v>729</v>
      </c>
      <c r="N2065" s="74">
        <v>41673</v>
      </c>
      <c r="O2065" s="75">
        <f t="shared" si="496"/>
        <v>41673</v>
      </c>
      <c r="P2065" s="2765" t="s">
        <v>1518</v>
      </c>
      <c r="Q2065" s="2954"/>
      <c r="R2065" s="76">
        <v>281.49</v>
      </c>
      <c r="S2065" s="1945" t="s">
        <v>731</v>
      </c>
      <c r="T2065" s="77"/>
      <c r="U2065" s="1893"/>
      <c r="V2065" s="2079">
        <f t="shared" si="490"/>
        <v>0</v>
      </c>
      <c r="W2065" s="78">
        <f t="shared" si="491"/>
        <v>332.15819999999997</v>
      </c>
      <c r="X2065" s="1878" t="str">
        <f t="shared" si="489"/>
        <v xml:space="preserve">10.- C Lima Caucho 0560807-OT_193265  Reencauche 030-032595 </v>
      </c>
      <c r="Z2065" s="19" t="str">
        <f t="shared" si="492"/>
        <v>ReencaucheReencauchadora RENOVA</v>
      </c>
    </row>
    <row r="2066" spans="2:26" ht="15.2" customHeight="1" outlineLevel="1">
      <c r="B2066" s="3326"/>
      <c r="C2066" s="2">
        <f t="shared" si="494"/>
        <v>17</v>
      </c>
      <c r="D2066" s="3">
        <f t="shared" si="495"/>
        <v>11</v>
      </c>
      <c r="E2066" s="66">
        <v>11</v>
      </c>
      <c r="F2066" s="67" t="s">
        <v>732</v>
      </c>
      <c r="G2066" s="68" t="s">
        <v>737</v>
      </c>
      <c r="H2066" s="69" t="s">
        <v>1524</v>
      </c>
      <c r="I2066" s="68" t="s">
        <v>726</v>
      </c>
      <c r="J2066" s="70" t="s">
        <v>760</v>
      </c>
      <c r="K2066" s="71" t="s">
        <v>1525</v>
      </c>
      <c r="L2066" s="72">
        <v>41659</v>
      </c>
      <c r="M2066" s="73" t="s">
        <v>729</v>
      </c>
      <c r="N2066" s="74">
        <v>41673</v>
      </c>
      <c r="O2066" s="75">
        <f t="shared" si="496"/>
        <v>41673</v>
      </c>
      <c r="P2066" s="2765" t="s">
        <v>1518</v>
      </c>
      <c r="Q2066" s="2954"/>
      <c r="R2066" s="76">
        <v>281.49</v>
      </c>
      <c r="S2066" s="1945" t="s">
        <v>731</v>
      </c>
      <c r="T2066" s="77"/>
      <c r="U2066" s="1893"/>
      <c r="V2066" s="2079">
        <f t="shared" si="490"/>
        <v>0</v>
      </c>
      <c r="W2066" s="78">
        <f t="shared" si="491"/>
        <v>332.15819999999997</v>
      </c>
      <c r="X2066" s="1878" t="str">
        <f t="shared" si="489"/>
        <v xml:space="preserve">11.- C Vikrant 1621205-OT_193266  Reencauche 030-032595 </v>
      </c>
      <c r="Z2066" s="19" t="str">
        <f t="shared" si="492"/>
        <v>ReencaucheReencauchadora RENOVA</v>
      </c>
    </row>
    <row r="2067" spans="2:26" ht="15.2" customHeight="1" outlineLevel="1">
      <c r="B2067" s="3326"/>
      <c r="C2067" s="2">
        <f t="shared" si="494"/>
        <v>16</v>
      </c>
      <c r="D2067" s="3">
        <f t="shared" si="495"/>
        <v>10</v>
      </c>
      <c r="E2067" s="66">
        <v>12</v>
      </c>
      <c r="F2067" s="67" t="s">
        <v>732</v>
      </c>
      <c r="G2067" s="68" t="s">
        <v>737</v>
      </c>
      <c r="H2067" s="69" t="s">
        <v>1526</v>
      </c>
      <c r="I2067" s="68" t="s">
        <v>726</v>
      </c>
      <c r="J2067" s="70" t="s">
        <v>760</v>
      </c>
      <c r="K2067" s="71" t="s">
        <v>1525</v>
      </c>
      <c r="L2067" s="72">
        <v>41659</v>
      </c>
      <c r="M2067" s="73" t="s">
        <v>729</v>
      </c>
      <c r="N2067" s="74">
        <v>41673</v>
      </c>
      <c r="O2067" s="75">
        <f t="shared" si="496"/>
        <v>41673</v>
      </c>
      <c r="P2067" s="2765" t="s">
        <v>1518</v>
      </c>
      <c r="Q2067" s="2954"/>
      <c r="R2067" s="76">
        <v>281.49</v>
      </c>
      <c r="S2067" s="1945" t="s">
        <v>731</v>
      </c>
      <c r="T2067" s="77"/>
      <c r="U2067" s="1893"/>
      <c r="V2067" s="2079">
        <f t="shared" si="490"/>
        <v>0</v>
      </c>
      <c r="W2067" s="78">
        <f t="shared" si="491"/>
        <v>332.15819999999997</v>
      </c>
      <c r="X2067" s="1878" t="str">
        <f t="shared" si="489"/>
        <v xml:space="preserve">12.- C Vikrant 0340410-OT_193266  Reencauche 030-032595 </v>
      </c>
      <c r="Z2067" s="19" t="str">
        <f t="shared" si="492"/>
        <v>ReencaucheReencauchadora RENOVA</v>
      </c>
    </row>
    <row r="2068" spans="2:26" ht="15.2" customHeight="1" outlineLevel="1">
      <c r="B2068" s="3326"/>
      <c r="C2068" s="2">
        <f t="shared" si="494"/>
        <v>15</v>
      </c>
      <c r="D2068" s="3">
        <f t="shared" si="495"/>
        <v>9</v>
      </c>
      <c r="E2068" s="66">
        <v>13</v>
      </c>
      <c r="F2068" s="67" t="s">
        <v>732</v>
      </c>
      <c r="G2068" s="68" t="s">
        <v>737</v>
      </c>
      <c r="H2068" s="69" t="s">
        <v>936</v>
      </c>
      <c r="I2068" s="68" t="s">
        <v>726</v>
      </c>
      <c r="J2068" s="70" t="s">
        <v>760</v>
      </c>
      <c r="K2068" s="71" t="s">
        <v>1525</v>
      </c>
      <c r="L2068" s="72">
        <v>41659</v>
      </c>
      <c r="M2068" s="73" t="s">
        <v>729</v>
      </c>
      <c r="N2068" s="74">
        <v>41673</v>
      </c>
      <c r="O2068" s="75">
        <f t="shared" si="496"/>
        <v>41673</v>
      </c>
      <c r="P2068" s="2765" t="s">
        <v>1518</v>
      </c>
      <c r="Q2068" s="2954"/>
      <c r="R2068" s="76">
        <v>281.49</v>
      </c>
      <c r="S2068" s="1945" t="s">
        <v>731</v>
      </c>
      <c r="T2068" s="77"/>
      <c r="U2068" s="1893"/>
      <c r="V2068" s="2079">
        <f t="shared" si="490"/>
        <v>0</v>
      </c>
      <c r="W2068" s="78">
        <f t="shared" si="491"/>
        <v>332.15819999999997</v>
      </c>
      <c r="X2068" s="1878" t="str">
        <f t="shared" si="489"/>
        <v xml:space="preserve">13.- C Vikrant 0490411-OT_193266  Reencauche 030-032595 </v>
      </c>
      <c r="Z2068" s="19" t="str">
        <f t="shared" si="492"/>
        <v>ReencaucheReencauchadora RENOVA</v>
      </c>
    </row>
    <row r="2069" spans="2:26" ht="15.2" customHeight="1" outlineLevel="1">
      <c r="B2069" s="3326"/>
      <c r="C2069" s="2">
        <f t="shared" si="494"/>
        <v>14</v>
      </c>
      <c r="D2069" s="3">
        <f t="shared" si="495"/>
        <v>8</v>
      </c>
      <c r="E2069" s="66">
        <v>14</v>
      </c>
      <c r="F2069" s="67" t="s">
        <v>732</v>
      </c>
      <c r="G2069" s="68" t="s">
        <v>737</v>
      </c>
      <c r="H2069" s="69" t="s">
        <v>1527</v>
      </c>
      <c r="I2069" s="68" t="s">
        <v>726</v>
      </c>
      <c r="J2069" s="70" t="s">
        <v>760</v>
      </c>
      <c r="K2069" s="71" t="s">
        <v>1525</v>
      </c>
      <c r="L2069" s="72">
        <v>41659</v>
      </c>
      <c r="M2069" s="73" t="s">
        <v>729</v>
      </c>
      <c r="N2069" s="74">
        <v>41673</v>
      </c>
      <c r="O2069" s="75">
        <f t="shared" si="496"/>
        <v>41673</v>
      </c>
      <c r="P2069" s="2765" t="s">
        <v>1518</v>
      </c>
      <c r="Q2069" s="2954"/>
      <c r="R2069" s="76">
        <v>281.49</v>
      </c>
      <c r="S2069" s="1945" t="s">
        <v>731</v>
      </c>
      <c r="T2069" s="77"/>
      <c r="U2069" s="1893"/>
      <c r="V2069" s="2079">
        <f t="shared" si="490"/>
        <v>0</v>
      </c>
      <c r="W2069" s="78">
        <f t="shared" si="491"/>
        <v>332.15819999999997</v>
      </c>
      <c r="X2069" s="1878" t="str">
        <f t="shared" si="489"/>
        <v xml:space="preserve">14.- C Vikrant 0270211-OT_193266  Reencauche 030-032595 </v>
      </c>
      <c r="Z2069" s="19" t="str">
        <f t="shared" si="492"/>
        <v>ReencaucheReencauchadora RENOVA</v>
      </c>
    </row>
    <row r="2070" spans="2:26" ht="15.2" customHeight="1" outlineLevel="1">
      <c r="B2070" s="3326"/>
      <c r="C2070" s="2">
        <f t="shared" si="494"/>
        <v>13</v>
      </c>
      <c r="D2070" s="3">
        <f t="shared" si="495"/>
        <v>7</v>
      </c>
      <c r="E2070" s="66">
        <v>15</v>
      </c>
      <c r="F2070" s="67" t="s">
        <v>732</v>
      </c>
      <c r="G2070" s="68" t="s">
        <v>737</v>
      </c>
      <c r="H2070" s="69" t="s">
        <v>1528</v>
      </c>
      <c r="I2070" s="68" t="s">
        <v>726</v>
      </c>
      <c r="J2070" s="70" t="s">
        <v>760</v>
      </c>
      <c r="K2070" s="71" t="s">
        <v>1525</v>
      </c>
      <c r="L2070" s="72">
        <v>41659</v>
      </c>
      <c r="M2070" s="73" t="s">
        <v>729</v>
      </c>
      <c r="N2070" s="74">
        <v>41673</v>
      </c>
      <c r="O2070" s="75">
        <f t="shared" si="496"/>
        <v>41673</v>
      </c>
      <c r="P2070" s="2765" t="s">
        <v>1518</v>
      </c>
      <c r="Q2070" s="2954"/>
      <c r="R2070" s="76">
        <v>281.49</v>
      </c>
      <c r="S2070" s="1945" t="s">
        <v>731</v>
      </c>
      <c r="T2070" s="77"/>
      <c r="U2070" s="1893"/>
      <c r="V2070" s="2079">
        <f t="shared" si="490"/>
        <v>0</v>
      </c>
      <c r="W2070" s="78">
        <f t="shared" si="491"/>
        <v>332.15819999999997</v>
      </c>
      <c r="X2070" s="1878" t="str">
        <f t="shared" si="489"/>
        <v xml:space="preserve">15.- C Vikrant 0500411-OT_193266  Reencauche 030-032595 </v>
      </c>
      <c r="Z2070" s="19" t="str">
        <f t="shared" si="492"/>
        <v>ReencaucheReencauchadora RENOVA</v>
      </c>
    </row>
    <row r="2071" spans="2:26" ht="15.2" customHeight="1" outlineLevel="1">
      <c r="B2071" s="3326"/>
      <c r="C2071" s="2">
        <f t="shared" si="494"/>
        <v>12</v>
      </c>
      <c r="D2071" s="3">
        <f t="shared" si="495"/>
        <v>6</v>
      </c>
      <c r="E2071" s="66">
        <v>16</v>
      </c>
      <c r="F2071" s="67" t="s">
        <v>732</v>
      </c>
      <c r="G2071" s="68" t="s">
        <v>737</v>
      </c>
      <c r="H2071" s="69" t="s">
        <v>843</v>
      </c>
      <c r="I2071" s="68" t="s">
        <v>726</v>
      </c>
      <c r="J2071" s="70" t="s">
        <v>760</v>
      </c>
      <c r="K2071" s="71" t="s">
        <v>1525</v>
      </c>
      <c r="L2071" s="72">
        <v>41659</v>
      </c>
      <c r="M2071" s="73" t="s">
        <v>729</v>
      </c>
      <c r="N2071" s="74">
        <v>41673</v>
      </c>
      <c r="O2071" s="75">
        <f t="shared" si="496"/>
        <v>41673</v>
      </c>
      <c r="P2071" s="2765" t="s">
        <v>1518</v>
      </c>
      <c r="Q2071" s="2954"/>
      <c r="R2071" s="76">
        <v>281.49</v>
      </c>
      <c r="S2071" s="1945" t="s">
        <v>731</v>
      </c>
      <c r="T2071" s="77"/>
      <c r="U2071" s="1893"/>
      <c r="V2071" s="2079">
        <f t="shared" si="490"/>
        <v>0</v>
      </c>
      <c r="W2071" s="78">
        <f t="shared" si="491"/>
        <v>332.15819999999997</v>
      </c>
      <c r="X2071" s="1878" t="str">
        <f t="shared" si="489"/>
        <v xml:space="preserve">16.- C Vikrant 0260211-OT_193266  Reencauche 030-032595 </v>
      </c>
      <c r="Z2071" s="19" t="str">
        <f t="shared" si="492"/>
        <v>ReencaucheReencauchadora RENOVA</v>
      </c>
    </row>
    <row r="2072" spans="2:26" ht="15.2" customHeight="1" outlineLevel="1">
      <c r="B2072" s="3326"/>
      <c r="C2072" s="2">
        <f t="shared" si="494"/>
        <v>11</v>
      </c>
      <c r="D2072" s="3">
        <f t="shared" si="495"/>
        <v>5</v>
      </c>
      <c r="E2072" s="66">
        <v>17</v>
      </c>
      <c r="F2072" s="67" t="s">
        <v>732</v>
      </c>
      <c r="G2072" s="68" t="s">
        <v>737</v>
      </c>
      <c r="H2072" s="69" t="s">
        <v>1282</v>
      </c>
      <c r="I2072" s="68" t="s">
        <v>726</v>
      </c>
      <c r="J2072" s="70" t="s">
        <v>760</v>
      </c>
      <c r="K2072" s="71" t="s">
        <v>1525</v>
      </c>
      <c r="L2072" s="72">
        <v>41659</v>
      </c>
      <c r="M2072" s="73" t="s">
        <v>729</v>
      </c>
      <c r="N2072" s="74">
        <v>41673</v>
      </c>
      <c r="O2072" s="75">
        <f t="shared" si="496"/>
        <v>41673</v>
      </c>
      <c r="P2072" s="2765" t="s">
        <v>1518</v>
      </c>
      <c r="Q2072" s="2954"/>
      <c r="R2072" s="76">
        <v>281.49</v>
      </c>
      <c r="S2072" s="1945" t="s">
        <v>731</v>
      </c>
      <c r="T2072" s="77"/>
      <c r="U2072" s="1893"/>
      <c r="V2072" s="2079">
        <f t="shared" si="490"/>
        <v>0</v>
      </c>
      <c r="W2072" s="78">
        <f t="shared" si="491"/>
        <v>332.15819999999997</v>
      </c>
      <c r="X2072" s="1878" t="str">
        <f t="shared" si="489"/>
        <v xml:space="preserve">17.- C Vikrant 0140310-OT_193266  Reencauche 030-032595 </v>
      </c>
      <c r="Z2072" s="19" t="str">
        <f t="shared" si="492"/>
        <v>ReencaucheReencauchadora RENOVA</v>
      </c>
    </row>
    <row r="2073" spans="2:26" ht="15.2" customHeight="1" outlineLevel="1">
      <c r="B2073" s="3326"/>
      <c r="C2073" s="2">
        <f t="shared" si="494"/>
        <v>10</v>
      </c>
      <c r="D2073" s="3">
        <f t="shared" si="495"/>
        <v>4</v>
      </c>
      <c r="E2073" s="66">
        <v>18</v>
      </c>
      <c r="F2073" s="67" t="s">
        <v>732</v>
      </c>
      <c r="G2073" s="68" t="s">
        <v>737</v>
      </c>
      <c r="H2073" s="69" t="s">
        <v>1529</v>
      </c>
      <c r="I2073" s="68" t="s">
        <v>726</v>
      </c>
      <c r="J2073" s="70" t="s">
        <v>760</v>
      </c>
      <c r="K2073" s="71" t="s">
        <v>1525</v>
      </c>
      <c r="L2073" s="72">
        <v>41659</v>
      </c>
      <c r="M2073" s="73" t="s">
        <v>729</v>
      </c>
      <c r="N2073" s="74">
        <v>41673</v>
      </c>
      <c r="O2073" s="75">
        <f t="shared" si="496"/>
        <v>41673</v>
      </c>
      <c r="P2073" s="2765" t="s">
        <v>1518</v>
      </c>
      <c r="Q2073" s="2954"/>
      <c r="R2073" s="76">
        <v>281.49</v>
      </c>
      <c r="S2073" s="1945" t="s">
        <v>731</v>
      </c>
      <c r="T2073" s="77"/>
      <c r="U2073" s="1893"/>
      <c r="V2073" s="2079">
        <f t="shared" si="490"/>
        <v>0</v>
      </c>
      <c r="W2073" s="78">
        <f t="shared" si="491"/>
        <v>332.15819999999997</v>
      </c>
      <c r="X2073" s="1878" t="str">
        <f t="shared" si="489"/>
        <v xml:space="preserve">18.- C Vikrant 0060108-OT_193266  Reencauche 030-032595 </v>
      </c>
      <c r="Z2073" s="19" t="str">
        <f t="shared" si="492"/>
        <v>ReencaucheReencauchadora RENOVA</v>
      </c>
    </row>
    <row r="2074" spans="2:26" ht="15.2" customHeight="1">
      <c r="B2074" s="3326"/>
      <c r="C2074" s="2">
        <f t="shared" si="494"/>
        <v>9</v>
      </c>
      <c r="D2074" s="3">
        <f t="shared" si="495"/>
        <v>3</v>
      </c>
      <c r="E2074" s="66">
        <v>19</v>
      </c>
      <c r="F2074" s="67" t="s">
        <v>732</v>
      </c>
      <c r="G2074" s="68" t="s">
        <v>737</v>
      </c>
      <c r="H2074" s="69" t="s">
        <v>1530</v>
      </c>
      <c r="I2074" s="68" t="s">
        <v>726</v>
      </c>
      <c r="J2074" s="70" t="s">
        <v>760</v>
      </c>
      <c r="K2074" s="71" t="s">
        <v>1525</v>
      </c>
      <c r="L2074" s="72">
        <v>41659</v>
      </c>
      <c r="M2074" s="73" t="s">
        <v>729</v>
      </c>
      <c r="N2074" s="74">
        <v>41673</v>
      </c>
      <c r="O2074" s="75">
        <f t="shared" si="496"/>
        <v>41673</v>
      </c>
      <c r="P2074" s="2765" t="s">
        <v>1518</v>
      </c>
      <c r="Q2074" s="2954"/>
      <c r="R2074" s="76">
        <v>281.49</v>
      </c>
      <c r="S2074" s="1945" t="s">
        <v>731</v>
      </c>
      <c r="T2074" s="77"/>
      <c r="U2074" s="1893"/>
      <c r="V2074" s="2079">
        <f t="shared" si="490"/>
        <v>0</v>
      </c>
      <c r="W2074" s="78">
        <f t="shared" si="491"/>
        <v>332.15819999999997</v>
      </c>
      <c r="X2074" s="1878" t="str">
        <f t="shared" si="489"/>
        <v xml:space="preserve">19.- C Vikrant 09022010-OT_193266  Reencauche 030-032595 </v>
      </c>
    </row>
    <row r="2075" spans="2:26" ht="15.2" customHeight="1" outlineLevel="1">
      <c r="B2075" s="3326"/>
      <c r="C2075" s="2">
        <f t="shared" si="494"/>
        <v>8</v>
      </c>
      <c r="D2075" s="3">
        <f t="shared" si="495"/>
        <v>2</v>
      </c>
      <c r="E2075" s="66">
        <v>20</v>
      </c>
      <c r="F2075" s="67" t="s">
        <v>732</v>
      </c>
      <c r="G2075" s="68" t="s">
        <v>737</v>
      </c>
      <c r="H2075" s="69" t="s">
        <v>935</v>
      </c>
      <c r="I2075" s="68" t="s">
        <v>726</v>
      </c>
      <c r="J2075" s="70" t="s">
        <v>760</v>
      </c>
      <c r="K2075" s="71" t="s">
        <v>1525</v>
      </c>
      <c r="L2075" s="72">
        <v>41659</v>
      </c>
      <c r="M2075" s="73" t="s">
        <v>729</v>
      </c>
      <c r="N2075" s="74">
        <v>41673</v>
      </c>
      <c r="O2075" s="75">
        <f t="shared" si="496"/>
        <v>41673</v>
      </c>
      <c r="P2075" s="2765" t="s">
        <v>1518</v>
      </c>
      <c r="Q2075" s="2954"/>
      <c r="R2075" s="76">
        <v>281.49</v>
      </c>
      <c r="S2075" s="1945" t="s">
        <v>731</v>
      </c>
      <c r="T2075" s="77"/>
      <c r="U2075" s="1893"/>
      <c r="V2075" s="2079">
        <f t="shared" si="490"/>
        <v>0</v>
      </c>
      <c r="W2075" s="78">
        <f t="shared" si="491"/>
        <v>332.15819999999997</v>
      </c>
      <c r="X2075" s="1878" t="str">
        <f t="shared" si="489"/>
        <v xml:space="preserve">20.- C Vikrant 0290211-OT_193266  Reencauche 030-032595 </v>
      </c>
      <c r="Z2075" s="19" t="str">
        <f t="shared" ref="Z2075:Z2084" si="497">CONCATENATE(I2078,J2078)</f>
        <v>Transpl BandaReenc. MASTERCAUCHO</v>
      </c>
    </row>
    <row r="2076" spans="2:26" ht="15.2" customHeight="1" outlineLevel="1" thickBot="1">
      <c r="B2076" s="3327"/>
      <c r="C2076" s="2">
        <f>1+C2078</f>
        <v>7</v>
      </c>
      <c r="D2076" s="3">
        <v>1</v>
      </c>
      <c r="E2076" s="79">
        <v>21</v>
      </c>
      <c r="F2076" s="80" t="s">
        <v>732</v>
      </c>
      <c r="G2076" s="81" t="s">
        <v>757</v>
      </c>
      <c r="H2076" s="82" t="s">
        <v>1531</v>
      </c>
      <c r="I2076" s="81" t="s">
        <v>726</v>
      </c>
      <c r="J2076" s="83" t="s">
        <v>760</v>
      </c>
      <c r="K2076" s="84" t="s">
        <v>1532</v>
      </c>
      <c r="L2076" s="85">
        <v>41659</v>
      </c>
      <c r="M2076" s="86" t="s">
        <v>729</v>
      </c>
      <c r="N2076" s="87">
        <v>41673</v>
      </c>
      <c r="O2076" s="88">
        <f t="shared" si="496"/>
        <v>41673</v>
      </c>
      <c r="P2076" s="2766" t="s">
        <v>1518</v>
      </c>
      <c r="Q2076" s="2955"/>
      <c r="R2076" s="89">
        <v>281.49</v>
      </c>
      <c r="S2076" s="1946" t="s">
        <v>731</v>
      </c>
      <c r="T2076" s="77"/>
      <c r="U2076" s="1893"/>
      <c r="V2076" s="2079">
        <f t="shared" si="490"/>
        <v>0</v>
      </c>
      <c r="W2076" s="78">
        <f t="shared" si="491"/>
        <v>332.15819999999997</v>
      </c>
      <c r="X2076" s="1878" t="str">
        <f t="shared" si="489"/>
        <v xml:space="preserve">21.- C Goodyear 0190205-OT_193267  Reencauche 030-032595 </v>
      </c>
      <c r="Z2076" s="19" t="str">
        <f t="shared" si="497"/>
        <v>Transpl BandaReenc. MASTERCAUCHO</v>
      </c>
    </row>
    <row r="2077" spans="2:26" ht="15.2" customHeight="1" outlineLevel="1" thickBot="1">
      <c r="B2077" s="1">
        <v>41640</v>
      </c>
      <c r="C2077" s="1"/>
      <c r="D2077" s="173">
        <f>+D2078</f>
        <v>6</v>
      </c>
      <c r="E2077" s="66"/>
      <c r="F2077" s="67"/>
      <c r="G2077" s="68"/>
      <c r="H2077" s="69"/>
      <c r="I2077" s="68"/>
      <c r="J2077" s="70"/>
      <c r="K2077" s="71"/>
      <c r="L2077" s="72"/>
      <c r="M2077" s="73"/>
      <c r="N2077" s="74"/>
      <c r="O2077" s="75"/>
      <c r="P2077" s="2765"/>
      <c r="Q2077" s="2954"/>
      <c r="R2077" s="76"/>
      <c r="S2077" s="1945"/>
      <c r="T2077" s="77"/>
      <c r="U2077" s="1893"/>
      <c r="V2077" s="2079">
        <f t="shared" si="490"/>
        <v>0</v>
      </c>
      <c r="W2077" s="78">
        <f t="shared" si="491"/>
        <v>0</v>
      </c>
      <c r="X2077" s="1878" t="str">
        <f t="shared" si="489"/>
        <v xml:space="preserve">.-   -OT_    </v>
      </c>
      <c r="Z2077" s="19" t="str">
        <f t="shared" si="497"/>
        <v>Transpl BandaReenc. MASTERCAUCHO</v>
      </c>
    </row>
    <row r="2078" spans="2:26" ht="15.2" customHeight="1" outlineLevel="1">
      <c r="B2078" s="3325">
        <v>41640</v>
      </c>
      <c r="C2078" s="2">
        <v>6</v>
      </c>
      <c r="D2078" s="3">
        <v>6</v>
      </c>
      <c r="E2078" s="66">
        <v>2</v>
      </c>
      <c r="F2078" s="67" t="s">
        <v>732</v>
      </c>
      <c r="G2078" s="68" t="s">
        <v>757</v>
      </c>
      <c r="H2078" s="69" t="s">
        <v>1155</v>
      </c>
      <c r="I2078" s="257" t="s">
        <v>740</v>
      </c>
      <c r="J2078" s="92" t="s">
        <v>727</v>
      </c>
      <c r="K2078" s="71" t="s">
        <v>1533</v>
      </c>
      <c r="L2078" s="72">
        <v>41641</v>
      </c>
      <c r="M2078" s="73" t="s">
        <v>729</v>
      </c>
      <c r="N2078" s="74">
        <v>41649</v>
      </c>
      <c r="O2078" s="75">
        <f t="shared" ref="O2078:O2086" si="498">+N2078</f>
        <v>41649</v>
      </c>
      <c r="P2078" s="2765" t="s">
        <v>1534</v>
      </c>
      <c r="Q2078" s="2954"/>
      <c r="R2078" s="76">
        <v>127.12</v>
      </c>
      <c r="S2078" s="1945" t="s">
        <v>731</v>
      </c>
      <c r="T2078" s="77"/>
      <c r="U2078" s="1893"/>
      <c r="V2078" s="2079">
        <f t="shared" si="490"/>
        <v>0</v>
      </c>
      <c r="W2078" s="78">
        <f t="shared" si="491"/>
        <v>150.0016</v>
      </c>
      <c r="X2078" s="1878" t="str">
        <f t="shared" si="489"/>
        <v xml:space="preserve">2.- C Goodyear 1140704-OT_000512  Transpl Banda 001-000353 </v>
      </c>
      <c r="Z2078" s="19" t="str">
        <f t="shared" si="497"/>
        <v>Sacar_BandaReenc. MASTERCAUCHO</v>
      </c>
    </row>
    <row r="2079" spans="2:26" ht="15.2" customHeight="1" outlineLevel="1">
      <c r="B2079" s="3326"/>
      <c r="C2079" s="2">
        <v>5</v>
      </c>
      <c r="D2079" s="3">
        <v>5</v>
      </c>
      <c r="E2079" s="66">
        <v>3</v>
      </c>
      <c r="F2079" s="67" t="s">
        <v>732</v>
      </c>
      <c r="G2079" s="68" t="s">
        <v>757</v>
      </c>
      <c r="H2079" s="69" t="s">
        <v>1535</v>
      </c>
      <c r="I2079" s="257" t="s">
        <v>740</v>
      </c>
      <c r="J2079" s="92" t="s">
        <v>727</v>
      </c>
      <c r="K2079" s="71" t="s">
        <v>1533</v>
      </c>
      <c r="L2079" s="72">
        <v>41641</v>
      </c>
      <c r="M2079" s="73" t="s">
        <v>729</v>
      </c>
      <c r="N2079" s="74">
        <v>41649</v>
      </c>
      <c r="O2079" s="75">
        <f t="shared" si="498"/>
        <v>41649</v>
      </c>
      <c r="P2079" s="2765" t="s">
        <v>1534</v>
      </c>
      <c r="Q2079" s="2954"/>
      <c r="R2079" s="76">
        <v>127.12</v>
      </c>
      <c r="S2079" s="1945" t="s">
        <v>731</v>
      </c>
      <c r="T2079" s="77"/>
      <c r="U2079" s="1893"/>
      <c r="V2079" s="2079">
        <f t="shared" si="490"/>
        <v>0</v>
      </c>
      <c r="W2079" s="78">
        <f t="shared" si="491"/>
        <v>150.0016</v>
      </c>
      <c r="X2079" s="1878" t="str">
        <f t="shared" si="489"/>
        <v xml:space="preserve">3.- C Goodyear 002032003-OT_000512  Transpl Banda 001-000353 </v>
      </c>
      <c r="Z2079" s="19" t="str">
        <f t="shared" si="497"/>
        <v>Sacar_BandaReenc. MASTERCAUCHO</v>
      </c>
    </row>
    <row r="2080" spans="2:26" ht="15.2" customHeight="1" outlineLevel="1">
      <c r="B2080" s="3326"/>
      <c r="C2080" s="2">
        <v>4</v>
      </c>
      <c r="D2080" s="3">
        <v>4</v>
      </c>
      <c r="E2080" s="66">
        <v>4</v>
      </c>
      <c r="F2080" s="67" t="s">
        <v>732</v>
      </c>
      <c r="G2080" s="68" t="s">
        <v>733</v>
      </c>
      <c r="H2080" s="69" t="s">
        <v>1536</v>
      </c>
      <c r="I2080" s="257" t="s">
        <v>740</v>
      </c>
      <c r="J2080" s="92" t="s">
        <v>727</v>
      </c>
      <c r="K2080" s="71" t="s">
        <v>1533</v>
      </c>
      <c r="L2080" s="72">
        <v>41641</v>
      </c>
      <c r="M2080" s="73" t="s">
        <v>729</v>
      </c>
      <c r="N2080" s="74">
        <v>41649</v>
      </c>
      <c r="O2080" s="75">
        <f t="shared" si="498"/>
        <v>41649</v>
      </c>
      <c r="P2080" s="2765" t="s">
        <v>1534</v>
      </c>
      <c r="Q2080" s="2954"/>
      <c r="R2080" s="76">
        <v>127.12</v>
      </c>
      <c r="S2080" s="1945" t="s">
        <v>731</v>
      </c>
      <c r="T2080" s="77"/>
      <c r="U2080" s="1893"/>
      <c r="V2080" s="2079">
        <f t="shared" si="490"/>
        <v>0</v>
      </c>
      <c r="W2080" s="78">
        <f t="shared" si="491"/>
        <v>150.0016</v>
      </c>
      <c r="X2080" s="1878" t="str">
        <f t="shared" si="489"/>
        <v xml:space="preserve">4.- C Lima Caucho 0620610-OT_000512  Transpl Banda 001-000353 </v>
      </c>
      <c r="Z2080" s="19" t="str">
        <f t="shared" si="497"/>
        <v>Sacar_BandaReenc. MASTERCAUCHO</v>
      </c>
    </row>
    <row r="2081" spans="1:26" ht="15.2" customHeight="1" outlineLevel="1">
      <c r="B2081" s="3326"/>
      <c r="E2081" s="66">
        <v>5</v>
      </c>
      <c r="F2081" s="67" t="s">
        <v>732</v>
      </c>
      <c r="G2081" s="68" t="s">
        <v>733</v>
      </c>
      <c r="H2081" s="69" t="s">
        <v>1537</v>
      </c>
      <c r="I2081" s="257" t="s">
        <v>744</v>
      </c>
      <c r="J2081" s="92" t="s">
        <v>727</v>
      </c>
      <c r="K2081" s="71" t="s">
        <v>1533</v>
      </c>
      <c r="L2081" s="72">
        <v>41641</v>
      </c>
      <c r="M2081" s="73" t="s">
        <v>729</v>
      </c>
      <c r="N2081" s="74">
        <v>41649</v>
      </c>
      <c r="O2081" s="75">
        <f t="shared" si="498"/>
        <v>41649</v>
      </c>
      <c r="P2081" s="2765" t="s">
        <v>1534</v>
      </c>
      <c r="Q2081" s="2954"/>
      <c r="R2081" s="76">
        <v>0</v>
      </c>
      <c r="S2081" s="1945" t="s">
        <v>731</v>
      </c>
      <c r="T2081" s="77"/>
      <c r="U2081" s="1893"/>
      <c r="V2081" s="2079">
        <f t="shared" si="490"/>
        <v>0</v>
      </c>
      <c r="W2081" s="78">
        <f t="shared" si="491"/>
        <v>0</v>
      </c>
      <c r="X2081" s="1878" t="str">
        <f t="shared" si="489"/>
        <v xml:space="preserve">5.- C Lima Caucho 0660810-OT_000512  Sacar_Banda 001-000353 </v>
      </c>
      <c r="Z2081" s="19" t="str">
        <f t="shared" si="497"/>
        <v>Vulcanizado (curación)Reenc. MASTERCAUCHO</v>
      </c>
    </row>
    <row r="2082" spans="1:26" ht="15.2" customHeight="1" outlineLevel="1">
      <c r="B2082" s="3326"/>
      <c r="E2082" s="66">
        <v>6</v>
      </c>
      <c r="F2082" s="67" t="s">
        <v>732</v>
      </c>
      <c r="G2082" s="68" t="s">
        <v>1233</v>
      </c>
      <c r="H2082" s="69" t="s">
        <v>1538</v>
      </c>
      <c r="I2082" s="257" t="s">
        <v>744</v>
      </c>
      <c r="J2082" s="92" t="s">
        <v>727</v>
      </c>
      <c r="K2082" s="71" t="s">
        <v>1533</v>
      </c>
      <c r="L2082" s="72">
        <v>41641</v>
      </c>
      <c r="M2082" s="73" t="s">
        <v>729</v>
      </c>
      <c r="N2082" s="74">
        <v>41649</v>
      </c>
      <c r="O2082" s="75">
        <f t="shared" si="498"/>
        <v>41649</v>
      </c>
      <c r="P2082" s="2765" t="s">
        <v>1534</v>
      </c>
      <c r="Q2082" s="2954"/>
      <c r="R2082" s="76">
        <v>0</v>
      </c>
      <c r="S2082" s="1945" t="s">
        <v>731</v>
      </c>
      <c r="T2082" s="77"/>
      <c r="U2082" s="1893"/>
      <c r="V2082" s="2079">
        <f t="shared" si="490"/>
        <v>0</v>
      </c>
      <c r="W2082" s="78">
        <f t="shared" si="491"/>
        <v>0</v>
      </c>
      <c r="X2082" s="1878" t="str">
        <f t="shared" ref="X2082:X2145" si="499">CONCATENATE(E2082,".- ",F2082," ",G2082," ",H2082,"-OT_",K2082," "," ",I2082," ",P2082," ",T2082)</f>
        <v xml:space="preserve">6.- C Saratoga 0130306-OT_000512  Sacar_Banda 001-000353 </v>
      </c>
      <c r="Z2082" s="19" t="str">
        <f t="shared" si="497"/>
        <v>ReencaucheReenc. MASTERCAUCHO</v>
      </c>
    </row>
    <row r="2083" spans="1:26" ht="15.2" customHeight="1" outlineLevel="1" thickBot="1">
      <c r="B2083" s="3326"/>
      <c r="E2083" s="66">
        <v>7</v>
      </c>
      <c r="F2083" s="67" t="s">
        <v>732</v>
      </c>
      <c r="G2083" s="68" t="s">
        <v>737</v>
      </c>
      <c r="H2083" s="69" t="s">
        <v>1539</v>
      </c>
      <c r="I2083" s="257" t="s">
        <v>744</v>
      </c>
      <c r="J2083" s="92" t="s">
        <v>727</v>
      </c>
      <c r="K2083" s="71" t="s">
        <v>1533</v>
      </c>
      <c r="L2083" s="72">
        <v>41641</v>
      </c>
      <c r="M2083" s="73" t="s">
        <v>729</v>
      </c>
      <c r="N2083" s="74">
        <v>41649</v>
      </c>
      <c r="O2083" s="75">
        <f t="shared" si="498"/>
        <v>41649</v>
      </c>
      <c r="P2083" s="2765" t="s">
        <v>1534</v>
      </c>
      <c r="Q2083" s="2954"/>
      <c r="R2083" s="76">
        <v>0</v>
      </c>
      <c r="S2083" s="1945" t="s">
        <v>731</v>
      </c>
      <c r="T2083" s="77"/>
      <c r="U2083" s="1893"/>
      <c r="V2083" s="2079">
        <f t="shared" ref="V2083:V2146" si="500">+Q2083*(1.18)</f>
        <v>0</v>
      </c>
      <c r="W2083" s="78">
        <f t="shared" ref="W2083:W2146" si="501">+R2083*(1.18)</f>
        <v>0</v>
      </c>
      <c r="X2083" s="1878" t="str">
        <f t="shared" si="499"/>
        <v xml:space="preserve">7.- C Vikrant 1230805-OT_000512  Sacar_Banda 001-000353 </v>
      </c>
      <c r="Z2083" s="19" t="str">
        <f t="shared" si="497"/>
        <v>ReencaucheReenc. MASTERCAUCHO</v>
      </c>
    </row>
    <row r="2084" spans="1:26" s="65" customFormat="1">
      <c r="A2084"/>
      <c r="B2084" s="3326"/>
      <c r="C2084" s="2">
        <v>3</v>
      </c>
      <c r="D2084" s="3">
        <v>3</v>
      </c>
      <c r="E2084" s="66"/>
      <c r="F2084" s="67" t="s">
        <v>732</v>
      </c>
      <c r="G2084" s="68" t="s">
        <v>737</v>
      </c>
      <c r="H2084" s="69" t="s">
        <v>1046</v>
      </c>
      <c r="I2084" s="257" t="s">
        <v>811</v>
      </c>
      <c r="J2084" s="92" t="s">
        <v>727</v>
      </c>
      <c r="K2084" s="71" t="s">
        <v>1533</v>
      </c>
      <c r="L2084" s="72">
        <v>41641</v>
      </c>
      <c r="M2084" s="73" t="s">
        <v>729</v>
      </c>
      <c r="N2084" s="74">
        <v>41649</v>
      </c>
      <c r="O2084" s="75">
        <f t="shared" si="498"/>
        <v>41649</v>
      </c>
      <c r="P2084" s="2765" t="s">
        <v>1534</v>
      </c>
      <c r="Q2084" s="2954"/>
      <c r="R2084" s="76">
        <v>105.93</v>
      </c>
      <c r="S2084" s="1945" t="s">
        <v>731</v>
      </c>
      <c r="T2084" s="77"/>
      <c r="U2084" s="1893"/>
      <c r="V2084" s="2079">
        <f t="shared" si="500"/>
        <v>0</v>
      </c>
      <c r="W2084" s="78">
        <f t="shared" si="501"/>
        <v>124.9974</v>
      </c>
      <c r="X2084" s="1881" t="str">
        <f t="shared" si="499"/>
        <v xml:space="preserve">.- C Vikrant 0220712-OT_000512  Vulcanizado (curación) 001-000353 </v>
      </c>
      <c r="Y2084" s="63"/>
      <c r="Z2084" s="64" t="str">
        <f t="shared" si="497"/>
        <v/>
      </c>
    </row>
    <row r="2085" spans="1:26" ht="15.2" customHeight="1">
      <c r="B2085" s="3326"/>
      <c r="C2085" s="2">
        <v>2</v>
      </c>
      <c r="D2085" s="3">
        <v>2</v>
      </c>
      <c r="E2085" s="66">
        <v>1</v>
      </c>
      <c r="F2085" s="67" t="s">
        <v>723</v>
      </c>
      <c r="G2085" s="68" t="s">
        <v>724</v>
      </c>
      <c r="H2085" s="69" t="s">
        <v>973</v>
      </c>
      <c r="I2085" s="68" t="s">
        <v>726</v>
      </c>
      <c r="J2085" s="70" t="s">
        <v>727</v>
      </c>
      <c r="K2085" s="71" t="s">
        <v>1533</v>
      </c>
      <c r="L2085" s="72">
        <v>41641</v>
      </c>
      <c r="M2085" s="73" t="s">
        <v>729</v>
      </c>
      <c r="N2085" s="74">
        <v>41649</v>
      </c>
      <c r="O2085" s="75">
        <f t="shared" si="498"/>
        <v>41649</v>
      </c>
      <c r="P2085" s="2765" t="s">
        <v>1534</v>
      </c>
      <c r="Q2085" s="2954"/>
      <c r="R2085" s="76">
        <v>262.70999999999998</v>
      </c>
      <c r="S2085" s="1945" t="s">
        <v>731</v>
      </c>
      <c r="T2085" s="77"/>
      <c r="U2085" s="1893" t="s">
        <v>694</v>
      </c>
      <c r="V2085" s="2079">
        <f t="shared" si="500"/>
        <v>0</v>
      </c>
      <c r="W2085" s="78">
        <f t="shared" si="501"/>
        <v>309.99779999999998</v>
      </c>
      <c r="X2085" s="1878" t="str">
        <f t="shared" si="499"/>
        <v xml:space="preserve">1.- R Aeolus 0110612-OT_000512  Reencauche 001-000353 </v>
      </c>
    </row>
    <row r="2086" spans="1:26" ht="15.2" customHeight="1" outlineLevel="1" thickBot="1">
      <c r="B2086" s="3327"/>
      <c r="C2086" s="2">
        <v>1</v>
      </c>
      <c r="D2086" s="3">
        <v>1</v>
      </c>
      <c r="E2086" s="79">
        <v>2</v>
      </c>
      <c r="F2086" s="80" t="s">
        <v>723</v>
      </c>
      <c r="G2086" s="81" t="s">
        <v>724</v>
      </c>
      <c r="H2086" s="82" t="s">
        <v>1540</v>
      </c>
      <c r="I2086" s="81" t="s">
        <v>726</v>
      </c>
      <c r="J2086" s="83" t="s">
        <v>727</v>
      </c>
      <c r="K2086" s="84" t="s">
        <v>1533</v>
      </c>
      <c r="L2086" s="85">
        <v>41641</v>
      </c>
      <c r="M2086" s="86" t="s">
        <v>729</v>
      </c>
      <c r="N2086" s="87">
        <v>41649</v>
      </c>
      <c r="O2086" s="88">
        <f t="shared" si="498"/>
        <v>41649</v>
      </c>
      <c r="P2086" s="2766" t="s">
        <v>1534</v>
      </c>
      <c r="Q2086" s="2955"/>
      <c r="R2086" s="89">
        <v>262.70999999999998</v>
      </c>
      <c r="S2086" s="1946" t="s">
        <v>731</v>
      </c>
      <c r="T2086" s="77"/>
      <c r="U2086" s="1893" t="s">
        <v>694</v>
      </c>
      <c r="V2086" s="2079">
        <f t="shared" si="500"/>
        <v>0</v>
      </c>
      <c r="W2086" s="78">
        <f t="shared" si="501"/>
        <v>309.99779999999998</v>
      </c>
      <c r="X2086" s="1878" t="str">
        <f t="shared" si="499"/>
        <v xml:space="preserve">2.- R Aeolus 0120612-OT_000512  Reencauche 001-000353 </v>
      </c>
      <c r="Z2086" s="19" t="str">
        <f>CONCATENATE(I2089,J2089)</f>
        <v>ReencaucheReencauchadora Espinoza</v>
      </c>
    </row>
    <row r="2087" spans="1:26" ht="15.2" customHeight="1" outlineLevel="1">
      <c r="A2087" s="3307" t="s">
        <v>1541</v>
      </c>
      <c r="B2087" s="3308"/>
      <c r="C2087" s="3307"/>
      <c r="D2087" s="3309"/>
      <c r="E2087" s="51">
        <f>+D2318+D2272+D2246+D2210+D2204+D2203+D2202+D2153+D2118+D2091+D2088</f>
        <v>217</v>
      </c>
      <c r="F2087" s="2048"/>
      <c r="G2087" s="52"/>
      <c r="H2087" s="53"/>
      <c r="I2087" s="52"/>
      <c r="J2087" s="54"/>
      <c r="K2087" s="55"/>
      <c r="L2087" s="56"/>
      <c r="M2087" s="57"/>
      <c r="N2087" s="58"/>
      <c r="O2087" s="59">
        <f>+N2090</f>
        <v>41629</v>
      </c>
      <c r="P2087" s="2764"/>
      <c r="Q2087" s="2953"/>
      <c r="R2087" s="60"/>
      <c r="S2087" s="1944"/>
      <c r="T2087" s="61"/>
      <c r="U2087" s="1892"/>
      <c r="V2087" s="2079">
        <f t="shared" si="500"/>
        <v>0</v>
      </c>
      <c r="W2087" s="78">
        <f t="shared" si="501"/>
        <v>0</v>
      </c>
      <c r="X2087" s="1878" t="str">
        <f t="shared" si="499"/>
        <v xml:space="preserve">217.-   -OT_    </v>
      </c>
      <c r="Z2087" s="19" t="str">
        <f>CONCATENATE(I2090,J2090)</f>
        <v>ReencaucheReencauchadora Espinoza</v>
      </c>
    </row>
    <row r="2088" spans="1:26" ht="15.2" customHeight="1" thickBot="1">
      <c r="B2088" s="3306">
        <v>41609</v>
      </c>
      <c r="C2088" s="3306"/>
      <c r="D2088" s="258">
        <f>+D2089</f>
        <v>2</v>
      </c>
      <c r="E2088" s="66"/>
      <c r="F2088" s="67"/>
      <c r="G2088" s="68"/>
      <c r="H2088" s="69"/>
      <c r="I2088" s="68"/>
      <c r="J2088" s="70"/>
      <c r="K2088" s="71"/>
      <c r="L2088" s="72"/>
      <c r="M2088" s="73"/>
      <c r="N2088" s="74"/>
      <c r="O2088" s="75"/>
      <c r="P2088" s="2765"/>
      <c r="Q2088" s="2954"/>
      <c r="R2088" s="76"/>
      <c r="S2088" s="1945"/>
      <c r="T2088" s="77"/>
      <c r="U2088" s="1893"/>
      <c r="V2088" s="2079">
        <f t="shared" si="500"/>
        <v>0</v>
      </c>
      <c r="W2088" s="78">
        <f t="shared" si="501"/>
        <v>0</v>
      </c>
      <c r="X2088" s="1878" t="str">
        <f t="shared" si="499"/>
        <v xml:space="preserve">.-   -OT_    </v>
      </c>
    </row>
    <row r="2089" spans="1:26" ht="15.2" customHeight="1" outlineLevel="1">
      <c r="B2089" s="3328" t="s">
        <v>1542</v>
      </c>
      <c r="C2089" s="2">
        <f>1+C2090</f>
        <v>217</v>
      </c>
      <c r="D2089" s="3">
        <v>2</v>
      </c>
      <c r="E2089" s="66">
        <v>1</v>
      </c>
      <c r="F2089" s="67" t="s">
        <v>723</v>
      </c>
      <c r="G2089" s="68" t="s">
        <v>724</v>
      </c>
      <c r="H2089" s="69" t="s">
        <v>824</v>
      </c>
      <c r="I2089" s="68" t="s">
        <v>726</v>
      </c>
      <c r="J2089" s="70" t="s">
        <v>1543</v>
      </c>
      <c r="K2089" s="71" t="s">
        <v>1544</v>
      </c>
      <c r="L2089" s="72">
        <v>41604</v>
      </c>
      <c r="M2089" s="73" t="s">
        <v>729</v>
      </c>
      <c r="N2089" s="74">
        <v>41629</v>
      </c>
      <c r="O2089" s="75">
        <f>+N2089</f>
        <v>41629</v>
      </c>
      <c r="P2089" s="2765" t="s">
        <v>1545</v>
      </c>
      <c r="Q2089" s="2954"/>
      <c r="R2089" s="76">
        <f>300/(1.18)</f>
        <v>254.23728813559325</v>
      </c>
      <c r="S2089" s="1945" t="s">
        <v>731</v>
      </c>
      <c r="T2089" s="77"/>
      <c r="U2089" s="1893" t="s">
        <v>694</v>
      </c>
      <c r="V2089" s="2079">
        <f t="shared" si="500"/>
        <v>0</v>
      </c>
      <c r="W2089" s="78">
        <f t="shared" si="501"/>
        <v>300</v>
      </c>
      <c r="X2089" s="1878" t="str">
        <f t="shared" si="499"/>
        <v xml:space="preserve">1.- R Aeolus 0170612-OT_001408  Reencauche 001-000253 </v>
      </c>
      <c r="Z2089" s="19" t="str">
        <f t="shared" ref="Z2089:Z2114" si="502">CONCATENATE(I2092,J2092)</f>
        <v>ReencaucheReencauchadora RENOVA</v>
      </c>
    </row>
    <row r="2090" spans="1:26" ht="15.2" customHeight="1" outlineLevel="1" thickBot="1">
      <c r="B2090" s="3329"/>
      <c r="C2090" s="2">
        <f>1+C2092</f>
        <v>216</v>
      </c>
      <c r="D2090" s="3">
        <v>1</v>
      </c>
      <c r="E2090" s="79">
        <v>2</v>
      </c>
      <c r="F2090" s="80" t="s">
        <v>723</v>
      </c>
      <c r="G2090" s="81" t="s">
        <v>724</v>
      </c>
      <c r="H2090" s="82" t="s">
        <v>823</v>
      </c>
      <c r="I2090" s="81" t="s">
        <v>726</v>
      </c>
      <c r="J2090" s="83" t="s">
        <v>1543</v>
      </c>
      <c r="K2090" s="84" t="s">
        <v>1544</v>
      </c>
      <c r="L2090" s="85">
        <v>41604</v>
      </c>
      <c r="M2090" s="86" t="s">
        <v>729</v>
      </c>
      <c r="N2090" s="87">
        <v>41629</v>
      </c>
      <c r="O2090" s="88">
        <f>+N2090</f>
        <v>41629</v>
      </c>
      <c r="P2090" s="2766" t="s">
        <v>1545</v>
      </c>
      <c r="Q2090" s="2955"/>
      <c r="R2090" s="89">
        <v>254.24</v>
      </c>
      <c r="S2090" s="1946" t="s">
        <v>731</v>
      </c>
      <c r="T2090" s="77"/>
      <c r="U2090" s="1893" t="s">
        <v>694</v>
      </c>
      <c r="V2090" s="2079">
        <f t="shared" si="500"/>
        <v>0</v>
      </c>
      <c r="W2090" s="78">
        <f t="shared" si="501"/>
        <v>300.00319999999999</v>
      </c>
      <c r="X2090" s="1882" t="str">
        <f t="shared" si="499"/>
        <v xml:space="preserve">2.- R Aeolus 0180612-OT_001408  Reencauche 001-000253 </v>
      </c>
      <c r="Z2090" s="19" t="str">
        <f t="shared" si="502"/>
        <v>ReencaucheReencauchadora RENOVA</v>
      </c>
    </row>
    <row r="2091" spans="1:26" ht="15.2" customHeight="1" outlineLevel="1" thickBot="1">
      <c r="B2091" s="3306">
        <v>41579</v>
      </c>
      <c r="C2091" s="3306"/>
      <c r="D2091" s="258">
        <f>+D2092</f>
        <v>26</v>
      </c>
      <c r="E2091" s="66"/>
      <c r="F2091" s="67"/>
      <c r="G2091" s="68"/>
      <c r="H2091" s="69"/>
      <c r="I2091" s="68"/>
      <c r="J2091" s="70"/>
      <c r="K2091" s="71"/>
      <c r="L2091" s="72"/>
      <c r="M2091" s="73"/>
      <c r="N2091" s="74"/>
      <c r="O2091" s="75"/>
      <c r="P2091" s="2765"/>
      <c r="Q2091" s="2954"/>
      <c r="R2091" s="76"/>
      <c r="S2091" s="1945"/>
      <c r="T2091" s="77"/>
      <c r="U2091" s="1893"/>
      <c r="V2091" s="2079">
        <f t="shared" si="500"/>
        <v>0</v>
      </c>
      <c r="W2091" s="78">
        <f t="shared" si="501"/>
        <v>0</v>
      </c>
      <c r="X2091" s="1878" t="str">
        <f t="shared" si="499"/>
        <v xml:space="preserve">.-   -OT_    </v>
      </c>
      <c r="Z2091" s="19" t="str">
        <f t="shared" si="502"/>
        <v>ReencaucheReencauchadora RENOVA</v>
      </c>
    </row>
    <row r="2092" spans="1:26" ht="15.2" customHeight="1" outlineLevel="1">
      <c r="B2092" s="3325">
        <v>41579</v>
      </c>
      <c r="C2092" s="2">
        <f t="shared" ref="C2092:C2116" si="503">1+C2093</f>
        <v>215</v>
      </c>
      <c r="D2092" s="3">
        <f t="shared" ref="D2092:D2116" si="504">1+D2093</f>
        <v>26</v>
      </c>
      <c r="E2092" s="66">
        <v>1</v>
      </c>
      <c r="F2092" s="67" t="s">
        <v>732</v>
      </c>
      <c r="G2092" s="68" t="s">
        <v>733</v>
      </c>
      <c r="H2092" s="69" t="s">
        <v>1275</v>
      </c>
      <c r="I2092" s="68" t="s">
        <v>726</v>
      </c>
      <c r="J2092" s="70" t="s">
        <v>760</v>
      </c>
      <c r="K2092" s="71" t="s">
        <v>1546</v>
      </c>
      <c r="L2092" s="72">
        <v>41590</v>
      </c>
      <c r="M2092" s="73" t="s">
        <v>729</v>
      </c>
      <c r="N2092" s="74">
        <v>41599</v>
      </c>
      <c r="O2092" s="75">
        <f t="shared" ref="O2092:O2117" si="505">+N2092</f>
        <v>41599</v>
      </c>
      <c r="P2092" s="2765" t="s">
        <v>1547</v>
      </c>
      <c r="Q2092" s="2954"/>
      <c r="R2092" s="76">
        <v>281.49</v>
      </c>
      <c r="S2092" s="1945" t="s">
        <v>731</v>
      </c>
      <c r="T2092" s="77"/>
      <c r="U2092" s="1893"/>
      <c r="V2092" s="2079">
        <f t="shared" si="500"/>
        <v>0</v>
      </c>
      <c r="W2092" s="78">
        <f t="shared" si="501"/>
        <v>332.15819999999997</v>
      </c>
      <c r="X2092" s="1878" t="str">
        <f t="shared" si="499"/>
        <v xml:space="preserve">1.- C Lima Caucho 0760908-OT_189992  Reencauche 030-0031276 </v>
      </c>
      <c r="Z2092" s="19" t="str">
        <f t="shared" si="502"/>
        <v>ReencaucheReencauchadora RENOVA</v>
      </c>
    </row>
    <row r="2093" spans="1:26" ht="15.2" customHeight="1" outlineLevel="1">
      <c r="B2093" s="3326"/>
      <c r="C2093" s="2">
        <f t="shared" si="503"/>
        <v>214</v>
      </c>
      <c r="D2093" s="3">
        <f t="shared" si="504"/>
        <v>25</v>
      </c>
      <c r="E2093" s="66">
        <v>2</v>
      </c>
      <c r="F2093" s="67" t="s">
        <v>732</v>
      </c>
      <c r="G2093" s="68" t="s">
        <v>733</v>
      </c>
      <c r="H2093" s="69" t="s">
        <v>1548</v>
      </c>
      <c r="I2093" s="68" t="s">
        <v>726</v>
      </c>
      <c r="J2093" s="70" t="s">
        <v>760</v>
      </c>
      <c r="K2093" s="71" t="s">
        <v>1546</v>
      </c>
      <c r="L2093" s="72">
        <v>41590</v>
      </c>
      <c r="M2093" s="73" t="s">
        <v>729</v>
      </c>
      <c r="N2093" s="259">
        <v>41673</v>
      </c>
      <c r="O2093" s="140">
        <f t="shared" si="505"/>
        <v>41673</v>
      </c>
      <c r="P2093" s="2792" t="s">
        <v>1549</v>
      </c>
      <c r="Q2093" s="2954"/>
      <c r="R2093" s="76">
        <v>281.49</v>
      </c>
      <c r="S2093" s="1958" t="s">
        <v>731</v>
      </c>
      <c r="T2093" s="77"/>
      <c r="U2093" s="1893"/>
      <c r="V2093" s="2079">
        <f t="shared" si="500"/>
        <v>0</v>
      </c>
      <c r="W2093" s="78">
        <f t="shared" si="501"/>
        <v>332.15819999999997</v>
      </c>
      <c r="X2093" s="1878" t="str">
        <f t="shared" si="499"/>
        <v xml:space="preserve">2.- C Lima Caucho 1061107-OT_189992  Reencauche 030-003295 </v>
      </c>
      <c r="Z2093" s="19" t="str">
        <f t="shared" si="502"/>
        <v>ReencaucheReencauchadora RENOVA</v>
      </c>
    </row>
    <row r="2094" spans="1:26" ht="15.2" customHeight="1" outlineLevel="1">
      <c r="B2094" s="3326"/>
      <c r="C2094" s="2">
        <f t="shared" si="503"/>
        <v>213</v>
      </c>
      <c r="D2094" s="3">
        <f t="shared" si="504"/>
        <v>24</v>
      </c>
      <c r="E2094" s="66">
        <v>3</v>
      </c>
      <c r="F2094" s="67" t="s">
        <v>732</v>
      </c>
      <c r="G2094" s="68" t="s">
        <v>733</v>
      </c>
      <c r="H2094" s="69" t="s">
        <v>1550</v>
      </c>
      <c r="I2094" s="68" t="s">
        <v>726</v>
      </c>
      <c r="J2094" s="70" t="s">
        <v>760</v>
      </c>
      <c r="K2094" s="71" t="s">
        <v>1546</v>
      </c>
      <c r="L2094" s="72">
        <v>41590</v>
      </c>
      <c r="M2094" s="73" t="s">
        <v>729</v>
      </c>
      <c r="N2094" s="74">
        <v>41599</v>
      </c>
      <c r="O2094" s="75">
        <f t="shared" si="505"/>
        <v>41599</v>
      </c>
      <c r="P2094" s="2765" t="s">
        <v>1547</v>
      </c>
      <c r="Q2094" s="2954"/>
      <c r="R2094" s="76">
        <v>281.49</v>
      </c>
      <c r="S2094" s="1945" t="s">
        <v>731</v>
      </c>
      <c r="T2094" s="77"/>
      <c r="U2094" s="1893"/>
      <c r="V2094" s="2079">
        <f t="shared" si="500"/>
        <v>0</v>
      </c>
      <c r="W2094" s="78">
        <f t="shared" si="501"/>
        <v>332.15819999999997</v>
      </c>
      <c r="X2094" s="1878" t="str">
        <f t="shared" si="499"/>
        <v xml:space="preserve">3.- C Lima Caucho 0790908-OT_189992  Reencauche 030-0031276 </v>
      </c>
      <c r="Z2094" s="19" t="str">
        <f t="shared" si="502"/>
        <v>ReencaucheReencauchadora RENOVA</v>
      </c>
    </row>
    <row r="2095" spans="1:26" ht="15.2" customHeight="1" outlineLevel="1">
      <c r="B2095" s="3326"/>
      <c r="C2095" s="2">
        <f t="shared" si="503"/>
        <v>212</v>
      </c>
      <c r="D2095" s="3">
        <f t="shared" si="504"/>
        <v>23</v>
      </c>
      <c r="E2095" s="66">
        <v>4</v>
      </c>
      <c r="F2095" s="67" t="s">
        <v>732</v>
      </c>
      <c r="G2095" s="68" t="s">
        <v>733</v>
      </c>
      <c r="H2095" s="69" t="s">
        <v>1049</v>
      </c>
      <c r="I2095" s="68" t="s">
        <v>726</v>
      </c>
      <c r="J2095" s="70" t="s">
        <v>760</v>
      </c>
      <c r="K2095" s="71" t="s">
        <v>1546</v>
      </c>
      <c r="L2095" s="72">
        <v>41590</v>
      </c>
      <c r="M2095" s="73" t="s">
        <v>729</v>
      </c>
      <c r="N2095" s="74">
        <v>41599</v>
      </c>
      <c r="O2095" s="75">
        <f t="shared" si="505"/>
        <v>41599</v>
      </c>
      <c r="P2095" s="2765" t="s">
        <v>1547</v>
      </c>
      <c r="Q2095" s="2954"/>
      <c r="R2095" s="76">
        <v>281.49</v>
      </c>
      <c r="S2095" s="1945" t="s">
        <v>731</v>
      </c>
      <c r="T2095" s="77"/>
      <c r="U2095" s="1893"/>
      <c r="V2095" s="2079">
        <f t="shared" si="500"/>
        <v>0</v>
      </c>
      <c r="W2095" s="78">
        <f t="shared" si="501"/>
        <v>332.15819999999997</v>
      </c>
      <c r="X2095" s="1878" t="str">
        <f t="shared" si="499"/>
        <v xml:space="preserve">4.- C Lima Caucho 1001107-OT_189992  Reencauche 030-0031276 </v>
      </c>
      <c r="Z2095" s="19" t="str">
        <f t="shared" si="502"/>
        <v>ReencaucheReencauchadora RENOVA</v>
      </c>
    </row>
    <row r="2096" spans="1:26" ht="15.2" customHeight="1" outlineLevel="1">
      <c r="B2096" s="3326"/>
      <c r="C2096" s="2">
        <f t="shared" si="503"/>
        <v>211</v>
      </c>
      <c r="D2096" s="3">
        <f t="shared" si="504"/>
        <v>22</v>
      </c>
      <c r="E2096" s="66">
        <v>5</v>
      </c>
      <c r="F2096" s="67" t="s">
        <v>732</v>
      </c>
      <c r="G2096" s="68" t="s">
        <v>733</v>
      </c>
      <c r="H2096" s="69" t="s">
        <v>1127</v>
      </c>
      <c r="I2096" s="68" t="s">
        <v>726</v>
      </c>
      <c r="J2096" s="70" t="s">
        <v>760</v>
      </c>
      <c r="K2096" s="71" t="s">
        <v>1546</v>
      </c>
      <c r="L2096" s="72">
        <v>41590</v>
      </c>
      <c r="M2096" s="73" t="s">
        <v>729</v>
      </c>
      <c r="N2096" s="74">
        <v>41599</v>
      </c>
      <c r="O2096" s="75">
        <f t="shared" si="505"/>
        <v>41599</v>
      </c>
      <c r="P2096" s="2765" t="s">
        <v>1547</v>
      </c>
      <c r="Q2096" s="2954"/>
      <c r="R2096" s="76">
        <v>281.49</v>
      </c>
      <c r="S2096" s="1945" t="s">
        <v>731</v>
      </c>
      <c r="T2096" s="77"/>
      <c r="U2096" s="1893"/>
      <c r="V2096" s="2079">
        <f t="shared" si="500"/>
        <v>0</v>
      </c>
      <c r="W2096" s="78">
        <f t="shared" si="501"/>
        <v>332.15819999999997</v>
      </c>
      <c r="X2096" s="1878" t="str">
        <f t="shared" si="499"/>
        <v xml:space="preserve">5.- C Lima Caucho 0280508-OT_189992  Reencauche 030-0031276 </v>
      </c>
      <c r="Z2096" s="19" t="str">
        <f t="shared" si="502"/>
        <v>ReencaucheReencauchadora RENOVA</v>
      </c>
    </row>
    <row r="2097" spans="2:26" ht="15.2" customHeight="1" outlineLevel="1">
      <c r="B2097" s="3326"/>
      <c r="C2097" s="2">
        <f t="shared" si="503"/>
        <v>210</v>
      </c>
      <c r="D2097" s="3">
        <f t="shared" si="504"/>
        <v>21</v>
      </c>
      <c r="E2097" s="66">
        <v>6</v>
      </c>
      <c r="F2097" s="67" t="s">
        <v>732</v>
      </c>
      <c r="G2097" s="68" t="s">
        <v>733</v>
      </c>
      <c r="H2097" s="69" t="s">
        <v>795</v>
      </c>
      <c r="I2097" s="68" t="s">
        <v>726</v>
      </c>
      <c r="J2097" s="70" t="s">
        <v>760</v>
      </c>
      <c r="K2097" s="71" t="s">
        <v>1546</v>
      </c>
      <c r="L2097" s="72">
        <v>41590</v>
      </c>
      <c r="M2097" s="73" t="s">
        <v>729</v>
      </c>
      <c r="N2097" s="74">
        <v>41599</v>
      </c>
      <c r="O2097" s="75">
        <f t="shared" si="505"/>
        <v>41599</v>
      </c>
      <c r="P2097" s="2765" t="s">
        <v>1547</v>
      </c>
      <c r="Q2097" s="2954"/>
      <c r="R2097" s="76">
        <v>281.49</v>
      </c>
      <c r="S2097" s="1945" t="s">
        <v>731</v>
      </c>
      <c r="T2097" s="77"/>
      <c r="U2097" s="1893"/>
      <c r="V2097" s="2079">
        <f t="shared" si="500"/>
        <v>0</v>
      </c>
      <c r="W2097" s="78">
        <f t="shared" si="501"/>
        <v>332.15819999999997</v>
      </c>
      <c r="X2097" s="1878" t="str">
        <f t="shared" si="499"/>
        <v xml:space="preserve">6.- C Lima Caucho 0981210-OT_189992  Reencauche 030-0031276 </v>
      </c>
      <c r="Z2097" s="19" t="str">
        <f t="shared" si="502"/>
        <v>ReencaucheReencauchadora RENOVA</v>
      </c>
    </row>
    <row r="2098" spans="2:26" ht="15.2" customHeight="1" outlineLevel="1">
      <c r="B2098" s="3326"/>
      <c r="C2098" s="2">
        <f t="shared" si="503"/>
        <v>209</v>
      </c>
      <c r="D2098" s="3">
        <f t="shared" si="504"/>
        <v>20</v>
      </c>
      <c r="E2098" s="66">
        <v>7</v>
      </c>
      <c r="F2098" s="67" t="s">
        <v>732</v>
      </c>
      <c r="G2098" s="68" t="s">
        <v>733</v>
      </c>
      <c r="H2098" s="69" t="s">
        <v>1551</v>
      </c>
      <c r="I2098" s="68" t="s">
        <v>726</v>
      </c>
      <c r="J2098" s="70" t="s">
        <v>760</v>
      </c>
      <c r="K2098" s="71" t="s">
        <v>1552</v>
      </c>
      <c r="L2098" s="72">
        <v>41590</v>
      </c>
      <c r="M2098" s="73" t="s">
        <v>729</v>
      </c>
      <c r="N2098" s="74">
        <v>41599</v>
      </c>
      <c r="O2098" s="75">
        <f t="shared" si="505"/>
        <v>41599</v>
      </c>
      <c r="P2098" s="2765" t="s">
        <v>1547</v>
      </c>
      <c r="Q2098" s="2954"/>
      <c r="R2098" s="76">
        <v>281.49</v>
      </c>
      <c r="S2098" s="1945" t="s">
        <v>731</v>
      </c>
      <c r="T2098" s="77"/>
      <c r="U2098" s="1893"/>
      <c r="V2098" s="2079">
        <f t="shared" si="500"/>
        <v>0</v>
      </c>
      <c r="W2098" s="78">
        <f t="shared" si="501"/>
        <v>332.15819999999997</v>
      </c>
      <c r="X2098" s="1878" t="str">
        <f t="shared" si="499"/>
        <v xml:space="preserve">7.- C Lima Caucho 0590610-OT_189991  Reencauche 030-0031276 </v>
      </c>
      <c r="Z2098" s="19" t="str">
        <f t="shared" si="502"/>
        <v>ReencaucheReencauchadora RENOVA</v>
      </c>
    </row>
    <row r="2099" spans="2:26" ht="15.2" customHeight="1" outlineLevel="1">
      <c r="B2099" s="3326"/>
      <c r="C2099" s="2">
        <f t="shared" si="503"/>
        <v>208</v>
      </c>
      <c r="D2099" s="3">
        <f t="shared" si="504"/>
        <v>19</v>
      </c>
      <c r="E2099" s="66">
        <v>8</v>
      </c>
      <c r="F2099" s="67" t="s">
        <v>732</v>
      </c>
      <c r="G2099" s="68" t="s">
        <v>733</v>
      </c>
      <c r="H2099" s="69" t="s">
        <v>1553</v>
      </c>
      <c r="I2099" s="68" t="s">
        <v>726</v>
      </c>
      <c r="J2099" s="70" t="s">
        <v>760</v>
      </c>
      <c r="K2099" s="71" t="s">
        <v>1552</v>
      </c>
      <c r="L2099" s="72">
        <v>41590</v>
      </c>
      <c r="M2099" s="73" t="s">
        <v>729</v>
      </c>
      <c r="N2099" s="74">
        <v>41599</v>
      </c>
      <c r="O2099" s="75">
        <f t="shared" si="505"/>
        <v>41599</v>
      </c>
      <c r="P2099" s="2765" t="s">
        <v>1547</v>
      </c>
      <c r="Q2099" s="2954"/>
      <c r="R2099" s="76">
        <v>281.49</v>
      </c>
      <c r="S2099" s="1945" t="s">
        <v>731</v>
      </c>
      <c r="T2099" s="77"/>
      <c r="U2099" s="1893"/>
      <c r="V2099" s="2079">
        <f t="shared" si="500"/>
        <v>0</v>
      </c>
      <c r="W2099" s="78">
        <f t="shared" si="501"/>
        <v>332.15819999999997</v>
      </c>
      <c r="X2099" s="1878" t="str">
        <f t="shared" si="499"/>
        <v xml:space="preserve">8.- C Lima Caucho 0640610-OT_189991  Reencauche 030-0031276 </v>
      </c>
      <c r="Z2099" s="19" t="str">
        <f t="shared" si="502"/>
        <v>ReencaucheReencauchadora RENOVA</v>
      </c>
    </row>
    <row r="2100" spans="2:26" ht="15.2" customHeight="1" outlineLevel="1">
      <c r="B2100" s="3326"/>
      <c r="C2100" s="2">
        <f t="shared" si="503"/>
        <v>207</v>
      </c>
      <c r="D2100" s="3">
        <f t="shared" si="504"/>
        <v>18</v>
      </c>
      <c r="E2100" s="66">
        <v>9</v>
      </c>
      <c r="F2100" s="67" t="s">
        <v>732</v>
      </c>
      <c r="G2100" s="68" t="s">
        <v>733</v>
      </c>
      <c r="H2100" s="69" t="s">
        <v>1335</v>
      </c>
      <c r="I2100" s="68" t="s">
        <v>726</v>
      </c>
      <c r="J2100" s="70" t="s">
        <v>760</v>
      </c>
      <c r="K2100" s="71" t="s">
        <v>1552</v>
      </c>
      <c r="L2100" s="72">
        <v>41590</v>
      </c>
      <c r="M2100" s="73" t="s">
        <v>729</v>
      </c>
      <c r="N2100" s="74">
        <v>41599</v>
      </c>
      <c r="O2100" s="75">
        <f t="shared" si="505"/>
        <v>41599</v>
      </c>
      <c r="P2100" s="2765" t="s">
        <v>1547</v>
      </c>
      <c r="Q2100" s="2954"/>
      <c r="R2100" s="76">
        <v>281.49</v>
      </c>
      <c r="S2100" s="1945" t="s">
        <v>731</v>
      </c>
      <c r="T2100" s="77"/>
      <c r="U2100" s="1893"/>
      <c r="V2100" s="2079">
        <f t="shared" si="500"/>
        <v>0</v>
      </c>
      <c r="W2100" s="78">
        <f t="shared" si="501"/>
        <v>332.15819999999997</v>
      </c>
      <c r="X2100" s="1878" t="str">
        <f t="shared" si="499"/>
        <v xml:space="preserve">9.- C Lima Caucho 0070108-OT_189991  Reencauche 030-0031276 </v>
      </c>
      <c r="Z2100" s="19" t="str">
        <f t="shared" si="502"/>
        <v>ReencaucheReencauchadora RENOVA</v>
      </c>
    </row>
    <row r="2101" spans="2:26" ht="15.2" customHeight="1" outlineLevel="1">
      <c r="B2101" s="3326"/>
      <c r="C2101" s="2">
        <f t="shared" si="503"/>
        <v>206</v>
      </c>
      <c r="D2101" s="3">
        <f t="shared" si="504"/>
        <v>17</v>
      </c>
      <c r="E2101" s="66">
        <v>10</v>
      </c>
      <c r="F2101" s="67" t="s">
        <v>732</v>
      </c>
      <c r="G2101" s="68" t="s">
        <v>733</v>
      </c>
      <c r="H2101" s="69" t="s">
        <v>1452</v>
      </c>
      <c r="I2101" s="68" t="s">
        <v>726</v>
      </c>
      <c r="J2101" s="70" t="s">
        <v>760</v>
      </c>
      <c r="K2101" s="71" t="s">
        <v>1552</v>
      </c>
      <c r="L2101" s="72">
        <v>41590</v>
      </c>
      <c r="M2101" s="73" t="s">
        <v>729</v>
      </c>
      <c r="N2101" s="74">
        <v>41599</v>
      </c>
      <c r="O2101" s="75">
        <f t="shared" si="505"/>
        <v>41599</v>
      </c>
      <c r="P2101" s="2765" t="s">
        <v>1547</v>
      </c>
      <c r="Q2101" s="2954"/>
      <c r="R2101" s="76">
        <v>281.49</v>
      </c>
      <c r="S2101" s="1945" t="s">
        <v>731</v>
      </c>
      <c r="T2101" s="77"/>
      <c r="U2101" s="1893"/>
      <c r="V2101" s="2079">
        <f t="shared" si="500"/>
        <v>0</v>
      </c>
      <c r="W2101" s="78">
        <f t="shared" si="501"/>
        <v>332.15819999999997</v>
      </c>
      <c r="X2101" s="1882" t="str">
        <f t="shared" si="499"/>
        <v xml:space="preserve">10.- C Lima Caucho 0200108-OT_189991  Reencauche 030-0031276 </v>
      </c>
      <c r="Z2101" s="19" t="str">
        <f t="shared" si="502"/>
        <v>ReencaucheReencauchadora RENOVA</v>
      </c>
    </row>
    <row r="2102" spans="2:26" ht="15.2" customHeight="1" outlineLevel="1">
      <c r="B2102" s="3326"/>
      <c r="C2102" s="2">
        <f t="shared" si="503"/>
        <v>205</v>
      </c>
      <c r="D2102" s="3">
        <f t="shared" si="504"/>
        <v>16</v>
      </c>
      <c r="E2102" s="66">
        <v>11</v>
      </c>
      <c r="F2102" s="67" t="s">
        <v>732</v>
      </c>
      <c r="G2102" s="68" t="s">
        <v>733</v>
      </c>
      <c r="H2102" s="69" t="s">
        <v>1026</v>
      </c>
      <c r="I2102" s="68" t="s">
        <v>726</v>
      </c>
      <c r="J2102" s="70" t="s">
        <v>760</v>
      </c>
      <c r="K2102" s="71" t="s">
        <v>1552</v>
      </c>
      <c r="L2102" s="72">
        <v>41590</v>
      </c>
      <c r="M2102" s="73" t="s">
        <v>729</v>
      </c>
      <c r="N2102" s="74">
        <v>41599</v>
      </c>
      <c r="O2102" s="75">
        <f t="shared" si="505"/>
        <v>41599</v>
      </c>
      <c r="P2102" s="2765" t="s">
        <v>1547</v>
      </c>
      <c r="Q2102" s="2954"/>
      <c r="R2102" s="76">
        <v>281.49</v>
      </c>
      <c r="S2102" s="1945" t="s">
        <v>731</v>
      </c>
      <c r="T2102" s="77"/>
      <c r="U2102" s="1893"/>
      <c r="V2102" s="2079">
        <f t="shared" si="500"/>
        <v>0</v>
      </c>
      <c r="W2102" s="78">
        <f t="shared" si="501"/>
        <v>332.15819999999997</v>
      </c>
      <c r="X2102" s="1878" t="str">
        <f t="shared" si="499"/>
        <v xml:space="preserve">11.- C Lima Caucho 0250508-OT_189991  Reencauche 030-0031276 </v>
      </c>
      <c r="Z2102" s="19" t="str">
        <f t="shared" si="502"/>
        <v>ReencaucheReencauchadora RENOVA</v>
      </c>
    </row>
    <row r="2103" spans="2:26" ht="15.2" customHeight="1" outlineLevel="1">
      <c r="B2103" s="3326"/>
      <c r="C2103" s="2">
        <f t="shared" si="503"/>
        <v>204</v>
      </c>
      <c r="D2103" s="3">
        <f t="shared" si="504"/>
        <v>15</v>
      </c>
      <c r="E2103" s="66">
        <v>12</v>
      </c>
      <c r="F2103" s="67" t="s">
        <v>732</v>
      </c>
      <c r="G2103" s="68" t="s">
        <v>733</v>
      </c>
      <c r="H2103" s="69" t="s">
        <v>796</v>
      </c>
      <c r="I2103" s="68" t="s">
        <v>726</v>
      </c>
      <c r="J2103" s="70" t="s">
        <v>760</v>
      </c>
      <c r="K2103" s="71" t="s">
        <v>1552</v>
      </c>
      <c r="L2103" s="72">
        <v>41590</v>
      </c>
      <c r="M2103" s="73" t="s">
        <v>729</v>
      </c>
      <c r="N2103" s="74">
        <v>41599</v>
      </c>
      <c r="O2103" s="75">
        <f t="shared" si="505"/>
        <v>41599</v>
      </c>
      <c r="P2103" s="2765" t="s">
        <v>1547</v>
      </c>
      <c r="Q2103" s="2954"/>
      <c r="R2103" s="76">
        <v>281.49</v>
      </c>
      <c r="S2103" s="1945" t="s">
        <v>731</v>
      </c>
      <c r="T2103" s="77"/>
      <c r="U2103" s="1893"/>
      <c r="V2103" s="2079">
        <f t="shared" si="500"/>
        <v>0</v>
      </c>
      <c r="W2103" s="78">
        <f t="shared" si="501"/>
        <v>332.15819999999997</v>
      </c>
      <c r="X2103" s="1878" t="str">
        <f t="shared" si="499"/>
        <v xml:space="preserve">12.- C Lima Caucho 0810910-OT_189991  Reencauche 030-0031276 </v>
      </c>
      <c r="Z2103" s="19" t="str">
        <f t="shared" si="502"/>
        <v>ReencaucheReencauchadora RENOVA</v>
      </c>
    </row>
    <row r="2104" spans="2:26" ht="15.2" customHeight="1" outlineLevel="1">
      <c r="B2104" s="3326"/>
      <c r="C2104" s="2">
        <f t="shared" si="503"/>
        <v>203</v>
      </c>
      <c r="D2104" s="3">
        <f t="shared" si="504"/>
        <v>14</v>
      </c>
      <c r="E2104" s="66">
        <v>13</v>
      </c>
      <c r="F2104" s="67" t="s">
        <v>732</v>
      </c>
      <c r="G2104" s="68" t="s">
        <v>733</v>
      </c>
      <c r="H2104" s="69" t="s">
        <v>1128</v>
      </c>
      <c r="I2104" s="68" t="s">
        <v>726</v>
      </c>
      <c r="J2104" s="70" t="s">
        <v>760</v>
      </c>
      <c r="K2104" s="71" t="s">
        <v>1552</v>
      </c>
      <c r="L2104" s="72">
        <v>41590</v>
      </c>
      <c r="M2104" s="73" t="s">
        <v>729</v>
      </c>
      <c r="N2104" s="259">
        <v>41673</v>
      </c>
      <c r="O2104" s="140">
        <f t="shared" si="505"/>
        <v>41673</v>
      </c>
      <c r="P2104" s="2792" t="s">
        <v>1549</v>
      </c>
      <c r="Q2104" s="2954"/>
      <c r="R2104" s="76">
        <v>281.49</v>
      </c>
      <c r="S2104" s="1958" t="s">
        <v>731</v>
      </c>
      <c r="T2104" s="77"/>
      <c r="U2104" s="1893"/>
      <c r="V2104" s="2079">
        <f t="shared" si="500"/>
        <v>0</v>
      </c>
      <c r="W2104" s="78">
        <f t="shared" si="501"/>
        <v>332.15819999999997</v>
      </c>
      <c r="X2104" s="1878" t="str">
        <f t="shared" si="499"/>
        <v xml:space="preserve">13.- C Lima Caucho 1361207-OT_189991  Reencauche 030-003295 </v>
      </c>
      <c r="Z2104" s="19" t="str">
        <f t="shared" si="502"/>
        <v>ReencaucheReencauchadora RENOVA</v>
      </c>
    </row>
    <row r="2105" spans="2:26" ht="15.2" customHeight="1" outlineLevel="1">
      <c r="B2105" s="3326"/>
      <c r="C2105" s="2">
        <f t="shared" si="503"/>
        <v>202</v>
      </c>
      <c r="D2105" s="3">
        <f t="shared" si="504"/>
        <v>13</v>
      </c>
      <c r="E2105" s="66">
        <v>14</v>
      </c>
      <c r="F2105" s="67" t="s">
        <v>732</v>
      </c>
      <c r="G2105" s="68" t="s">
        <v>733</v>
      </c>
      <c r="H2105" s="69" t="s">
        <v>1154</v>
      </c>
      <c r="I2105" s="68" t="s">
        <v>726</v>
      </c>
      <c r="J2105" s="70" t="s">
        <v>760</v>
      </c>
      <c r="K2105" s="71" t="s">
        <v>1552</v>
      </c>
      <c r="L2105" s="72">
        <v>41590</v>
      </c>
      <c r="M2105" s="73" t="s">
        <v>729</v>
      </c>
      <c r="N2105" s="74">
        <v>41599</v>
      </c>
      <c r="O2105" s="75">
        <f t="shared" si="505"/>
        <v>41599</v>
      </c>
      <c r="P2105" s="2765" t="s">
        <v>1547</v>
      </c>
      <c r="Q2105" s="2954"/>
      <c r="R2105" s="76">
        <v>281.49</v>
      </c>
      <c r="S2105" s="1945" t="s">
        <v>731</v>
      </c>
      <c r="T2105" s="77"/>
      <c r="U2105" s="1893"/>
      <c r="V2105" s="2079">
        <f t="shared" si="500"/>
        <v>0</v>
      </c>
      <c r="W2105" s="78">
        <f t="shared" si="501"/>
        <v>332.15819999999997</v>
      </c>
      <c r="X2105" s="1878" t="str">
        <f t="shared" si="499"/>
        <v xml:space="preserve">14.- C Lima Caucho 0380411-OT_189991  Reencauche 030-0031276 </v>
      </c>
      <c r="Z2105" s="19" t="str">
        <f t="shared" si="502"/>
        <v>ReencaucheReencauchadora RENOVA</v>
      </c>
    </row>
    <row r="2106" spans="2:26" ht="15.2" customHeight="1" outlineLevel="1">
      <c r="B2106" s="3326"/>
      <c r="C2106" s="2">
        <f t="shared" si="503"/>
        <v>201</v>
      </c>
      <c r="D2106" s="3">
        <f t="shared" si="504"/>
        <v>12</v>
      </c>
      <c r="E2106" s="66">
        <v>15</v>
      </c>
      <c r="F2106" s="67" t="s">
        <v>732</v>
      </c>
      <c r="G2106" s="68" t="s">
        <v>733</v>
      </c>
      <c r="H2106" s="69" t="s">
        <v>855</v>
      </c>
      <c r="I2106" s="68" t="s">
        <v>726</v>
      </c>
      <c r="J2106" s="70" t="s">
        <v>760</v>
      </c>
      <c r="K2106" s="71" t="s">
        <v>1552</v>
      </c>
      <c r="L2106" s="72">
        <v>41590</v>
      </c>
      <c r="M2106" s="73" t="s">
        <v>729</v>
      </c>
      <c r="N2106" s="74">
        <v>41599</v>
      </c>
      <c r="O2106" s="75">
        <f t="shared" si="505"/>
        <v>41599</v>
      </c>
      <c r="P2106" s="2765" t="s">
        <v>1547</v>
      </c>
      <c r="Q2106" s="2954"/>
      <c r="R2106" s="76">
        <v>281.49</v>
      </c>
      <c r="S2106" s="1945" t="s">
        <v>731</v>
      </c>
      <c r="T2106" s="77"/>
      <c r="U2106" s="1893"/>
      <c r="V2106" s="2079">
        <f t="shared" si="500"/>
        <v>0</v>
      </c>
      <c r="W2106" s="78">
        <f t="shared" si="501"/>
        <v>332.15819999999997</v>
      </c>
      <c r="X2106" s="1878" t="str">
        <f t="shared" si="499"/>
        <v xml:space="preserve">15.- C Lima Caucho 0660808-OT_189991  Reencauche 030-0031276 </v>
      </c>
      <c r="Z2106" s="19" t="str">
        <f t="shared" si="502"/>
        <v>ReencaucheReencauchadora RENOVA</v>
      </c>
    </row>
    <row r="2107" spans="2:26" ht="15.2" customHeight="1" outlineLevel="1">
      <c r="B2107" s="3326"/>
      <c r="C2107" s="2">
        <f t="shared" si="503"/>
        <v>200</v>
      </c>
      <c r="D2107" s="3">
        <f t="shared" si="504"/>
        <v>11</v>
      </c>
      <c r="E2107" s="66">
        <v>16</v>
      </c>
      <c r="F2107" s="67" t="s">
        <v>732</v>
      </c>
      <c r="G2107" s="68" t="s">
        <v>733</v>
      </c>
      <c r="H2107" s="69" t="s">
        <v>971</v>
      </c>
      <c r="I2107" s="68" t="s">
        <v>726</v>
      </c>
      <c r="J2107" s="70" t="s">
        <v>760</v>
      </c>
      <c r="K2107" s="71" t="s">
        <v>1552</v>
      </c>
      <c r="L2107" s="72">
        <v>41590</v>
      </c>
      <c r="M2107" s="73" t="s">
        <v>729</v>
      </c>
      <c r="N2107" s="74">
        <v>41599</v>
      </c>
      <c r="O2107" s="75">
        <f t="shared" si="505"/>
        <v>41599</v>
      </c>
      <c r="P2107" s="2765" t="s">
        <v>1547</v>
      </c>
      <c r="Q2107" s="2954"/>
      <c r="R2107" s="76">
        <v>281.49</v>
      </c>
      <c r="S2107" s="1945" t="s">
        <v>731</v>
      </c>
      <c r="T2107" s="77"/>
      <c r="U2107" s="1893"/>
      <c r="V2107" s="2079">
        <f t="shared" si="500"/>
        <v>0</v>
      </c>
      <c r="W2107" s="78">
        <f t="shared" si="501"/>
        <v>332.15819999999997</v>
      </c>
      <c r="X2107" s="1878" t="str">
        <f t="shared" si="499"/>
        <v xml:space="preserve">16.- C Lima Caucho 0790910-OT_189991  Reencauche 030-0031276 </v>
      </c>
      <c r="Z2107" s="19" t="str">
        <f t="shared" si="502"/>
        <v>ReencaucheReencauchadora RENOVA</v>
      </c>
    </row>
    <row r="2108" spans="2:26" ht="15.2" customHeight="1" outlineLevel="1">
      <c r="B2108" s="3326"/>
      <c r="C2108" s="2">
        <f t="shared" si="503"/>
        <v>199</v>
      </c>
      <c r="D2108" s="3">
        <f t="shared" si="504"/>
        <v>10</v>
      </c>
      <c r="E2108" s="66">
        <v>17</v>
      </c>
      <c r="F2108" s="67" t="s">
        <v>732</v>
      </c>
      <c r="G2108" s="68" t="s">
        <v>737</v>
      </c>
      <c r="H2108" s="69" t="s">
        <v>1554</v>
      </c>
      <c r="I2108" s="68" t="s">
        <v>726</v>
      </c>
      <c r="J2108" s="70" t="s">
        <v>760</v>
      </c>
      <c r="K2108" s="71" t="s">
        <v>1555</v>
      </c>
      <c r="L2108" s="72">
        <v>41590</v>
      </c>
      <c r="M2108" s="73" t="s">
        <v>729</v>
      </c>
      <c r="N2108" s="74">
        <v>41599</v>
      </c>
      <c r="O2108" s="75">
        <f t="shared" si="505"/>
        <v>41599</v>
      </c>
      <c r="P2108" s="2765" t="s">
        <v>1547</v>
      </c>
      <c r="Q2108" s="2954"/>
      <c r="R2108" s="76">
        <v>281.49</v>
      </c>
      <c r="S2108" s="1945" t="s">
        <v>731</v>
      </c>
      <c r="T2108" s="77"/>
      <c r="U2108" s="1893"/>
      <c r="V2108" s="2079">
        <f t="shared" si="500"/>
        <v>0</v>
      </c>
      <c r="W2108" s="78">
        <f t="shared" si="501"/>
        <v>332.15819999999997</v>
      </c>
      <c r="X2108" s="1878" t="str">
        <f t="shared" si="499"/>
        <v xml:space="preserve">17.- C Vikrant 0010111-OT_189990  Reencauche 030-0031276 </v>
      </c>
      <c r="Z2108" s="19" t="str">
        <f t="shared" si="502"/>
        <v>ReencaucheReencauchadora RENOVA</v>
      </c>
    </row>
    <row r="2109" spans="2:26" ht="15.2" customHeight="1" outlineLevel="1">
      <c r="B2109" s="3326"/>
      <c r="C2109" s="2">
        <f t="shared" si="503"/>
        <v>198</v>
      </c>
      <c r="D2109" s="3">
        <f t="shared" si="504"/>
        <v>9</v>
      </c>
      <c r="E2109" s="66">
        <v>18</v>
      </c>
      <c r="F2109" s="67" t="s">
        <v>732</v>
      </c>
      <c r="G2109" s="68" t="s">
        <v>737</v>
      </c>
      <c r="H2109" s="69" t="s">
        <v>1048</v>
      </c>
      <c r="I2109" s="68" t="s">
        <v>726</v>
      </c>
      <c r="J2109" s="70" t="s">
        <v>760</v>
      </c>
      <c r="K2109" s="71" t="s">
        <v>1555</v>
      </c>
      <c r="L2109" s="72">
        <v>41590</v>
      </c>
      <c r="M2109" s="73" t="s">
        <v>729</v>
      </c>
      <c r="N2109" s="74">
        <v>41599</v>
      </c>
      <c r="O2109" s="75">
        <f t="shared" si="505"/>
        <v>41599</v>
      </c>
      <c r="P2109" s="2765" t="s">
        <v>1547</v>
      </c>
      <c r="Q2109" s="2954"/>
      <c r="R2109" s="76">
        <v>281.49</v>
      </c>
      <c r="S2109" s="1945" t="s">
        <v>731</v>
      </c>
      <c r="T2109" s="77"/>
      <c r="U2109" s="1893"/>
      <c r="V2109" s="2079">
        <f t="shared" si="500"/>
        <v>0</v>
      </c>
      <c r="W2109" s="78">
        <f t="shared" si="501"/>
        <v>332.15819999999997</v>
      </c>
      <c r="X2109" s="1878" t="str">
        <f t="shared" si="499"/>
        <v xml:space="preserve">18.- C Vikrant 0100111-OT_189990  Reencauche 030-0031276 </v>
      </c>
      <c r="Z2109" s="19" t="str">
        <f t="shared" si="502"/>
        <v>ReencaucheReencauchadora RENOVA</v>
      </c>
    </row>
    <row r="2110" spans="2:26" ht="15.2" customHeight="1" outlineLevel="1">
      <c r="B2110" s="3326"/>
      <c r="C2110" s="2">
        <f t="shared" si="503"/>
        <v>197</v>
      </c>
      <c r="D2110" s="3">
        <f t="shared" si="504"/>
        <v>8</v>
      </c>
      <c r="E2110" s="66">
        <v>19</v>
      </c>
      <c r="F2110" s="67" t="s">
        <v>732</v>
      </c>
      <c r="G2110" s="68" t="s">
        <v>737</v>
      </c>
      <c r="H2110" s="69" t="s">
        <v>1556</v>
      </c>
      <c r="I2110" s="68" t="s">
        <v>726</v>
      </c>
      <c r="J2110" s="70" t="s">
        <v>760</v>
      </c>
      <c r="K2110" s="71" t="s">
        <v>1555</v>
      </c>
      <c r="L2110" s="72">
        <v>41590</v>
      </c>
      <c r="M2110" s="73" t="s">
        <v>729</v>
      </c>
      <c r="N2110" s="74">
        <v>41599</v>
      </c>
      <c r="O2110" s="75">
        <f t="shared" si="505"/>
        <v>41599</v>
      </c>
      <c r="P2110" s="2765" t="s">
        <v>1547</v>
      </c>
      <c r="Q2110" s="2954"/>
      <c r="R2110" s="76">
        <v>281.49</v>
      </c>
      <c r="S2110" s="1945" t="s">
        <v>731</v>
      </c>
      <c r="T2110" s="77"/>
      <c r="U2110" s="1893"/>
      <c r="V2110" s="2079">
        <f t="shared" si="500"/>
        <v>0</v>
      </c>
      <c r="W2110" s="78">
        <f t="shared" si="501"/>
        <v>332.15819999999997</v>
      </c>
      <c r="X2110" s="1878" t="str">
        <f t="shared" si="499"/>
        <v xml:space="preserve">19.- C Vikrant 0180310-OT_189990  Reencauche 030-0031276 </v>
      </c>
      <c r="Z2110" s="19" t="str">
        <f t="shared" si="502"/>
        <v>ReencaucheReencauchadora RENOVA</v>
      </c>
    </row>
    <row r="2111" spans="2:26" ht="15.2" customHeight="1" outlineLevel="1">
      <c r="B2111" s="3326"/>
      <c r="C2111" s="2">
        <f t="shared" si="503"/>
        <v>196</v>
      </c>
      <c r="D2111" s="3">
        <f t="shared" si="504"/>
        <v>7</v>
      </c>
      <c r="E2111" s="66">
        <v>20</v>
      </c>
      <c r="F2111" s="67" t="s">
        <v>732</v>
      </c>
      <c r="G2111" s="68" t="s">
        <v>737</v>
      </c>
      <c r="H2111" s="69" t="s">
        <v>960</v>
      </c>
      <c r="I2111" s="68" t="s">
        <v>726</v>
      </c>
      <c r="J2111" s="70" t="s">
        <v>760</v>
      </c>
      <c r="K2111" s="71" t="s">
        <v>1555</v>
      </c>
      <c r="L2111" s="72">
        <v>41590</v>
      </c>
      <c r="M2111" s="73" t="s">
        <v>729</v>
      </c>
      <c r="N2111" s="74">
        <v>41599</v>
      </c>
      <c r="O2111" s="75">
        <f t="shared" si="505"/>
        <v>41599</v>
      </c>
      <c r="P2111" s="2765" t="s">
        <v>1547</v>
      </c>
      <c r="Q2111" s="2954"/>
      <c r="R2111" s="76">
        <v>281.49</v>
      </c>
      <c r="S2111" s="1945" t="s">
        <v>731</v>
      </c>
      <c r="T2111" s="77"/>
      <c r="U2111" s="1893"/>
      <c r="V2111" s="2079">
        <f t="shared" si="500"/>
        <v>0</v>
      </c>
      <c r="W2111" s="78">
        <f t="shared" si="501"/>
        <v>332.15819999999997</v>
      </c>
      <c r="X2111" s="1878" t="str">
        <f t="shared" si="499"/>
        <v xml:space="preserve">20.- C Vikrant 0800505-OT_189990  Reencauche 030-0031276 </v>
      </c>
      <c r="Z2111" s="19" t="str">
        <f t="shared" si="502"/>
        <v>ReencaucheReencauchadora RENOVA</v>
      </c>
    </row>
    <row r="2112" spans="2:26" ht="15.2" customHeight="1" outlineLevel="1">
      <c r="B2112" s="3326"/>
      <c r="C2112" s="2">
        <f t="shared" si="503"/>
        <v>195</v>
      </c>
      <c r="D2112" s="3">
        <f t="shared" si="504"/>
        <v>6</v>
      </c>
      <c r="E2112" s="66">
        <v>21</v>
      </c>
      <c r="F2112" s="67" t="s">
        <v>732</v>
      </c>
      <c r="G2112" s="68" t="s">
        <v>737</v>
      </c>
      <c r="H2112" s="69" t="s">
        <v>1119</v>
      </c>
      <c r="I2112" s="68" t="s">
        <v>726</v>
      </c>
      <c r="J2112" s="70" t="s">
        <v>760</v>
      </c>
      <c r="K2112" s="71" t="s">
        <v>1555</v>
      </c>
      <c r="L2112" s="72">
        <v>41590</v>
      </c>
      <c r="M2112" s="73" t="s">
        <v>729</v>
      </c>
      <c r="N2112" s="74">
        <v>41599</v>
      </c>
      <c r="O2112" s="75">
        <f t="shared" si="505"/>
        <v>41599</v>
      </c>
      <c r="P2112" s="2765" t="s">
        <v>1547</v>
      </c>
      <c r="Q2112" s="2954"/>
      <c r="R2112" s="76">
        <v>281.49</v>
      </c>
      <c r="S2112" s="1945" t="s">
        <v>731</v>
      </c>
      <c r="T2112" s="77"/>
      <c r="U2112" s="1893"/>
      <c r="V2112" s="2079">
        <f t="shared" si="500"/>
        <v>0</v>
      </c>
      <c r="W2112" s="78">
        <f t="shared" si="501"/>
        <v>332.15819999999997</v>
      </c>
      <c r="X2112" s="1878" t="str">
        <f t="shared" si="499"/>
        <v xml:space="preserve">21.- C Vikrant 0340211-OT_189990  Reencauche 030-0031276 </v>
      </c>
      <c r="Z2112" s="19" t="str">
        <f t="shared" si="502"/>
        <v>ReencaucheReencauchadora RENOVA</v>
      </c>
    </row>
    <row r="2113" spans="2:26" ht="15.2" customHeight="1" outlineLevel="1">
      <c r="B2113" s="3326"/>
      <c r="C2113" s="2">
        <f t="shared" si="503"/>
        <v>194</v>
      </c>
      <c r="D2113" s="3">
        <f t="shared" si="504"/>
        <v>5</v>
      </c>
      <c r="E2113" s="66">
        <v>22</v>
      </c>
      <c r="F2113" s="67" t="s">
        <v>732</v>
      </c>
      <c r="G2113" s="68" t="s">
        <v>737</v>
      </c>
      <c r="H2113" s="69" t="s">
        <v>1557</v>
      </c>
      <c r="I2113" s="68" t="s">
        <v>726</v>
      </c>
      <c r="J2113" s="70" t="s">
        <v>760</v>
      </c>
      <c r="K2113" s="71" t="s">
        <v>1555</v>
      </c>
      <c r="L2113" s="72">
        <v>41590</v>
      </c>
      <c r="M2113" s="73" t="s">
        <v>729</v>
      </c>
      <c r="N2113" s="74">
        <v>41599</v>
      </c>
      <c r="O2113" s="75">
        <f t="shared" si="505"/>
        <v>41599</v>
      </c>
      <c r="P2113" s="2765" t="s">
        <v>1547</v>
      </c>
      <c r="Q2113" s="2954"/>
      <c r="R2113" s="76">
        <v>281.49</v>
      </c>
      <c r="S2113" s="1945" t="s">
        <v>731</v>
      </c>
      <c r="T2113" s="77"/>
      <c r="U2113" s="1893"/>
      <c r="V2113" s="2079">
        <f t="shared" si="500"/>
        <v>0</v>
      </c>
      <c r="W2113" s="78">
        <f t="shared" si="501"/>
        <v>332.15819999999997</v>
      </c>
      <c r="X2113" s="1878" t="str">
        <f t="shared" si="499"/>
        <v xml:space="preserve">22.- C Vikrant 0300211-OT_189990  Reencauche 030-0031276 </v>
      </c>
      <c r="Z2113" s="19" t="str">
        <f t="shared" si="502"/>
        <v>ReencaucheReencauchadora Espinoza</v>
      </c>
    </row>
    <row r="2114" spans="2:26" ht="15.2" customHeight="1" outlineLevel="1">
      <c r="B2114" s="3326"/>
      <c r="C2114" s="2">
        <f t="shared" si="503"/>
        <v>193</v>
      </c>
      <c r="D2114" s="3">
        <f t="shared" si="504"/>
        <v>4</v>
      </c>
      <c r="E2114" s="66">
        <v>23</v>
      </c>
      <c r="F2114" s="67" t="s">
        <v>732</v>
      </c>
      <c r="G2114" s="68" t="s">
        <v>769</v>
      </c>
      <c r="H2114" s="69" t="s">
        <v>1145</v>
      </c>
      <c r="I2114" s="68" t="s">
        <v>726</v>
      </c>
      <c r="J2114" s="70" t="s">
        <v>760</v>
      </c>
      <c r="K2114" s="71" t="s">
        <v>1555</v>
      </c>
      <c r="L2114" s="72">
        <v>41590</v>
      </c>
      <c r="M2114" s="73" t="s">
        <v>729</v>
      </c>
      <c r="N2114" s="74">
        <v>41599</v>
      </c>
      <c r="O2114" s="75">
        <f t="shared" si="505"/>
        <v>41599</v>
      </c>
      <c r="P2114" s="2765" t="s">
        <v>1547</v>
      </c>
      <c r="Q2114" s="2954"/>
      <c r="R2114" s="76">
        <v>281.49</v>
      </c>
      <c r="S2114" s="1945" t="s">
        <v>731</v>
      </c>
      <c r="T2114" s="77"/>
      <c r="U2114" s="1893"/>
      <c r="V2114" s="2079">
        <f t="shared" si="500"/>
        <v>0</v>
      </c>
      <c r="W2114" s="78">
        <f t="shared" si="501"/>
        <v>332.15819999999997</v>
      </c>
      <c r="X2114" s="1878" t="str">
        <f t="shared" si="499"/>
        <v xml:space="preserve">23.- C Lu He 0410509-OT_189990  Reencauche 030-0031276 </v>
      </c>
      <c r="Z2114" s="19" t="str">
        <f t="shared" si="502"/>
        <v>Usado Dot-4811Reencauchadora Espinoza</v>
      </c>
    </row>
    <row r="2115" spans="2:26" ht="15.2" customHeight="1">
      <c r="B2115" s="3326"/>
      <c r="C2115" s="2">
        <f t="shared" si="503"/>
        <v>192</v>
      </c>
      <c r="D2115" s="3">
        <f t="shared" si="504"/>
        <v>3</v>
      </c>
      <c r="E2115" s="79">
        <v>24</v>
      </c>
      <c r="F2115" s="80" t="s">
        <v>732</v>
      </c>
      <c r="G2115" s="81" t="s">
        <v>757</v>
      </c>
      <c r="H2115" s="82" t="s">
        <v>1037</v>
      </c>
      <c r="I2115" s="81" t="s">
        <v>726</v>
      </c>
      <c r="J2115" s="83" t="s">
        <v>760</v>
      </c>
      <c r="K2115" s="84" t="s">
        <v>1555</v>
      </c>
      <c r="L2115" s="85">
        <v>41590</v>
      </c>
      <c r="M2115" s="86" t="s">
        <v>729</v>
      </c>
      <c r="N2115" s="87">
        <v>41599</v>
      </c>
      <c r="O2115" s="88">
        <f t="shared" si="505"/>
        <v>41599</v>
      </c>
      <c r="P2115" s="2766" t="s">
        <v>1547</v>
      </c>
      <c r="Q2115" s="2955"/>
      <c r="R2115" s="89">
        <v>281.49</v>
      </c>
      <c r="S2115" s="1946" t="s">
        <v>731</v>
      </c>
      <c r="T2115" s="77"/>
      <c r="U2115" s="1893"/>
      <c r="V2115" s="2079">
        <f t="shared" si="500"/>
        <v>0</v>
      </c>
      <c r="W2115" s="78">
        <f t="shared" si="501"/>
        <v>332.15819999999997</v>
      </c>
      <c r="X2115" s="1878" t="str">
        <f t="shared" si="499"/>
        <v xml:space="preserve">24.- C Goodyear 1561004-OT_189990  Reencauche 030-0031276 </v>
      </c>
    </row>
    <row r="2116" spans="2:26" ht="15.2" customHeight="1" outlineLevel="1">
      <c r="B2116" s="3326"/>
      <c r="C2116" s="2">
        <f t="shared" si="503"/>
        <v>191</v>
      </c>
      <c r="D2116" s="3">
        <f t="shared" si="504"/>
        <v>2</v>
      </c>
      <c r="E2116" s="66">
        <v>1</v>
      </c>
      <c r="F2116" s="67" t="s">
        <v>723</v>
      </c>
      <c r="G2116" s="68" t="s">
        <v>724</v>
      </c>
      <c r="H2116" s="69" t="s">
        <v>820</v>
      </c>
      <c r="I2116" s="68" t="s">
        <v>726</v>
      </c>
      <c r="J2116" s="70" t="s">
        <v>1543</v>
      </c>
      <c r="K2116" s="71" t="s">
        <v>1558</v>
      </c>
      <c r="L2116" s="72">
        <v>41585</v>
      </c>
      <c r="M2116" s="73" t="s">
        <v>729</v>
      </c>
      <c r="N2116" s="74">
        <v>41604</v>
      </c>
      <c r="O2116" s="75">
        <f t="shared" si="505"/>
        <v>41604</v>
      </c>
      <c r="P2116" s="2765" t="s">
        <v>1559</v>
      </c>
      <c r="Q2116" s="2954"/>
      <c r="R2116" s="76">
        <v>262.71179999999998</v>
      </c>
      <c r="S2116" s="1945" t="s">
        <v>731</v>
      </c>
      <c r="T2116" s="77"/>
      <c r="U2116" s="1893" t="s">
        <v>694</v>
      </c>
      <c r="V2116" s="2079">
        <f t="shared" si="500"/>
        <v>0</v>
      </c>
      <c r="W2116" s="78">
        <f t="shared" si="501"/>
        <v>309.99992399999996</v>
      </c>
      <c r="X2116" s="1878" t="str">
        <f t="shared" si="499"/>
        <v xml:space="preserve">1.- R Aeolus 0140612-OT_000740  Reencauche 001-000105 </v>
      </c>
      <c r="Z2116" s="19" t="str">
        <f t="shared" ref="Z2116:Z2149" si="506">CONCATENATE(I2119,J2119)</f>
        <v>Transpl BandaReencauchadora Espinoza</v>
      </c>
    </row>
    <row r="2117" spans="2:26" ht="15.2" customHeight="1" outlineLevel="1" thickBot="1">
      <c r="B2117" s="3327"/>
      <c r="C2117" s="2">
        <f>1+C2119</f>
        <v>190</v>
      </c>
      <c r="D2117" s="3">
        <v>1</v>
      </c>
      <c r="E2117" s="79">
        <v>2</v>
      </c>
      <c r="F2117" s="80" t="s">
        <v>723</v>
      </c>
      <c r="G2117" s="81" t="s">
        <v>724</v>
      </c>
      <c r="H2117" s="188" t="s">
        <v>1008</v>
      </c>
      <c r="I2117" s="81" t="s">
        <v>1560</v>
      </c>
      <c r="J2117" s="83" t="s">
        <v>1543</v>
      </c>
      <c r="K2117" s="260" t="s">
        <v>1561</v>
      </c>
      <c r="L2117" s="85">
        <v>41604</v>
      </c>
      <c r="M2117" s="86" t="s">
        <v>729</v>
      </c>
      <c r="N2117" s="87">
        <v>41604</v>
      </c>
      <c r="O2117" s="88">
        <f t="shared" si="505"/>
        <v>41604</v>
      </c>
      <c r="P2117" s="2766" t="s">
        <v>1559</v>
      </c>
      <c r="Q2117" s="2955"/>
      <c r="R2117" s="89">
        <v>381.35590000000002</v>
      </c>
      <c r="S2117" s="1946" t="s">
        <v>731</v>
      </c>
      <c r="T2117" s="77"/>
      <c r="U2117" s="1893" t="s">
        <v>694</v>
      </c>
      <c r="V2117" s="2079">
        <f t="shared" si="500"/>
        <v>0</v>
      </c>
      <c r="W2117" s="78">
        <f t="shared" si="501"/>
        <v>449.99996199999998</v>
      </c>
      <c r="X2117" s="1878" t="str">
        <f t="shared" si="499"/>
        <v xml:space="preserve">2.- R Aeolus 170812-4-OT_F001-000105  Usado Dot-4811 001-000105 </v>
      </c>
      <c r="Z2117" s="19" t="str">
        <f t="shared" si="506"/>
        <v>Transpl BandaReencauchadora Espinoza</v>
      </c>
    </row>
    <row r="2118" spans="2:26" ht="15.2" customHeight="1" outlineLevel="1" thickBot="1">
      <c r="B2118" s="3306">
        <v>41548</v>
      </c>
      <c r="C2118" s="3306"/>
      <c r="D2118" s="258">
        <f>+D2119</f>
        <v>29</v>
      </c>
      <c r="E2118" s="66"/>
      <c r="F2118" s="67"/>
      <c r="G2118" s="68"/>
      <c r="H2118" s="69"/>
      <c r="I2118" s="68"/>
      <c r="J2118" s="70"/>
      <c r="K2118" s="261"/>
      <c r="L2118" s="72"/>
      <c r="M2118" s="73"/>
      <c r="N2118" s="74"/>
      <c r="O2118" s="75"/>
      <c r="P2118" s="2765"/>
      <c r="Q2118" s="2954"/>
      <c r="R2118" s="76"/>
      <c r="S2118" s="1945"/>
      <c r="T2118" s="77"/>
      <c r="U2118" s="1893"/>
      <c r="V2118" s="2079">
        <f t="shared" si="500"/>
        <v>0</v>
      </c>
      <c r="W2118" s="78">
        <f t="shared" si="501"/>
        <v>0</v>
      </c>
      <c r="X2118" s="1878" t="str">
        <f t="shared" si="499"/>
        <v xml:space="preserve">.-   -OT_    </v>
      </c>
      <c r="Z2118" s="19" t="str">
        <f t="shared" si="506"/>
        <v>Transpl BandaReencauchadora Espinoza</v>
      </c>
    </row>
    <row r="2119" spans="2:26" ht="15.2" customHeight="1" outlineLevel="1">
      <c r="B2119" s="3325">
        <v>41548</v>
      </c>
      <c r="C2119" s="2">
        <f t="shared" ref="C2119:D2121" si="507">1+C2120</f>
        <v>189</v>
      </c>
      <c r="D2119" s="3">
        <f t="shared" si="507"/>
        <v>29</v>
      </c>
      <c r="E2119" s="66">
        <v>1</v>
      </c>
      <c r="F2119" s="67" t="s">
        <v>732</v>
      </c>
      <c r="G2119" s="68" t="s">
        <v>757</v>
      </c>
      <c r="H2119" s="69" t="s">
        <v>840</v>
      </c>
      <c r="I2119" s="257" t="s">
        <v>740</v>
      </c>
      <c r="J2119" s="92" t="s">
        <v>1543</v>
      </c>
      <c r="K2119" s="261" t="s">
        <v>1562</v>
      </c>
      <c r="L2119" s="72">
        <v>41551</v>
      </c>
      <c r="M2119" s="73" t="s">
        <v>729</v>
      </c>
      <c r="N2119" s="74">
        <v>41561</v>
      </c>
      <c r="O2119" s="75">
        <f t="shared" ref="O2119:O2152" si="508">+N2119</f>
        <v>41561</v>
      </c>
      <c r="P2119" s="2765" t="s">
        <v>1563</v>
      </c>
      <c r="Q2119" s="2954"/>
      <c r="R2119" s="76">
        <v>127.12</v>
      </c>
      <c r="S2119" s="1945" t="s">
        <v>731</v>
      </c>
      <c r="T2119" s="77"/>
      <c r="U2119" s="1893"/>
      <c r="V2119" s="2079">
        <f t="shared" si="500"/>
        <v>0</v>
      </c>
      <c r="W2119" s="78">
        <f t="shared" si="501"/>
        <v>150.0016</v>
      </c>
      <c r="X2119" s="1878" t="str">
        <f t="shared" si="499"/>
        <v xml:space="preserve">1.- C Goodyear 1601004-OT_001-004224  Transpl Banda 001-004529 </v>
      </c>
      <c r="Z2119" s="19" t="str">
        <f t="shared" si="506"/>
        <v>Transpl BandaReencauchadora Espinoza</v>
      </c>
    </row>
    <row r="2120" spans="2:26" ht="15.2" customHeight="1" outlineLevel="1">
      <c r="B2120" s="3326"/>
      <c r="C2120" s="2">
        <f t="shared" si="507"/>
        <v>188</v>
      </c>
      <c r="D2120" s="3">
        <f t="shared" si="507"/>
        <v>28</v>
      </c>
      <c r="E2120" s="66">
        <v>2</v>
      </c>
      <c r="F2120" s="67" t="s">
        <v>732</v>
      </c>
      <c r="G2120" s="68" t="s">
        <v>831</v>
      </c>
      <c r="H2120" s="69" t="s">
        <v>1564</v>
      </c>
      <c r="I2120" s="257" t="s">
        <v>740</v>
      </c>
      <c r="J2120" s="92" t="s">
        <v>1543</v>
      </c>
      <c r="K2120" s="261" t="s">
        <v>1562</v>
      </c>
      <c r="L2120" s="72">
        <v>41551</v>
      </c>
      <c r="M2120" s="73" t="s">
        <v>729</v>
      </c>
      <c r="N2120" s="74">
        <v>41561</v>
      </c>
      <c r="O2120" s="75">
        <f t="shared" si="508"/>
        <v>41561</v>
      </c>
      <c r="P2120" s="2765" t="s">
        <v>1563</v>
      </c>
      <c r="Q2120" s="2954"/>
      <c r="R2120" s="76">
        <v>127.12</v>
      </c>
      <c r="S2120" s="1945" t="s">
        <v>731</v>
      </c>
      <c r="T2120" s="77"/>
      <c r="U2120" s="1893"/>
      <c r="V2120" s="2079">
        <f t="shared" si="500"/>
        <v>0</v>
      </c>
      <c r="W2120" s="78">
        <f t="shared" si="501"/>
        <v>150.0016</v>
      </c>
      <c r="X2120" s="1878" t="str">
        <f t="shared" si="499"/>
        <v xml:space="preserve">2.- C Kumho 1751004-OT_001-004224  Transpl Banda 001-004529 </v>
      </c>
      <c r="Z2120" s="19" t="str">
        <f t="shared" si="506"/>
        <v>Sacar_BandaReencauchadora Espinoza</v>
      </c>
    </row>
    <row r="2121" spans="2:26" ht="15.2" customHeight="1" outlineLevel="1">
      <c r="B2121" s="3326"/>
      <c r="C2121" s="2">
        <f t="shared" si="507"/>
        <v>187</v>
      </c>
      <c r="D2121" s="3">
        <f t="shared" si="507"/>
        <v>27</v>
      </c>
      <c r="E2121" s="66">
        <v>3</v>
      </c>
      <c r="F2121" s="67" t="s">
        <v>732</v>
      </c>
      <c r="G2121" s="68" t="s">
        <v>757</v>
      </c>
      <c r="H2121" s="69" t="s">
        <v>1055</v>
      </c>
      <c r="I2121" s="257" t="s">
        <v>740</v>
      </c>
      <c r="J2121" s="92" t="s">
        <v>1543</v>
      </c>
      <c r="K2121" s="261" t="s">
        <v>1562</v>
      </c>
      <c r="L2121" s="72">
        <v>41551</v>
      </c>
      <c r="M2121" s="73" t="s">
        <v>729</v>
      </c>
      <c r="N2121" s="74">
        <v>41561</v>
      </c>
      <c r="O2121" s="75">
        <f t="shared" si="508"/>
        <v>41561</v>
      </c>
      <c r="P2121" s="2765" t="s">
        <v>1563</v>
      </c>
      <c r="Q2121" s="2954"/>
      <c r="R2121" s="76">
        <v>127.12</v>
      </c>
      <c r="S2121" s="1945" t="s">
        <v>731</v>
      </c>
      <c r="T2121" s="77"/>
      <c r="U2121" s="1893"/>
      <c r="V2121" s="2079">
        <f t="shared" si="500"/>
        <v>0</v>
      </c>
      <c r="W2121" s="78">
        <f t="shared" si="501"/>
        <v>150.0016</v>
      </c>
      <c r="X2121" s="1878" t="str">
        <f t="shared" si="499"/>
        <v xml:space="preserve">3.- C Goodyear 0330302-OT_001-004224  Transpl Banda 001-004529 </v>
      </c>
      <c r="Z2121" s="19" t="str">
        <f t="shared" si="506"/>
        <v>Sacar_BandaReencauchadora Espinoza</v>
      </c>
    </row>
    <row r="2122" spans="2:26" ht="15.2" customHeight="1" outlineLevel="1">
      <c r="B2122" s="3326"/>
      <c r="C2122" s="2">
        <f>1+C2127</f>
        <v>186</v>
      </c>
      <c r="D2122" s="3">
        <f>+D2127+1</f>
        <v>26</v>
      </c>
      <c r="E2122" s="66">
        <v>4</v>
      </c>
      <c r="F2122" s="67" t="s">
        <v>732</v>
      </c>
      <c r="G2122" s="68" t="s">
        <v>757</v>
      </c>
      <c r="H2122" s="69" t="s">
        <v>1104</v>
      </c>
      <c r="I2122" s="257" t="s">
        <v>740</v>
      </c>
      <c r="J2122" s="92" t="s">
        <v>1543</v>
      </c>
      <c r="K2122" s="261" t="s">
        <v>1562</v>
      </c>
      <c r="L2122" s="72">
        <v>41551</v>
      </c>
      <c r="M2122" s="73" t="s">
        <v>729</v>
      </c>
      <c r="N2122" s="74">
        <v>41561</v>
      </c>
      <c r="O2122" s="75">
        <f t="shared" si="508"/>
        <v>41561</v>
      </c>
      <c r="P2122" s="2765" t="s">
        <v>1563</v>
      </c>
      <c r="Q2122" s="2954"/>
      <c r="R2122" s="76">
        <v>127.12</v>
      </c>
      <c r="S2122" s="1945" t="s">
        <v>731</v>
      </c>
      <c r="T2122" s="77"/>
      <c r="U2122" s="1893"/>
      <c r="V2122" s="2079">
        <f t="shared" si="500"/>
        <v>0</v>
      </c>
      <c r="W2122" s="78">
        <f t="shared" si="501"/>
        <v>150.0016</v>
      </c>
      <c r="X2122" s="1878" t="str">
        <f t="shared" si="499"/>
        <v xml:space="preserve">4.- C Goodyear 1901204-OT_001-004224  Transpl Banda 001-004529 </v>
      </c>
      <c r="Z2122" s="19" t="str">
        <f t="shared" si="506"/>
        <v>Sacar_BandaReencauchadora Espinoza</v>
      </c>
    </row>
    <row r="2123" spans="2:26" ht="15.2" customHeight="1" outlineLevel="1">
      <c r="B2123" s="3326"/>
      <c r="E2123" s="66">
        <v>5</v>
      </c>
      <c r="F2123" s="67" t="s">
        <v>732</v>
      </c>
      <c r="G2123" s="68" t="s">
        <v>1233</v>
      </c>
      <c r="H2123" s="69" t="s">
        <v>1570</v>
      </c>
      <c r="I2123" s="257" t="s">
        <v>744</v>
      </c>
      <c r="J2123" s="92" t="s">
        <v>1543</v>
      </c>
      <c r="K2123" s="261" t="s">
        <v>1562</v>
      </c>
      <c r="L2123" s="72">
        <v>41551</v>
      </c>
      <c r="M2123" s="73" t="s">
        <v>729</v>
      </c>
      <c r="N2123" s="74">
        <v>41561</v>
      </c>
      <c r="O2123" s="75">
        <f t="shared" si="508"/>
        <v>41561</v>
      </c>
      <c r="P2123" s="2765" t="s">
        <v>1563</v>
      </c>
      <c r="Q2123" s="2954"/>
      <c r="R2123" s="76">
        <v>0</v>
      </c>
      <c r="S2123" s="1945" t="s">
        <v>731</v>
      </c>
      <c r="T2123" s="77"/>
      <c r="U2123" s="1893"/>
      <c r="V2123" s="2079">
        <f t="shared" si="500"/>
        <v>0</v>
      </c>
      <c r="W2123" s="78">
        <f t="shared" si="501"/>
        <v>0</v>
      </c>
      <c r="X2123" s="1878" t="str">
        <f t="shared" si="499"/>
        <v xml:space="preserve">5.- C Saratoga 0250306-OT_001-004224  Sacar_Banda 001-004529 </v>
      </c>
      <c r="Z2123" s="19" t="str">
        <f t="shared" si="506"/>
        <v>Sacar_BandaReencauchadora Espinoza</v>
      </c>
    </row>
    <row r="2124" spans="2:26" ht="15.2" customHeight="1" outlineLevel="1">
      <c r="B2124" s="3326"/>
      <c r="E2124" s="66">
        <v>6</v>
      </c>
      <c r="F2124" s="67" t="s">
        <v>732</v>
      </c>
      <c r="G2124" s="68" t="s">
        <v>733</v>
      </c>
      <c r="H2124" s="69" t="s">
        <v>1571</v>
      </c>
      <c r="I2124" s="257" t="s">
        <v>744</v>
      </c>
      <c r="J2124" s="92" t="s">
        <v>1543</v>
      </c>
      <c r="K2124" s="261" t="s">
        <v>1562</v>
      </c>
      <c r="L2124" s="72">
        <v>41551</v>
      </c>
      <c r="M2124" s="73" t="s">
        <v>729</v>
      </c>
      <c r="N2124" s="74">
        <v>41561</v>
      </c>
      <c r="O2124" s="75">
        <f t="shared" si="508"/>
        <v>41561</v>
      </c>
      <c r="P2124" s="2765" t="s">
        <v>1563</v>
      </c>
      <c r="Q2124" s="2954"/>
      <c r="R2124" s="76">
        <v>0</v>
      </c>
      <c r="S2124" s="1945" t="s">
        <v>731</v>
      </c>
      <c r="T2124" s="77"/>
      <c r="U2124" s="1893"/>
      <c r="V2124" s="2079">
        <f t="shared" si="500"/>
        <v>0</v>
      </c>
      <c r="W2124" s="78">
        <f t="shared" si="501"/>
        <v>0</v>
      </c>
      <c r="X2124" s="1878" t="str">
        <f t="shared" si="499"/>
        <v xml:space="preserve">6.- C Lima Caucho 0960908-OT_001-004224  Sacar_Banda 001-004529 </v>
      </c>
      <c r="Z2124" s="19" t="str">
        <f t="shared" si="506"/>
        <v>ReencaucheReencauchadora RENOVA</v>
      </c>
    </row>
    <row r="2125" spans="2:26" ht="15.2" customHeight="1" outlineLevel="1">
      <c r="B2125" s="3326"/>
      <c r="E2125" s="66">
        <v>7</v>
      </c>
      <c r="F2125" s="67" t="s">
        <v>732</v>
      </c>
      <c r="G2125" s="68" t="s">
        <v>757</v>
      </c>
      <c r="H2125" s="69" t="s">
        <v>1572</v>
      </c>
      <c r="I2125" s="257" t="s">
        <v>744</v>
      </c>
      <c r="J2125" s="92" t="s">
        <v>1543</v>
      </c>
      <c r="K2125" s="261" t="s">
        <v>1562</v>
      </c>
      <c r="L2125" s="72">
        <v>41551</v>
      </c>
      <c r="M2125" s="73" t="s">
        <v>729</v>
      </c>
      <c r="N2125" s="74">
        <v>41561</v>
      </c>
      <c r="O2125" s="75">
        <f t="shared" si="508"/>
        <v>41561</v>
      </c>
      <c r="P2125" s="2765" t="s">
        <v>1563</v>
      </c>
      <c r="Q2125" s="2954"/>
      <c r="R2125" s="76">
        <v>0</v>
      </c>
      <c r="S2125" s="1945" t="s">
        <v>731</v>
      </c>
      <c r="T2125" s="77"/>
      <c r="U2125" s="1893"/>
      <c r="V2125" s="2079">
        <f t="shared" si="500"/>
        <v>0</v>
      </c>
      <c r="W2125" s="78">
        <f t="shared" si="501"/>
        <v>0</v>
      </c>
      <c r="X2125" s="1878" t="str">
        <f t="shared" si="499"/>
        <v xml:space="preserve">7.- C Goodyear 0570502-OT_001-004224  Sacar_Banda 001-004529 </v>
      </c>
      <c r="Z2125" s="19" t="str">
        <f t="shared" si="506"/>
        <v>ReencaucheReencauchadora RENOVA</v>
      </c>
    </row>
    <row r="2126" spans="2:26" ht="15.2" customHeight="1" outlineLevel="1">
      <c r="B2126" s="3326"/>
      <c r="E2126" s="79">
        <v>8</v>
      </c>
      <c r="F2126" s="80" t="s">
        <v>732</v>
      </c>
      <c r="G2126" s="81" t="s">
        <v>831</v>
      </c>
      <c r="H2126" s="82" t="s">
        <v>1573</v>
      </c>
      <c r="I2126" s="262" t="s">
        <v>744</v>
      </c>
      <c r="J2126" s="93" t="s">
        <v>1543</v>
      </c>
      <c r="K2126" s="260" t="s">
        <v>1562</v>
      </c>
      <c r="L2126" s="85">
        <v>41551</v>
      </c>
      <c r="M2126" s="86" t="s">
        <v>729</v>
      </c>
      <c r="N2126" s="87">
        <v>41561</v>
      </c>
      <c r="O2126" s="88">
        <f t="shared" si="508"/>
        <v>41561</v>
      </c>
      <c r="P2126" s="2766" t="s">
        <v>1563</v>
      </c>
      <c r="Q2126" s="2955"/>
      <c r="R2126" s="89">
        <v>0</v>
      </c>
      <c r="S2126" s="1946" t="s">
        <v>731</v>
      </c>
      <c r="T2126" s="77"/>
      <c r="U2126" s="1893"/>
      <c r="V2126" s="2079">
        <f t="shared" si="500"/>
        <v>0</v>
      </c>
      <c r="W2126" s="78">
        <f t="shared" si="501"/>
        <v>0</v>
      </c>
      <c r="X2126" s="1878" t="str">
        <f t="shared" si="499"/>
        <v xml:space="preserve">8.- C Kumho 0560305-OT_001-004224  Sacar_Banda 001-004529 </v>
      </c>
      <c r="Z2126" s="19" t="str">
        <f t="shared" si="506"/>
        <v>ReencaucheReencauchadora RENOVA</v>
      </c>
    </row>
    <row r="2127" spans="2:26" ht="15.2" customHeight="1" outlineLevel="1">
      <c r="B2127" s="3326"/>
      <c r="C2127" s="2">
        <f t="shared" ref="C2127:C2149" si="509">1+C2128</f>
        <v>185</v>
      </c>
      <c r="D2127" s="3">
        <f t="shared" ref="D2127:D2149" si="510">1+D2128</f>
        <v>25</v>
      </c>
      <c r="E2127" s="66">
        <v>1</v>
      </c>
      <c r="F2127" s="67" t="s">
        <v>732</v>
      </c>
      <c r="G2127" s="68" t="s">
        <v>733</v>
      </c>
      <c r="H2127" s="69" t="s">
        <v>1041</v>
      </c>
      <c r="I2127" s="68" t="s">
        <v>726</v>
      </c>
      <c r="J2127" s="70" t="s">
        <v>760</v>
      </c>
      <c r="K2127" s="71" t="s">
        <v>1574</v>
      </c>
      <c r="L2127" s="72">
        <v>41548</v>
      </c>
      <c r="M2127" s="73" t="s">
        <v>729</v>
      </c>
      <c r="N2127" s="74">
        <v>41556</v>
      </c>
      <c r="O2127" s="75">
        <f t="shared" si="508"/>
        <v>41556</v>
      </c>
      <c r="P2127" s="2765" t="s">
        <v>1575</v>
      </c>
      <c r="Q2127" s="2954"/>
      <c r="R2127" s="76">
        <v>281.49</v>
      </c>
      <c r="S2127" s="1945" t="s">
        <v>731</v>
      </c>
      <c r="T2127" s="77"/>
      <c r="U2127" s="1893"/>
      <c r="V2127" s="2079">
        <f t="shared" si="500"/>
        <v>0</v>
      </c>
      <c r="W2127" s="78">
        <f t="shared" si="501"/>
        <v>332.15819999999997</v>
      </c>
      <c r="X2127" s="1878" t="str">
        <f t="shared" si="499"/>
        <v xml:space="preserve">1.- C Lima Caucho 1041208-OT_181617  Reencauche 031-0015953 </v>
      </c>
      <c r="Z2127" s="19" t="str">
        <f t="shared" si="506"/>
        <v>ReencaucheReencauchadora RENOVA</v>
      </c>
    </row>
    <row r="2128" spans="2:26" ht="15.2" customHeight="1" outlineLevel="1">
      <c r="B2128" s="3326"/>
      <c r="C2128" s="2">
        <f t="shared" si="509"/>
        <v>184</v>
      </c>
      <c r="D2128" s="3">
        <f t="shared" si="510"/>
        <v>24</v>
      </c>
      <c r="E2128" s="66">
        <v>2</v>
      </c>
      <c r="F2128" s="67" t="s">
        <v>732</v>
      </c>
      <c r="G2128" s="68" t="s">
        <v>733</v>
      </c>
      <c r="H2128" s="69" t="s">
        <v>1576</v>
      </c>
      <c r="I2128" s="68" t="s">
        <v>726</v>
      </c>
      <c r="J2128" s="70" t="s">
        <v>760</v>
      </c>
      <c r="K2128" s="71" t="s">
        <v>1574</v>
      </c>
      <c r="L2128" s="72">
        <v>41548</v>
      </c>
      <c r="M2128" s="73" t="s">
        <v>729</v>
      </c>
      <c r="N2128" s="74">
        <v>41556</v>
      </c>
      <c r="O2128" s="75">
        <f t="shared" si="508"/>
        <v>41556</v>
      </c>
      <c r="P2128" s="2765" t="s">
        <v>1575</v>
      </c>
      <c r="Q2128" s="2954"/>
      <c r="R2128" s="76">
        <v>281.49</v>
      </c>
      <c r="S2128" s="1945" t="s">
        <v>731</v>
      </c>
      <c r="T2128" s="77"/>
      <c r="U2128" s="1893"/>
      <c r="V2128" s="2079">
        <f t="shared" si="500"/>
        <v>0</v>
      </c>
      <c r="W2128" s="78">
        <f t="shared" si="501"/>
        <v>332.15819999999997</v>
      </c>
      <c r="X2128" s="1878" t="str">
        <f t="shared" si="499"/>
        <v xml:space="preserve">2.- C Lima Caucho 0630610-OT_181617  Reencauche 031-0015953 </v>
      </c>
      <c r="Z2128" s="19" t="str">
        <f t="shared" si="506"/>
        <v>ReencaucheReencauchadora RENOVA</v>
      </c>
    </row>
    <row r="2129" spans="2:26" ht="15.2" customHeight="1" outlineLevel="1">
      <c r="B2129" s="3326"/>
      <c r="C2129" s="2">
        <f t="shared" si="509"/>
        <v>183</v>
      </c>
      <c r="D2129" s="3">
        <f t="shared" si="510"/>
        <v>23</v>
      </c>
      <c r="E2129" s="66">
        <v>3</v>
      </c>
      <c r="F2129" s="67" t="s">
        <v>732</v>
      </c>
      <c r="G2129" s="68" t="s">
        <v>733</v>
      </c>
      <c r="H2129" s="69" t="s">
        <v>1353</v>
      </c>
      <c r="I2129" s="68" t="s">
        <v>726</v>
      </c>
      <c r="J2129" s="70" t="s">
        <v>760</v>
      </c>
      <c r="K2129" s="71" t="s">
        <v>1574</v>
      </c>
      <c r="L2129" s="72">
        <v>41548</v>
      </c>
      <c r="M2129" s="73" t="s">
        <v>729</v>
      </c>
      <c r="N2129" s="74">
        <v>41556</v>
      </c>
      <c r="O2129" s="75">
        <f t="shared" si="508"/>
        <v>41556</v>
      </c>
      <c r="P2129" s="2765" t="s">
        <v>1575</v>
      </c>
      <c r="Q2129" s="2954"/>
      <c r="R2129" s="76">
        <v>281.49</v>
      </c>
      <c r="S2129" s="1945" t="s">
        <v>731</v>
      </c>
      <c r="T2129" s="77"/>
      <c r="U2129" s="1893"/>
      <c r="V2129" s="2079">
        <f t="shared" si="500"/>
        <v>0</v>
      </c>
      <c r="W2129" s="78">
        <f t="shared" si="501"/>
        <v>332.15819999999997</v>
      </c>
      <c r="X2129" s="1878" t="str">
        <f t="shared" si="499"/>
        <v xml:space="preserve">3.- C Lima Caucho 0570708-OT_181617  Reencauche 031-0015953 </v>
      </c>
      <c r="Z2129" s="19" t="str">
        <f t="shared" si="506"/>
        <v>ReencaucheReencauchadora RENOVA</v>
      </c>
    </row>
    <row r="2130" spans="2:26" outlineLevel="1">
      <c r="B2130" s="3326"/>
      <c r="C2130" s="2">
        <f t="shared" si="509"/>
        <v>182</v>
      </c>
      <c r="D2130" s="3">
        <f t="shared" si="510"/>
        <v>22</v>
      </c>
      <c r="E2130" s="66">
        <v>4</v>
      </c>
      <c r="F2130" s="67" t="s">
        <v>732</v>
      </c>
      <c r="G2130" s="68" t="s">
        <v>733</v>
      </c>
      <c r="H2130" s="69" t="s">
        <v>1577</v>
      </c>
      <c r="I2130" s="68" t="s">
        <v>726</v>
      </c>
      <c r="J2130" s="70" t="s">
        <v>760</v>
      </c>
      <c r="K2130" s="71" t="s">
        <v>1574</v>
      </c>
      <c r="L2130" s="72">
        <v>41548</v>
      </c>
      <c r="M2130" s="73" t="s">
        <v>729</v>
      </c>
      <c r="N2130" s="74">
        <v>41556</v>
      </c>
      <c r="O2130" s="75">
        <f t="shared" si="508"/>
        <v>41556</v>
      </c>
      <c r="P2130" s="2765" t="s">
        <v>1575</v>
      </c>
      <c r="Q2130" s="2954"/>
      <c r="R2130" s="76">
        <v>281.49</v>
      </c>
      <c r="S2130" s="1945" t="s">
        <v>731</v>
      </c>
      <c r="T2130" s="77"/>
      <c r="U2130" s="1893"/>
      <c r="V2130" s="2079">
        <f t="shared" si="500"/>
        <v>0</v>
      </c>
      <c r="W2130" s="78">
        <f t="shared" si="501"/>
        <v>332.15819999999997</v>
      </c>
      <c r="X2130" s="1878" t="str">
        <f t="shared" si="499"/>
        <v xml:space="preserve">4.- C Lima Caucho 0410707-OT_181617  Reencauche 031-0015953 </v>
      </c>
      <c r="Z2130" s="19" t="str">
        <f t="shared" si="506"/>
        <v>ReencaucheReencauchadora RENOVA</v>
      </c>
    </row>
    <row r="2131" spans="2:26" outlineLevel="1">
      <c r="B2131" s="3326"/>
      <c r="C2131" s="2">
        <f t="shared" si="509"/>
        <v>181</v>
      </c>
      <c r="D2131" s="3">
        <f t="shared" si="510"/>
        <v>21</v>
      </c>
      <c r="E2131" s="66">
        <v>5</v>
      </c>
      <c r="F2131" s="67" t="s">
        <v>732</v>
      </c>
      <c r="G2131" s="68" t="s">
        <v>733</v>
      </c>
      <c r="H2131" s="69" t="s">
        <v>804</v>
      </c>
      <c r="I2131" s="68" t="s">
        <v>726</v>
      </c>
      <c r="J2131" s="70" t="s">
        <v>760</v>
      </c>
      <c r="K2131" s="71" t="s">
        <v>1574</v>
      </c>
      <c r="L2131" s="72">
        <v>41548</v>
      </c>
      <c r="M2131" s="73" t="s">
        <v>729</v>
      </c>
      <c r="N2131" s="74">
        <v>41556</v>
      </c>
      <c r="O2131" s="75">
        <f t="shared" si="508"/>
        <v>41556</v>
      </c>
      <c r="P2131" s="2765" t="s">
        <v>1575</v>
      </c>
      <c r="Q2131" s="2954"/>
      <c r="R2131" s="76">
        <v>281.49</v>
      </c>
      <c r="S2131" s="1945" t="s">
        <v>731</v>
      </c>
      <c r="T2131" s="77"/>
      <c r="U2131" s="1893"/>
      <c r="V2131" s="2079">
        <f t="shared" si="500"/>
        <v>0</v>
      </c>
      <c r="W2131" s="78">
        <f t="shared" si="501"/>
        <v>332.15819999999997</v>
      </c>
      <c r="X2131" s="1878" t="str">
        <f t="shared" si="499"/>
        <v xml:space="preserve">5.- C Lima Caucho 1141107-OT_181617  Reencauche 031-0015953 </v>
      </c>
      <c r="Z2131" s="19" t="str">
        <f t="shared" si="506"/>
        <v>ReencaucheReencauchadora RENOVA</v>
      </c>
    </row>
    <row r="2132" spans="2:26" outlineLevel="1">
      <c r="B2132" s="3326"/>
      <c r="C2132" s="2">
        <f t="shared" si="509"/>
        <v>180</v>
      </c>
      <c r="D2132" s="3">
        <f t="shared" si="510"/>
        <v>20</v>
      </c>
      <c r="E2132" s="66">
        <v>6</v>
      </c>
      <c r="F2132" s="67" t="s">
        <v>732</v>
      </c>
      <c r="G2132" s="68" t="s">
        <v>733</v>
      </c>
      <c r="H2132" s="69" t="s">
        <v>1578</v>
      </c>
      <c r="I2132" s="68" t="s">
        <v>726</v>
      </c>
      <c r="J2132" s="70" t="s">
        <v>760</v>
      </c>
      <c r="K2132" s="71" t="s">
        <v>1574</v>
      </c>
      <c r="L2132" s="72">
        <v>41548</v>
      </c>
      <c r="M2132" s="73" t="s">
        <v>729</v>
      </c>
      <c r="N2132" s="255">
        <v>41599</v>
      </c>
      <c r="O2132" s="263">
        <f t="shared" si="508"/>
        <v>41599</v>
      </c>
      <c r="P2132" s="2790" t="s">
        <v>1547</v>
      </c>
      <c r="Q2132" s="2973"/>
      <c r="R2132" s="264">
        <v>281.49</v>
      </c>
      <c r="S2132" s="1960" t="s">
        <v>731</v>
      </c>
      <c r="T2132" s="77"/>
      <c r="U2132" s="1893"/>
      <c r="V2132" s="2079">
        <f t="shared" si="500"/>
        <v>0</v>
      </c>
      <c r="W2132" s="78">
        <f t="shared" si="501"/>
        <v>332.15819999999997</v>
      </c>
      <c r="X2132" s="1878" t="str">
        <f t="shared" si="499"/>
        <v xml:space="preserve">6.- C Lima Caucho 0150207-OT_181617  Reencauche 030-0031276 </v>
      </c>
      <c r="Z2132" s="19" t="str">
        <f t="shared" si="506"/>
        <v>ReencaucheReencauchadora RENOVA</v>
      </c>
    </row>
    <row r="2133" spans="2:26" outlineLevel="1">
      <c r="B2133" s="3326"/>
      <c r="C2133" s="2">
        <f t="shared" si="509"/>
        <v>179</v>
      </c>
      <c r="D2133" s="3">
        <f t="shared" si="510"/>
        <v>19</v>
      </c>
      <c r="E2133" s="66">
        <v>7</v>
      </c>
      <c r="F2133" s="67" t="s">
        <v>732</v>
      </c>
      <c r="G2133" s="68" t="s">
        <v>733</v>
      </c>
      <c r="H2133" s="69" t="s">
        <v>1579</v>
      </c>
      <c r="I2133" s="68" t="s">
        <v>726</v>
      </c>
      <c r="J2133" s="70" t="s">
        <v>760</v>
      </c>
      <c r="K2133" s="71" t="s">
        <v>1574</v>
      </c>
      <c r="L2133" s="72">
        <v>41548</v>
      </c>
      <c r="M2133" s="73" t="s">
        <v>729</v>
      </c>
      <c r="N2133" s="74">
        <v>41556</v>
      </c>
      <c r="O2133" s="75">
        <f t="shared" si="508"/>
        <v>41556</v>
      </c>
      <c r="P2133" s="2765" t="s">
        <v>1575</v>
      </c>
      <c r="Q2133" s="2954"/>
      <c r="R2133" s="76">
        <v>281.49</v>
      </c>
      <c r="S2133" s="1945" t="s">
        <v>731</v>
      </c>
      <c r="T2133" s="77"/>
      <c r="U2133" s="1893"/>
      <c r="V2133" s="2079">
        <f t="shared" si="500"/>
        <v>0</v>
      </c>
      <c r="W2133" s="78">
        <f t="shared" si="501"/>
        <v>332.15819999999997</v>
      </c>
      <c r="X2133" s="1878" t="str">
        <f t="shared" si="499"/>
        <v xml:space="preserve">7.- C Lima Caucho 1081208-OT_181617  Reencauche 031-0015953 </v>
      </c>
      <c r="Z2133" s="19" t="str">
        <f t="shared" si="506"/>
        <v>ReencaucheReencauchadora RENOVA</v>
      </c>
    </row>
    <row r="2134" spans="2:26" outlineLevel="1">
      <c r="B2134" s="3326"/>
      <c r="C2134" s="2">
        <f t="shared" si="509"/>
        <v>178</v>
      </c>
      <c r="D2134" s="3">
        <f t="shared" si="510"/>
        <v>18</v>
      </c>
      <c r="E2134" s="66">
        <v>8</v>
      </c>
      <c r="F2134" s="67" t="s">
        <v>732</v>
      </c>
      <c r="G2134" s="68" t="s">
        <v>733</v>
      </c>
      <c r="H2134" s="69" t="s">
        <v>1580</v>
      </c>
      <c r="I2134" s="68" t="s">
        <v>726</v>
      </c>
      <c r="J2134" s="70" t="s">
        <v>760</v>
      </c>
      <c r="K2134" s="71" t="s">
        <v>1574</v>
      </c>
      <c r="L2134" s="72">
        <v>41548</v>
      </c>
      <c r="M2134" s="73" t="s">
        <v>729</v>
      </c>
      <c r="N2134" s="74">
        <v>41556</v>
      </c>
      <c r="O2134" s="75">
        <f t="shared" si="508"/>
        <v>41556</v>
      </c>
      <c r="P2134" s="2765" t="s">
        <v>1575</v>
      </c>
      <c r="Q2134" s="2954"/>
      <c r="R2134" s="76">
        <v>281.49</v>
      </c>
      <c r="S2134" s="1945" t="s">
        <v>731</v>
      </c>
      <c r="T2134" s="77"/>
      <c r="U2134" s="1893"/>
      <c r="V2134" s="2079">
        <f t="shared" si="500"/>
        <v>0</v>
      </c>
      <c r="W2134" s="78">
        <f t="shared" si="501"/>
        <v>332.15819999999997</v>
      </c>
      <c r="X2134" s="1878" t="str">
        <f t="shared" si="499"/>
        <v xml:space="preserve">8.- C Lima Caucho 0520610-OT_181617  Reencauche 031-0015953 </v>
      </c>
      <c r="Z2134" s="19" t="str">
        <f t="shared" si="506"/>
        <v>ReencaucheReencauchadora RENOVA</v>
      </c>
    </row>
    <row r="2135" spans="2:26" outlineLevel="1">
      <c r="B2135" s="3326"/>
      <c r="C2135" s="2">
        <f t="shared" si="509"/>
        <v>177</v>
      </c>
      <c r="D2135" s="3">
        <f t="shared" si="510"/>
        <v>17</v>
      </c>
      <c r="E2135" s="66">
        <v>9</v>
      </c>
      <c r="F2135" s="67" t="s">
        <v>732</v>
      </c>
      <c r="G2135" s="68" t="s">
        <v>733</v>
      </c>
      <c r="H2135" s="69" t="s">
        <v>1259</v>
      </c>
      <c r="I2135" s="68" t="s">
        <v>726</v>
      </c>
      <c r="J2135" s="70" t="s">
        <v>760</v>
      </c>
      <c r="K2135" s="71" t="s">
        <v>1574</v>
      </c>
      <c r="L2135" s="72">
        <v>41548</v>
      </c>
      <c r="M2135" s="73" t="s">
        <v>729</v>
      </c>
      <c r="N2135" s="74">
        <v>41556</v>
      </c>
      <c r="O2135" s="75">
        <f t="shared" si="508"/>
        <v>41556</v>
      </c>
      <c r="P2135" s="2765" t="s">
        <v>1575</v>
      </c>
      <c r="Q2135" s="2954"/>
      <c r="R2135" s="76">
        <v>281.49</v>
      </c>
      <c r="S2135" s="1945" t="s">
        <v>731</v>
      </c>
      <c r="T2135" s="77"/>
      <c r="U2135" s="1893"/>
      <c r="V2135" s="2079">
        <f t="shared" si="500"/>
        <v>0</v>
      </c>
      <c r="W2135" s="78">
        <f t="shared" si="501"/>
        <v>332.15819999999997</v>
      </c>
      <c r="X2135" s="1878" t="str">
        <f t="shared" si="499"/>
        <v xml:space="preserve">9.- C Lima Caucho 0370411-OT_181617  Reencauche 031-0015953 </v>
      </c>
      <c r="Z2135" s="19" t="str">
        <f t="shared" si="506"/>
        <v>ReencaucheReencauchadora RENOVA</v>
      </c>
    </row>
    <row r="2136" spans="2:26" outlineLevel="1">
      <c r="B2136" s="3326"/>
      <c r="C2136" s="2">
        <f t="shared" si="509"/>
        <v>176</v>
      </c>
      <c r="D2136" s="3">
        <f t="shared" si="510"/>
        <v>16</v>
      </c>
      <c r="E2136" s="66">
        <v>10</v>
      </c>
      <c r="F2136" s="67" t="s">
        <v>732</v>
      </c>
      <c r="G2136" s="68" t="s">
        <v>733</v>
      </c>
      <c r="H2136" s="69" t="s">
        <v>1581</v>
      </c>
      <c r="I2136" s="68" t="s">
        <v>726</v>
      </c>
      <c r="J2136" s="70" t="s">
        <v>760</v>
      </c>
      <c r="K2136" s="71" t="s">
        <v>1574</v>
      </c>
      <c r="L2136" s="72">
        <v>41548</v>
      </c>
      <c r="M2136" s="73" t="s">
        <v>729</v>
      </c>
      <c r="N2136" s="74">
        <v>41556</v>
      </c>
      <c r="O2136" s="75">
        <f t="shared" si="508"/>
        <v>41556</v>
      </c>
      <c r="P2136" s="2765" t="s">
        <v>1575</v>
      </c>
      <c r="Q2136" s="2954"/>
      <c r="R2136" s="76">
        <v>281.49</v>
      </c>
      <c r="S2136" s="1945" t="s">
        <v>731</v>
      </c>
      <c r="T2136" s="77"/>
      <c r="U2136" s="1893"/>
      <c r="V2136" s="2079">
        <f t="shared" si="500"/>
        <v>0</v>
      </c>
      <c r="W2136" s="78">
        <f t="shared" si="501"/>
        <v>332.15819999999997</v>
      </c>
      <c r="X2136" s="1878" t="str">
        <f t="shared" si="499"/>
        <v xml:space="preserve">10.- C Lima Caucho 0700810-OT_181617  Reencauche 031-0015953 </v>
      </c>
      <c r="Z2136" s="19" t="str">
        <f t="shared" si="506"/>
        <v>ReencaucheReencauchadora RENOVA</v>
      </c>
    </row>
    <row r="2137" spans="2:26" outlineLevel="1">
      <c r="B2137" s="3326"/>
      <c r="C2137" s="2">
        <f t="shared" si="509"/>
        <v>175</v>
      </c>
      <c r="D2137" s="3">
        <f t="shared" si="510"/>
        <v>15</v>
      </c>
      <c r="E2137" s="66">
        <v>11</v>
      </c>
      <c r="F2137" s="67" t="s">
        <v>732</v>
      </c>
      <c r="G2137" s="68" t="s">
        <v>733</v>
      </c>
      <c r="H2137" s="69" t="s">
        <v>906</v>
      </c>
      <c r="I2137" s="68" t="s">
        <v>726</v>
      </c>
      <c r="J2137" s="70" t="s">
        <v>760</v>
      </c>
      <c r="K2137" s="71" t="s">
        <v>1582</v>
      </c>
      <c r="L2137" s="72">
        <v>41548</v>
      </c>
      <c r="M2137" s="73" t="s">
        <v>729</v>
      </c>
      <c r="N2137" s="74">
        <v>41556</v>
      </c>
      <c r="O2137" s="75">
        <f t="shared" si="508"/>
        <v>41556</v>
      </c>
      <c r="P2137" s="2765" t="s">
        <v>1575</v>
      </c>
      <c r="Q2137" s="2954"/>
      <c r="R2137" s="76">
        <v>281.49</v>
      </c>
      <c r="S2137" s="1945" t="s">
        <v>731</v>
      </c>
      <c r="T2137" s="77"/>
      <c r="U2137" s="1893"/>
      <c r="V2137" s="2079">
        <f t="shared" si="500"/>
        <v>0</v>
      </c>
      <c r="W2137" s="78">
        <f t="shared" si="501"/>
        <v>332.15819999999997</v>
      </c>
      <c r="X2137" s="1878" t="str">
        <f t="shared" si="499"/>
        <v xml:space="preserve">11.- C Lima Caucho 0710907-OT_181618  Reencauche 031-0015953 </v>
      </c>
      <c r="Z2137" s="19" t="str">
        <f t="shared" si="506"/>
        <v>ReencaucheReencauchadora RENOVA</v>
      </c>
    </row>
    <row r="2138" spans="2:26" outlineLevel="1">
      <c r="B2138" s="3326"/>
      <c r="C2138" s="2">
        <f t="shared" si="509"/>
        <v>174</v>
      </c>
      <c r="D2138" s="3">
        <f t="shared" si="510"/>
        <v>14</v>
      </c>
      <c r="E2138" s="66">
        <v>12</v>
      </c>
      <c r="F2138" s="67" t="s">
        <v>732</v>
      </c>
      <c r="G2138" s="68" t="s">
        <v>733</v>
      </c>
      <c r="H2138" s="69" t="s">
        <v>797</v>
      </c>
      <c r="I2138" s="68" t="s">
        <v>726</v>
      </c>
      <c r="J2138" s="70" t="s">
        <v>760</v>
      </c>
      <c r="K2138" s="71" t="s">
        <v>1582</v>
      </c>
      <c r="L2138" s="72">
        <v>41548</v>
      </c>
      <c r="M2138" s="73" t="s">
        <v>729</v>
      </c>
      <c r="N2138" s="74">
        <v>41556</v>
      </c>
      <c r="O2138" s="75">
        <f t="shared" si="508"/>
        <v>41556</v>
      </c>
      <c r="P2138" s="2765" t="s">
        <v>1575</v>
      </c>
      <c r="Q2138" s="2954"/>
      <c r="R2138" s="76">
        <v>281.49</v>
      </c>
      <c r="S2138" s="1945" t="s">
        <v>731</v>
      </c>
      <c r="T2138" s="77"/>
      <c r="U2138" s="1893"/>
      <c r="V2138" s="2079">
        <f t="shared" si="500"/>
        <v>0</v>
      </c>
      <c r="W2138" s="78">
        <f t="shared" si="501"/>
        <v>332.15819999999997</v>
      </c>
      <c r="X2138" s="1878" t="str">
        <f t="shared" si="499"/>
        <v xml:space="preserve">12.- C Lima Caucho 0840910-OT_181618  Reencauche 031-0015953 </v>
      </c>
      <c r="Z2138" s="19" t="str">
        <f t="shared" si="506"/>
        <v>ReencaucheReencauchadora RENOVA</v>
      </c>
    </row>
    <row r="2139" spans="2:26" outlineLevel="1">
      <c r="B2139" s="3326"/>
      <c r="C2139" s="2">
        <f t="shared" si="509"/>
        <v>173</v>
      </c>
      <c r="D2139" s="3">
        <f t="shared" si="510"/>
        <v>13</v>
      </c>
      <c r="E2139" s="66">
        <v>13</v>
      </c>
      <c r="F2139" s="67" t="s">
        <v>732</v>
      </c>
      <c r="G2139" s="68" t="s">
        <v>737</v>
      </c>
      <c r="H2139" s="69" t="s">
        <v>1583</v>
      </c>
      <c r="I2139" s="68" t="s">
        <v>726</v>
      </c>
      <c r="J2139" s="70" t="s">
        <v>760</v>
      </c>
      <c r="K2139" s="71" t="s">
        <v>1582</v>
      </c>
      <c r="L2139" s="72">
        <v>41548</v>
      </c>
      <c r="M2139" s="73" t="s">
        <v>729</v>
      </c>
      <c r="N2139" s="74">
        <v>41556</v>
      </c>
      <c r="O2139" s="75">
        <f t="shared" si="508"/>
        <v>41556</v>
      </c>
      <c r="P2139" s="2765" t="s">
        <v>1575</v>
      </c>
      <c r="Q2139" s="2954"/>
      <c r="R2139" s="76">
        <v>281.49</v>
      </c>
      <c r="S2139" s="1945" t="s">
        <v>731</v>
      </c>
      <c r="T2139" s="77"/>
      <c r="U2139" s="1893"/>
      <c r="V2139" s="2079">
        <f t="shared" si="500"/>
        <v>0</v>
      </c>
      <c r="W2139" s="78">
        <f t="shared" si="501"/>
        <v>332.15819999999997</v>
      </c>
      <c r="X2139" s="1878" t="str">
        <f t="shared" si="499"/>
        <v xml:space="preserve">13.- C Vikrant 0260410-OT_181618  Reencauche 031-0015953 </v>
      </c>
      <c r="Z2139" s="19" t="str">
        <f t="shared" si="506"/>
        <v>ReencaucheReencauchadora RENOVA</v>
      </c>
    </row>
    <row r="2140" spans="2:26" outlineLevel="1">
      <c r="B2140" s="3326"/>
      <c r="C2140" s="2">
        <f t="shared" si="509"/>
        <v>172</v>
      </c>
      <c r="D2140" s="3">
        <f t="shared" si="510"/>
        <v>12</v>
      </c>
      <c r="E2140" s="66">
        <v>14</v>
      </c>
      <c r="F2140" s="67" t="s">
        <v>732</v>
      </c>
      <c r="G2140" s="68" t="s">
        <v>737</v>
      </c>
      <c r="H2140" s="69" t="s">
        <v>1584</v>
      </c>
      <c r="I2140" s="68" t="s">
        <v>726</v>
      </c>
      <c r="J2140" s="70" t="s">
        <v>760</v>
      </c>
      <c r="K2140" s="71" t="s">
        <v>1582</v>
      </c>
      <c r="L2140" s="72">
        <v>41548</v>
      </c>
      <c r="M2140" s="73" t="s">
        <v>729</v>
      </c>
      <c r="N2140" s="74">
        <v>41556</v>
      </c>
      <c r="O2140" s="75">
        <f t="shared" si="508"/>
        <v>41556</v>
      </c>
      <c r="P2140" s="2765" t="s">
        <v>1575</v>
      </c>
      <c r="Q2140" s="2954"/>
      <c r="R2140" s="76">
        <v>281.49</v>
      </c>
      <c r="S2140" s="1945" t="s">
        <v>731</v>
      </c>
      <c r="T2140" s="77"/>
      <c r="U2140" s="1893"/>
      <c r="V2140" s="2079">
        <f t="shared" si="500"/>
        <v>0</v>
      </c>
      <c r="W2140" s="78">
        <f t="shared" si="501"/>
        <v>332.15819999999997</v>
      </c>
      <c r="X2140" s="1878" t="str">
        <f t="shared" si="499"/>
        <v xml:space="preserve">14.- C Vikrant 0640809-OT_181618  Reencauche 031-0015953 </v>
      </c>
      <c r="Z2140" s="19" t="str">
        <f t="shared" si="506"/>
        <v>ReencaucheReencauchadora RENOVA</v>
      </c>
    </row>
    <row r="2141" spans="2:26" outlineLevel="1">
      <c r="B2141" s="3326"/>
      <c r="C2141" s="2">
        <f t="shared" si="509"/>
        <v>171</v>
      </c>
      <c r="D2141" s="3">
        <f t="shared" si="510"/>
        <v>11</v>
      </c>
      <c r="E2141" s="66">
        <v>15</v>
      </c>
      <c r="F2141" s="67" t="s">
        <v>732</v>
      </c>
      <c r="G2141" s="68" t="s">
        <v>737</v>
      </c>
      <c r="H2141" s="69" t="s">
        <v>1585</v>
      </c>
      <c r="I2141" s="68" t="s">
        <v>726</v>
      </c>
      <c r="J2141" s="70" t="s">
        <v>760</v>
      </c>
      <c r="K2141" s="71" t="s">
        <v>1582</v>
      </c>
      <c r="L2141" s="72">
        <v>41548</v>
      </c>
      <c r="M2141" s="73" t="s">
        <v>729</v>
      </c>
      <c r="N2141" s="74">
        <v>41556</v>
      </c>
      <c r="O2141" s="75">
        <f t="shared" si="508"/>
        <v>41556</v>
      </c>
      <c r="P2141" s="2765" t="s">
        <v>1575</v>
      </c>
      <c r="Q2141" s="2954"/>
      <c r="R2141" s="76">
        <v>281.49</v>
      </c>
      <c r="S2141" s="1945" t="s">
        <v>731</v>
      </c>
      <c r="T2141" s="77"/>
      <c r="U2141" s="1893"/>
      <c r="V2141" s="2079">
        <f t="shared" si="500"/>
        <v>0</v>
      </c>
      <c r="W2141" s="78">
        <f t="shared" si="501"/>
        <v>332.15819999999997</v>
      </c>
      <c r="X2141" s="1878" t="str">
        <f t="shared" si="499"/>
        <v xml:space="preserve">15.- C Vikrant 0861009-OT_181618  Reencauche 031-0015953 </v>
      </c>
      <c r="Z2141" s="19" t="str">
        <f t="shared" si="506"/>
        <v>ReencaucheReencauchadora RENOVA</v>
      </c>
    </row>
    <row r="2142" spans="2:26" outlineLevel="1">
      <c r="B2142" s="3326"/>
      <c r="C2142" s="2">
        <f t="shared" si="509"/>
        <v>170</v>
      </c>
      <c r="D2142" s="3">
        <f t="shared" si="510"/>
        <v>10</v>
      </c>
      <c r="E2142" s="66">
        <v>16</v>
      </c>
      <c r="F2142" s="67" t="s">
        <v>732</v>
      </c>
      <c r="G2142" s="68" t="s">
        <v>737</v>
      </c>
      <c r="H2142" s="69" t="s">
        <v>800</v>
      </c>
      <c r="I2142" s="68" t="s">
        <v>726</v>
      </c>
      <c r="J2142" s="70" t="s">
        <v>760</v>
      </c>
      <c r="K2142" s="71" t="s">
        <v>1582</v>
      </c>
      <c r="L2142" s="72">
        <v>41548</v>
      </c>
      <c r="M2142" s="73" t="s">
        <v>729</v>
      </c>
      <c r="N2142" s="74">
        <v>41556</v>
      </c>
      <c r="O2142" s="75">
        <f t="shared" si="508"/>
        <v>41556</v>
      </c>
      <c r="P2142" s="2765" t="s">
        <v>1575</v>
      </c>
      <c r="Q2142" s="2954"/>
      <c r="R2142" s="76">
        <v>281.49</v>
      </c>
      <c r="S2142" s="1945" t="s">
        <v>731</v>
      </c>
      <c r="T2142" s="77"/>
      <c r="U2142" s="1893"/>
      <c r="V2142" s="2079">
        <f t="shared" si="500"/>
        <v>0</v>
      </c>
      <c r="W2142" s="78">
        <f t="shared" si="501"/>
        <v>332.15819999999997</v>
      </c>
      <c r="X2142" s="1878" t="str">
        <f t="shared" si="499"/>
        <v xml:space="preserve">16.- C Vikrant 0450411-OT_181618  Reencauche 031-0015953 </v>
      </c>
      <c r="Z2142" s="19" t="str">
        <f t="shared" si="506"/>
        <v>ReencaucheReencauchadora RENOVA</v>
      </c>
    </row>
    <row r="2143" spans="2:26" outlineLevel="1">
      <c r="B2143" s="3326"/>
      <c r="C2143" s="2">
        <f t="shared" si="509"/>
        <v>169</v>
      </c>
      <c r="D2143" s="3">
        <f t="shared" si="510"/>
        <v>9</v>
      </c>
      <c r="E2143" s="79">
        <v>17</v>
      </c>
      <c r="F2143" s="80" t="s">
        <v>732</v>
      </c>
      <c r="G2143" s="81" t="s">
        <v>1233</v>
      </c>
      <c r="H2143" s="82" t="s">
        <v>1586</v>
      </c>
      <c r="I2143" s="81" t="s">
        <v>726</v>
      </c>
      <c r="J2143" s="83" t="s">
        <v>760</v>
      </c>
      <c r="K2143" s="84" t="s">
        <v>1582</v>
      </c>
      <c r="L2143" s="85">
        <v>41548</v>
      </c>
      <c r="M2143" s="86" t="s">
        <v>729</v>
      </c>
      <c r="N2143" s="87">
        <v>41556</v>
      </c>
      <c r="O2143" s="88">
        <f t="shared" si="508"/>
        <v>41556</v>
      </c>
      <c r="P2143" s="2766" t="s">
        <v>1575</v>
      </c>
      <c r="Q2143" s="2955"/>
      <c r="R2143" s="89">
        <v>281.49</v>
      </c>
      <c r="S2143" s="1946" t="s">
        <v>731</v>
      </c>
      <c r="T2143" s="77"/>
      <c r="U2143" s="1893"/>
      <c r="V2143" s="2079">
        <f t="shared" si="500"/>
        <v>0</v>
      </c>
      <c r="W2143" s="78">
        <f t="shared" si="501"/>
        <v>332.15819999999997</v>
      </c>
      <c r="X2143" s="1878" t="str">
        <f t="shared" si="499"/>
        <v xml:space="preserve">17.- C Saratoga 0050306-OT_181618  Reencauche 031-0015953 </v>
      </c>
      <c r="Z2143" s="19" t="str">
        <f t="shared" si="506"/>
        <v>ReencaucheReencauchadora RENOVA</v>
      </c>
    </row>
    <row r="2144" spans="2:26" outlineLevel="1">
      <c r="B2144" s="3326"/>
      <c r="C2144" s="2">
        <f t="shared" si="509"/>
        <v>168</v>
      </c>
      <c r="D2144" s="3">
        <f t="shared" si="510"/>
        <v>8</v>
      </c>
      <c r="E2144" s="66">
        <v>1</v>
      </c>
      <c r="F2144" s="67" t="s">
        <v>732</v>
      </c>
      <c r="G2144" s="68" t="s">
        <v>737</v>
      </c>
      <c r="H2144" s="69" t="s">
        <v>1120</v>
      </c>
      <c r="I2144" s="68" t="s">
        <v>726</v>
      </c>
      <c r="J2144" s="70" t="s">
        <v>760</v>
      </c>
      <c r="K2144" s="71" t="s">
        <v>1587</v>
      </c>
      <c r="L2144" s="72">
        <v>41527</v>
      </c>
      <c r="M2144" s="73" t="s">
        <v>729</v>
      </c>
      <c r="N2144" s="74">
        <v>41556</v>
      </c>
      <c r="O2144" s="75">
        <f t="shared" si="508"/>
        <v>41556</v>
      </c>
      <c r="P2144" s="2765" t="s">
        <v>1575</v>
      </c>
      <c r="Q2144" s="2954"/>
      <c r="R2144" s="76">
        <v>281.49</v>
      </c>
      <c r="S2144" s="1945" t="s">
        <v>731</v>
      </c>
      <c r="T2144" s="77"/>
      <c r="U2144" s="1893"/>
      <c r="V2144" s="2079">
        <f t="shared" si="500"/>
        <v>0</v>
      </c>
      <c r="W2144" s="78">
        <f t="shared" si="501"/>
        <v>332.15819999999997</v>
      </c>
      <c r="X2144" s="1878" t="str">
        <f t="shared" si="499"/>
        <v xml:space="preserve">1.- C Vikrant 05022010-OT_187210  Reencauche 031-0015953 </v>
      </c>
      <c r="Z2144" s="19" t="str">
        <f t="shared" si="506"/>
        <v>ReencaucheReencauchadora RENOVA</v>
      </c>
    </row>
    <row r="2145" spans="2:26" outlineLevel="1">
      <c r="B2145" s="3326"/>
      <c r="C2145" s="2">
        <f t="shared" si="509"/>
        <v>167</v>
      </c>
      <c r="D2145" s="3">
        <f t="shared" si="510"/>
        <v>7</v>
      </c>
      <c r="E2145" s="66">
        <v>2</v>
      </c>
      <c r="F2145" s="67" t="s">
        <v>732</v>
      </c>
      <c r="G2145" s="68" t="s">
        <v>733</v>
      </c>
      <c r="H2145" s="69" t="s">
        <v>1612</v>
      </c>
      <c r="I2145" s="68" t="s">
        <v>726</v>
      </c>
      <c r="J2145" s="70" t="s">
        <v>760</v>
      </c>
      <c r="K2145" s="71" t="s">
        <v>1587</v>
      </c>
      <c r="L2145" s="72">
        <v>41527</v>
      </c>
      <c r="M2145" s="73" t="s">
        <v>729</v>
      </c>
      <c r="N2145" s="74">
        <v>41556</v>
      </c>
      <c r="O2145" s="75">
        <f t="shared" si="508"/>
        <v>41556</v>
      </c>
      <c r="P2145" s="2765" t="s">
        <v>1575</v>
      </c>
      <c r="Q2145" s="2954"/>
      <c r="R2145" s="76">
        <v>281.49</v>
      </c>
      <c r="S2145" s="1945" t="s">
        <v>731</v>
      </c>
      <c r="T2145" s="77"/>
      <c r="U2145" s="1893"/>
      <c r="V2145" s="2079">
        <f t="shared" si="500"/>
        <v>0</v>
      </c>
      <c r="W2145" s="78">
        <f t="shared" si="501"/>
        <v>332.15819999999997</v>
      </c>
      <c r="X2145" s="1878" t="str">
        <f t="shared" si="499"/>
        <v xml:space="preserve">2.- C Lima Caucho 0650808-OT_187210  Reencauche 031-0015953 </v>
      </c>
      <c r="Z2145" s="19" t="str">
        <f t="shared" si="506"/>
        <v>ReencaucheReencauchadora RENOVA</v>
      </c>
    </row>
    <row r="2146" spans="2:26" outlineLevel="1">
      <c r="B2146" s="3326"/>
      <c r="C2146" s="2">
        <f t="shared" si="509"/>
        <v>166</v>
      </c>
      <c r="D2146" s="3">
        <f t="shared" si="510"/>
        <v>6</v>
      </c>
      <c r="E2146" s="66">
        <v>3</v>
      </c>
      <c r="F2146" s="67" t="s">
        <v>732</v>
      </c>
      <c r="G2146" s="68" t="s">
        <v>733</v>
      </c>
      <c r="H2146" s="69" t="s">
        <v>987</v>
      </c>
      <c r="I2146" s="68" t="s">
        <v>726</v>
      </c>
      <c r="J2146" s="70" t="s">
        <v>760</v>
      </c>
      <c r="K2146" s="71" t="s">
        <v>1587</v>
      </c>
      <c r="L2146" s="72">
        <v>41527</v>
      </c>
      <c r="M2146" s="73" t="s">
        <v>729</v>
      </c>
      <c r="N2146" s="74">
        <v>41556</v>
      </c>
      <c r="O2146" s="75">
        <f t="shared" si="508"/>
        <v>41556</v>
      </c>
      <c r="P2146" s="2765" t="s">
        <v>1575</v>
      </c>
      <c r="Q2146" s="2954"/>
      <c r="R2146" s="76">
        <v>281.49</v>
      </c>
      <c r="S2146" s="1945" t="s">
        <v>731</v>
      </c>
      <c r="T2146" s="77"/>
      <c r="U2146" s="1893"/>
      <c r="V2146" s="2079">
        <f t="shared" si="500"/>
        <v>0</v>
      </c>
      <c r="W2146" s="78">
        <f t="shared" si="501"/>
        <v>332.15819999999997</v>
      </c>
      <c r="X2146" s="1878" t="str">
        <f t="shared" ref="X2146:X2209" si="511">CONCATENATE(E2146,".- ",F2146," ",G2146," ",H2146,"-OT_",K2146," "," ",I2146," ",P2146," ",T2146)</f>
        <v xml:space="preserve">3.- C Lima Caucho 1451207-OT_187210  Reencauche 031-0015953 </v>
      </c>
      <c r="Z2146" s="19" t="str">
        <f t="shared" si="506"/>
        <v>ReencaucheReencauchadora RENOVA</v>
      </c>
    </row>
    <row r="2147" spans="2:26" outlineLevel="1">
      <c r="B2147" s="3326"/>
      <c r="C2147" s="2">
        <f t="shared" si="509"/>
        <v>165</v>
      </c>
      <c r="D2147" s="3">
        <f t="shared" si="510"/>
        <v>5</v>
      </c>
      <c r="E2147" s="66">
        <v>4</v>
      </c>
      <c r="F2147" s="67" t="s">
        <v>732</v>
      </c>
      <c r="G2147" s="68" t="s">
        <v>733</v>
      </c>
      <c r="H2147" s="69" t="s">
        <v>1613</v>
      </c>
      <c r="I2147" s="68" t="s">
        <v>726</v>
      </c>
      <c r="J2147" s="70" t="s">
        <v>760</v>
      </c>
      <c r="K2147" s="71" t="s">
        <v>1587</v>
      </c>
      <c r="L2147" s="72">
        <v>41527</v>
      </c>
      <c r="M2147" s="73" t="s">
        <v>729</v>
      </c>
      <c r="N2147" s="74">
        <v>41556</v>
      </c>
      <c r="O2147" s="75">
        <f t="shared" si="508"/>
        <v>41556</v>
      </c>
      <c r="P2147" s="2765" t="s">
        <v>1575</v>
      </c>
      <c r="Q2147" s="2954"/>
      <c r="R2147" s="76">
        <v>281.49</v>
      </c>
      <c r="S2147" s="1945" t="s">
        <v>731</v>
      </c>
      <c r="T2147" s="77"/>
      <c r="U2147" s="1893"/>
      <c r="V2147" s="2079">
        <f t="shared" ref="V2147:V2210" si="512">+Q2147*(1.18)</f>
        <v>0</v>
      </c>
      <c r="W2147" s="78">
        <f t="shared" ref="W2147:W2210" si="513">+R2147*(1.18)</f>
        <v>332.15819999999997</v>
      </c>
      <c r="X2147" s="1878" t="str">
        <f t="shared" si="511"/>
        <v xml:space="preserve">4.- C Lima Caucho 1311207-OT_187210  Reencauche 031-0015953 </v>
      </c>
      <c r="Z2147" s="19" t="str">
        <f t="shared" si="506"/>
        <v>ReencaucheReencauchadora RENOVA</v>
      </c>
    </row>
    <row r="2148" spans="2:26" outlineLevel="1">
      <c r="B2148" s="3326"/>
      <c r="C2148" s="2">
        <f t="shared" si="509"/>
        <v>164</v>
      </c>
      <c r="D2148" s="3">
        <f t="shared" si="510"/>
        <v>4</v>
      </c>
      <c r="E2148" s="66">
        <v>5</v>
      </c>
      <c r="F2148" s="67" t="s">
        <v>732</v>
      </c>
      <c r="G2148" s="68" t="s">
        <v>733</v>
      </c>
      <c r="H2148" s="69" t="s">
        <v>806</v>
      </c>
      <c r="I2148" s="68" t="s">
        <v>726</v>
      </c>
      <c r="J2148" s="70" t="s">
        <v>760</v>
      </c>
      <c r="K2148" s="71" t="s">
        <v>1587</v>
      </c>
      <c r="L2148" s="72">
        <v>41527</v>
      </c>
      <c r="M2148" s="73" t="s">
        <v>729</v>
      </c>
      <c r="N2148" s="74">
        <v>41556</v>
      </c>
      <c r="O2148" s="75">
        <f t="shared" si="508"/>
        <v>41556</v>
      </c>
      <c r="P2148" s="2765" t="s">
        <v>1575</v>
      </c>
      <c r="Q2148" s="2954"/>
      <c r="R2148" s="76">
        <v>281.49</v>
      </c>
      <c r="S2148" s="1945" t="s">
        <v>731</v>
      </c>
      <c r="T2148" s="77"/>
      <c r="U2148" s="1893"/>
      <c r="V2148" s="2079">
        <f t="shared" si="512"/>
        <v>0</v>
      </c>
      <c r="W2148" s="78">
        <f t="shared" si="513"/>
        <v>332.15819999999997</v>
      </c>
      <c r="X2148" s="1878" t="str">
        <f t="shared" si="511"/>
        <v xml:space="preserve">5.- C Lima Caucho 0840908-OT_187210  Reencauche 031-0015953 </v>
      </c>
      <c r="Z2148" s="19" t="str">
        <f t="shared" si="506"/>
        <v>ReencaucheReencauchadora RENOVA</v>
      </c>
    </row>
    <row r="2149" spans="2:26" outlineLevel="1">
      <c r="B2149" s="3326"/>
      <c r="C2149" s="2">
        <f t="shared" si="509"/>
        <v>163</v>
      </c>
      <c r="D2149" s="3">
        <f t="shared" si="510"/>
        <v>3</v>
      </c>
      <c r="E2149" s="66">
        <v>6</v>
      </c>
      <c r="F2149" s="67" t="s">
        <v>732</v>
      </c>
      <c r="G2149" s="68" t="s">
        <v>733</v>
      </c>
      <c r="H2149" s="69" t="s">
        <v>1614</v>
      </c>
      <c r="I2149" s="68" t="s">
        <v>726</v>
      </c>
      <c r="J2149" s="70" t="s">
        <v>760</v>
      </c>
      <c r="K2149" s="71" t="s">
        <v>1587</v>
      </c>
      <c r="L2149" s="72">
        <v>41527</v>
      </c>
      <c r="M2149" s="73" t="s">
        <v>729</v>
      </c>
      <c r="N2149" s="74">
        <v>41556</v>
      </c>
      <c r="O2149" s="75">
        <f t="shared" si="508"/>
        <v>41556</v>
      </c>
      <c r="P2149" s="2765" t="s">
        <v>1575</v>
      </c>
      <c r="Q2149" s="2954"/>
      <c r="R2149" s="76">
        <v>281.49</v>
      </c>
      <c r="S2149" s="1945" t="s">
        <v>731</v>
      </c>
      <c r="T2149" s="77"/>
      <c r="U2149" s="1893"/>
      <c r="V2149" s="2079">
        <f t="shared" si="512"/>
        <v>0</v>
      </c>
      <c r="W2149" s="78">
        <f t="shared" si="513"/>
        <v>332.15819999999997</v>
      </c>
      <c r="X2149" s="1878" t="str">
        <f t="shared" si="511"/>
        <v xml:space="preserve">6.- C Lima Caucho 0510807-OT_187210  Reencauche 031-0015953 </v>
      </c>
      <c r="Z2149" s="19" t="str">
        <f t="shared" si="506"/>
        <v/>
      </c>
    </row>
    <row r="2150" spans="2:26">
      <c r="B2150" s="3326"/>
      <c r="C2150" s="2">
        <f>1+C2151</f>
        <v>162</v>
      </c>
      <c r="D2150" s="3">
        <v>2</v>
      </c>
      <c r="E2150" s="66">
        <v>7</v>
      </c>
      <c r="F2150" s="67" t="s">
        <v>732</v>
      </c>
      <c r="G2150" s="68" t="s">
        <v>733</v>
      </c>
      <c r="H2150" s="69" t="s">
        <v>1012</v>
      </c>
      <c r="I2150" s="68" t="s">
        <v>726</v>
      </c>
      <c r="J2150" s="70" t="s">
        <v>760</v>
      </c>
      <c r="K2150" s="71" t="s">
        <v>1587</v>
      </c>
      <c r="L2150" s="72">
        <v>41527</v>
      </c>
      <c r="M2150" s="73" t="s">
        <v>729</v>
      </c>
      <c r="N2150" s="74">
        <v>41556</v>
      </c>
      <c r="O2150" s="75">
        <f t="shared" si="508"/>
        <v>41556</v>
      </c>
      <c r="P2150" s="2765" t="s">
        <v>1575</v>
      </c>
      <c r="Q2150" s="2954"/>
      <c r="R2150" s="76">
        <v>281.49</v>
      </c>
      <c r="S2150" s="1945" t="s">
        <v>731</v>
      </c>
      <c r="T2150" s="77"/>
      <c r="U2150" s="1893"/>
      <c r="V2150" s="2079">
        <f t="shared" si="512"/>
        <v>0</v>
      </c>
      <c r="W2150" s="78">
        <f t="shared" si="513"/>
        <v>332.15819999999997</v>
      </c>
      <c r="X2150" s="1878" t="str">
        <f t="shared" si="511"/>
        <v xml:space="preserve">7.- C Lima Caucho 0500708-OT_187210  Reencauche 031-0015953 </v>
      </c>
    </row>
    <row r="2151" spans="2:26" ht="15.75" outlineLevel="1" thickBot="1">
      <c r="B2151" s="3327"/>
      <c r="C2151" s="2">
        <f>1+C2154</f>
        <v>161</v>
      </c>
      <c r="D2151" s="3">
        <v>1</v>
      </c>
      <c r="E2151" s="66">
        <v>8</v>
      </c>
      <c r="F2151" s="67" t="s">
        <v>732</v>
      </c>
      <c r="G2151" s="68" t="s">
        <v>733</v>
      </c>
      <c r="H2151" s="69" t="s">
        <v>887</v>
      </c>
      <c r="I2151" s="68" t="s">
        <v>726</v>
      </c>
      <c r="J2151" s="70" t="s">
        <v>760</v>
      </c>
      <c r="K2151" s="71" t="s">
        <v>1587</v>
      </c>
      <c r="L2151" s="72">
        <v>41527</v>
      </c>
      <c r="M2151" s="73" t="s">
        <v>729</v>
      </c>
      <c r="N2151" s="74">
        <v>41556</v>
      </c>
      <c r="O2151" s="75">
        <f t="shared" si="508"/>
        <v>41556</v>
      </c>
      <c r="P2151" s="2765" t="s">
        <v>1575</v>
      </c>
      <c r="Q2151" s="2954"/>
      <c r="R2151" s="76">
        <v>281.49</v>
      </c>
      <c r="S2151" s="1945" t="s">
        <v>731</v>
      </c>
      <c r="T2151" s="77"/>
      <c r="U2151" s="1893"/>
      <c r="V2151" s="2079">
        <f t="shared" si="512"/>
        <v>0</v>
      </c>
      <c r="W2151" s="78">
        <f t="shared" si="513"/>
        <v>332.15819999999997</v>
      </c>
      <c r="X2151" s="1878" t="str">
        <f t="shared" si="511"/>
        <v xml:space="preserve">8.- C Lima Caucho 1001210-OT_187210  Reencauche 031-0015953 </v>
      </c>
      <c r="Z2151" s="19" t="str">
        <f t="shared" ref="Z2151:Z2165" si="514">CONCATENATE(I2154,J2154)</f>
        <v>ReencaucheReencauchadora RENOVA</v>
      </c>
    </row>
    <row r="2152" spans="2:26" outlineLevel="1">
      <c r="B2152" s="37"/>
      <c r="E2152" s="79">
        <v>9</v>
      </c>
      <c r="F2152" s="80" t="s">
        <v>732</v>
      </c>
      <c r="G2152" s="265" t="s">
        <v>757</v>
      </c>
      <c r="H2152" s="266" t="s">
        <v>1615</v>
      </c>
      <c r="I2152" s="265"/>
      <c r="J2152" s="267"/>
      <c r="K2152" s="268" t="s">
        <v>1587</v>
      </c>
      <c r="L2152" s="269">
        <v>41527</v>
      </c>
      <c r="M2152" s="270" t="s">
        <v>729</v>
      </c>
      <c r="N2152" s="271">
        <v>41548</v>
      </c>
      <c r="O2152" s="272">
        <f t="shared" si="508"/>
        <v>41548</v>
      </c>
      <c r="P2152" s="2793" t="s">
        <v>1616</v>
      </c>
      <c r="Q2152" s="2975"/>
      <c r="R2152" s="273"/>
      <c r="S2152" s="1961" t="s">
        <v>731</v>
      </c>
      <c r="T2152" s="629" t="s">
        <v>1617</v>
      </c>
      <c r="U2152" s="1923"/>
      <c r="V2152" s="2079">
        <f t="shared" si="512"/>
        <v>0</v>
      </c>
      <c r="W2152" s="78">
        <f t="shared" si="513"/>
        <v>0</v>
      </c>
      <c r="X2152" s="1878" t="str">
        <f t="shared" si="511"/>
        <v>9.- C Goodyear 0531001-OT_187210   g030-0033772  Llanta Rechazada, no se facturo</v>
      </c>
      <c r="Z2152" s="19" t="str">
        <f t="shared" si="514"/>
        <v>ReencaucheReencauchadora RENOVA</v>
      </c>
    </row>
    <row r="2153" spans="2:26" ht="15.75" outlineLevel="1" thickBot="1">
      <c r="B2153" s="3306">
        <v>41487</v>
      </c>
      <c r="C2153" s="3306"/>
      <c r="D2153" s="258">
        <f>+D2154</f>
        <v>48</v>
      </c>
      <c r="E2153" s="66"/>
      <c r="F2153" s="94"/>
      <c r="G2153" s="275"/>
      <c r="H2153" s="276"/>
      <c r="I2153" s="275"/>
      <c r="J2153" s="277"/>
      <c r="K2153" s="278"/>
      <c r="L2153" s="279"/>
      <c r="M2153" s="280"/>
      <c r="N2153" s="153"/>
      <c r="O2153" s="154"/>
      <c r="P2153" s="2794"/>
      <c r="Q2153" s="2959"/>
      <c r="R2153" s="281"/>
      <c r="S2153" s="1955"/>
      <c r="T2153" s="282"/>
      <c r="U2153" s="1898"/>
      <c r="V2153" s="2079">
        <f t="shared" si="512"/>
        <v>0</v>
      </c>
      <c r="W2153" s="78">
        <f t="shared" si="513"/>
        <v>0</v>
      </c>
      <c r="X2153" s="1878" t="str">
        <f t="shared" si="511"/>
        <v xml:space="preserve">.-   -OT_    </v>
      </c>
      <c r="Z2153" s="19" t="str">
        <f t="shared" si="514"/>
        <v>ReencaucheReencauchadora RENOVA</v>
      </c>
    </row>
    <row r="2154" spans="2:26" outlineLevel="1">
      <c r="B2154" s="3274">
        <v>41487</v>
      </c>
      <c r="C2154" s="2">
        <f t="shared" ref="C2154:C2178" si="515">1+C2155</f>
        <v>160</v>
      </c>
      <c r="D2154" s="3">
        <f t="shared" ref="D2154:D2178" si="516">1+D2155</f>
        <v>48</v>
      </c>
      <c r="E2154" s="66">
        <v>1</v>
      </c>
      <c r="F2154" s="67" t="s">
        <v>732</v>
      </c>
      <c r="G2154" s="68" t="s">
        <v>1233</v>
      </c>
      <c r="H2154" s="69" t="s">
        <v>1538</v>
      </c>
      <c r="I2154" s="68" t="s">
        <v>726</v>
      </c>
      <c r="J2154" s="70" t="s">
        <v>760</v>
      </c>
      <c r="K2154" s="71" t="s">
        <v>1618</v>
      </c>
      <c r="L2154" s="72">
        <v>41501</v>
      </c>
      <c r="M2154" s="73" t="s">
        <v>729</v>
      </c>
      <c r="N2154" s="74">
        <v>41514</v>
      </c>
      <c r="O2154" s="75">
        <f t="shared" ref="O2154:O2179" si="517">+N2154</f>
        <v>41514</v>
      </c>
      <c r="P2154" s="2765" t="s">
        <v>1619</v>
      </c>
      <c r="Q2154" s="2954"/>
      <c r="R2154" s="76">
        <v>281.49</v>
      </c>
      <c r="S2154" s="1945" t="s">
        <v>731</v>
      </c>
      <c r="T2154" s="77"/>
      <c r="U2154" s="1893"/>
      <c r="V2154" s="2079">
        <f t="shared" si="512"/>
        <v>0</v>
      </c>
      <c r="W2154" s="78">
        <f t="shared" si="513"/>
        <v>332.15819999999997</v>
      </c>
      <c r="X2154" s="1878" t="str">
        <f t="shared" si="511"/>
        <v xml:space="preserve">1.- C Saratoga 0130306-OT_188002  Reencauche 030-0033054 </v>
      </c>
      <c r="Z2154" s="19" t="str">
        <f t="shared" si="514"/>
        <v>ReencaucheReencauchadora RENOVA</v>
      </c>
    </row>
    <row r="2155" spans="2:26" outlineLevel="1">
      <c r="B2155" s="3275"/>
      <c r="C2155" s="2">
        <f t="shared" si="515"/>
        <v>159</v>
      </c>
      <c r="D2155" s="3">
        <f t="shared" si="516"/>
        <v>47</v>
      </c>
      <c r="E2155" s="66">
        <v>2</v>
      </c>
      <c r="F2155" s="67" t="s">
        <v>732</v>
      </c>
      <c r="G2155" s="68" t="s">
        <v>1233</v>
      </c>
      <c r="H2155" s="69" t="s">
        <v>1620</v>
      </c>
      <c r="I2155" s="68" t="s">
        <v>726</v>
      </c>
      <c r="J2155" s="70" t="s">
        <v>760</v>
      </c>
      <c r="K2155" s="71" t="s">
        <v>1618</v>
      </c>
      <c r="L2155" s="72">
        <v>41501</v>
      </c>
      <c r="M2155" s="73" t="s">
        <v>729</v>
      </c>
      <c r="N2155" s="74">
        <v>41514</v>
      </c>
      <c r="O2155" s="75">
        <f t="shared" si="517"/>
        <v>41514</v>
      </c>
      <c r="P2155" s="2765" t="s">
        <v>1619</v>
      </c>
      <c r="Q2155" s="2954"/>
      <c r="R2155" s="76">
        <v>281.49</v>
      </c>
      <c r="S2155" s="1945" t="s">
        <v>731</v>
      </c>
      <c r="T2155" s="77"/>
      <c r="U2155" s="1893"/>
      <c r="V2155" s="2079">
        <f t="shared" si="512"/>
        <v>0</v>
      </c>
      <c r="W2155" s="78">
        <f t="shared" si="513"/>
        <v>332.15819999999997</v>
      </c>
      <c r="X2155" s="1878" t="str">
        <f t="shared" si="511"/>
        <v xml:space="preserve">2.- C Saratoga 0260306-OT_188002  Reencauche 030-0033054 </v>
      </c>
      <c r="Z2155" s="19" t="str">
        <f t="shared" si="514"/>
        <v>ReencaucheReencauchadora RENOVA</v>
      </c>
    </row>
    <row r="2156" spans="2:26" outlineLevel="1">
      <c r="B2156" s="3275"/>
      <c r="C2156" s="2">
        <f t="shared" si="515"/>
        <v>158</v>
      </c>
      <c r="D2156" s="3">
        <f t="shared" si="516"/>
        <v>46</v>
      </c>
      <c r="E2156" s="66">
        <v>3</v>
      </c>
      <c r="F2156" s="67" t="s">
        <v>732</v>
      </c>
      <c r="G2156" s="68" t="s">
        <v>733</v>
      </c>
      <c r="H2156" s="69" t="s">
        <v>1373</v>
      </c>
      <c r="I2156" s="68" t="s">
        <v>726</v>
      </c>
      <c r="J2156" s="70" t="s">
        <v>760</v>
      </c>
      <c r="K2156" s="71" t="s">
        <v>1618</v>
      </c>
      <c r="L2156" s="72">
        <v>41501</v>
      </c>
      <c r="M2156" s="73" t="s">
        <v>729</v>
      </c>
      <c r="N2156" s="74">
        <v>41514</v>
      </c>
      <c r="O2156" s="75">
        <f t="shared" si="517"/>
        <v>41514</v>
      </c>
      <c r="P2156" s="2765" t="s">
        <v>1619</v>
      </c>
      <c r="Q2156" s="2954"/>
      <c r="R2156" s="76">
        <v>281.49</v>
      </c>
      <c r="S2156" s="1945" t="s">
        <v>731</v>
      </c>
      <c r="T2156" s="77"/>
      <c r="U2156" s="1893"/>
      <c r="V2156" s="2079">
        <f t="shared" si="512"/>
        <v>0</v>
      </c>
      <c r="W2156" s="78">
        <f t="shared" si="513"/>
        <v>332.15819999999997</v>
      </c>
      <c r="X2156" s="1878" t="str">
        <f t="shared" si="511"/>
        <v xml:space="preserve">3.- C Lima Caucho 0770910-OT_188002  Reencauche 030-0033054 </v>
      </c>
      <c r="Z2156" s="19" t="str">
        <f t="shared" si="514"/>
        <v>ReencaucheReencauchadora RENOVA</v>
      </c>
    </row>
    <row r="2157" spans="2:26" outlineLevel="1">
      <c r="B2157" s="3275"/>
      <c r="C2157" s="2">
        <f t="shared" si="515"/>
        <v>157</v>
      </c>
      <c r="D2157" s="3">
        <f t="shared" si="516"/>
        <v>45</v>
      </c>
      <c r="E2157" s="66">
        <v>4</v>
      </c>
      <c r="F2157" s="67" t="s">
        <v>732</v>
      </c>
      <c r="G2157" s="68" t="s">
        <v>733</v>
      </c>
      <c r="H2157" s="69" t="s">
        <v>908</v>
      </c>
      <c r="I2157" s="68" t="s">
        <v>726</v>
      </c>
      <c r="J2157" s="70" t="s">
        <v>760</v>
      </c>
      <c r="K2157" s="71" t="s">
        <v>1618</v>
      </c>
      <c r="L2157" s="72">
        <v>41501</v>
      </c>
      <c r="M2157" s="73" t="s">
        <v>729</v>
      </c>
      <c r="N2157" s="74">
        <v>41514</v>
      </c>
      <c r="O2157" s="75">
        <f t="shared" si="517"/>
        <v>41514</v>
      </c>
      <c r="P2157" s="2765" t="s">
        <v>1619</v>
      </c>
      <c r="Q2157" s="2954"/>
      <c r="R2157" s="76">
        <v>281.49</v>
      </c>
      <c r="S2157" s="1945" t="s">
        <v>731</v>
      </c>
      <c r="T2157" s="77"/>
      <c r="U2157" s="1893"/>
      <c r="V2157" s="2079">
        <f t="shared" si="512"/>
        <v>0</v>
      </c>
      <c r="W2157" s="78">
        <f t="shared" si="513"/>
        <v>332.15819999999997</v>
      </c>
      <c r="X2157" s="1878" t="str">
        <f t="shared" si="511"/>
        <v xml:space="preserve">4.- C Lima Caucho 0830910-OT_188002  Reencauche 030-0033054 </v>
      </c>
      <c r="Z2157" s="19" t="str">
        <f t="shared" si="514"/>
        <v>ReencaucheReencauchadora RENOVA</v>
      </c>
    </row>
    <row r="2158" spans="2:26" outlineLevel="1">
      <c r="B2158" s="3275"/>
      <c r="C2158" s="2">
        <f t="shared" si="515"/>
        <v>156</v>
      </c>
      <c r="D2158" s="3">
        <f t="shared" si="516"/>
        <v>44</v>
      </c>
      <c r="E2158" s="66">
        <v>5</v>
      </c>
      <c r="F2158" s="67" t="s">
        <v>732</v>
      </c>
      <c r="G2158" s="68" t="s">
        <v>733</v>
      </c>
      <c r="H2158" s="69" t="s">
        <v>1621</v>
      </c>
      <c r="I2158" s="68" t="s">
        <v>726</v>
      </c>
      <c r="J2158" s="70" t="s">
        <v>760</v>
      </c>
      <c r="K2158" s="71" t="s">
        <v>1618</v>
      </c>
      <c r="L2158" s="72">
        <v>41501</v>
      </c>
      <c r="M2158" s="73" t="s">
        <v>729</v>
      </c>
      <c r="N2158" s="74">
        <v>41514</v>
      </c>
      <c r="O2158" s="75">
        <f t="shared" si="517"/>
        <v>41514</v>
      </c>
      <c r="P2158" s="2765" t="s">
        <v>1619</v>
      </c>
      <c r="Q2158" s="2954"/>
      <c r="R2158" s="76">
        <v>281.49</v>
      </c>
      <c r="S2158" s="1945" t="s">
        <v>731</v>
      </c>
      <c r="T2158" s="77"/>
      <c r="U2158" s="1893"/>
      <c r="V2158" s="2079">
        <f t="shared" si="512"/>
        <v>0</v>
      </c>
      <c r="W2158" s="78">
        <f t="shared" si="513"/>
        <v>332.15819999999997</v>
      </c>
      <c r="X2158" s="1878" t="str">
        <f t="shared" si="511"/>
        <v xml:space="preserve">5.- C Lima Caucho 0600610-OT_188002  Reencauche 030-0033054 </v>
      </c>
      <c r="Z2158" s="19" t="str">
        <f t="shared" si="514"/>
        <v>ReencaucheReencauchadora RENOVA</v>
      </c>
    </row>
    <row r="2159" spans="2:26" outlineLevel="1">
      <c r="B2159" s="3275"/>
      <c r="C2159" s="2">
        <f t="shared" si="515"/>
        <v>155</v>
      </c>
      <c r="D2159" s="3">
        <f t="shared" si="516"/>
        <v>43</v>
      </c>
      <c r="E2159" s="66">
        <v>6</v>
      </c>
      <c r="F2159" s="67" t="s">
        <v>732</v>
      </c>
      <c r="G2159" s="68" t="s">
        <v>733</v>
      </c>
      <c r="H2159" s="69" t="s">
        <v>1387</v>
      </c>
      <c r="I2159" s="68" t="s">
        <v>726</v>
      </c>
      <c r="J2159" s="70" t="s">
        <v>760</v>
      </c>
      <c r="K2159" s="71" t="s">
        <v>1618</v>
      </c>
      <c r="L2159" s="72">
        <v>41501</v>
      </c>
      <c r="M2159" s="73" t="s">
        <v>729</v>
      </c>
      <c r="N2159" s="74">
        <v>41514</v>
      </c>
      <c r="O2159" s="75">
        <f t="shared" si="517"/>
        <v>41514</v>
      </c>
      <c r="P2159" s="2765" t="s">
        <v>1619</v>
      </c>
      <c r="Q2159" s="2954"/>
      <c r="R2159" s="76">
        <v>281.49</v>
      </c>
      <c r="S2159" s="1945" t="s">
        <v>731</v>
      </c>
      <c r="T2159" s="77"/>
      <c r="U2159" s="1893"/>
      <c r="V2159" s="2079">
        <f t="shared" si="512"/>
        <v>0</v>
      </c>
      <c r="W2159" s="78">
        <f t="shared" si="513"/>
        <v>332.15819999999997</v>
      </c>
      <c r="X2159" s="1878" t="str">
        <f t="shared" si="511"/>
        <v xml:space="preserve">6.- C Lima Caucho 0490610-OT_188002  Reencauche 030-0033054 </v>
      </c>
      <c r="Z2159" s="19" t="str">
        <f t="shared" si="514"/>
        <v>ReencaucheReencauchadora RENOVA</v>
      </c>
    </row>
    <row r="2160" spans="2:26" outlineLevel="1">
      <c r="B2160" s="3275"/>
      <c r="C2160" s="2">
        <f t="shared" si="515"/>
        <v>154</v>
      </c>
      <c r="D2160" s="3">
        <f t="shared" si="516"/>
        <v>42</v>
      </c>
      <c r="E2160" s="66">
        <v>7</v>
      </c>
      <c r="F2160" s="67" t="s">
        <v>732</v>
      </c>
      <c r="G2160" s="68" t="s">
        <v>737</v>
      </c>
      <c r="H2160" s="69" t="s">
        <v>1539</v>
      </c>
      <c r="I2160" s="68" t="s">
        <v>726</v>
      </c>
      <c r="J2160" s="70" t="s">
        <v>760</v>
      </c>
      <c r="K2160" s="71" t="s">
        <v>1622</v>
      </c>
      <c r="L2160" s="72">
        <v>41501</v>
      </c>
      <c r="M2160" s="73" t="s">
        <v>729</v>
      </c>
      <c r="N2160" s="74">
        <v>41514</v>
      </c>
      <c r="O2160" s="75">
        <f t="shared" si="517"/>
        <v>41514</v>
      </c>
      <c r="P2160" s="2765" t="s">
        <v>1619</v>
      </c>
      <c r="Q2160" s="2954"/>
      <c r="R2160" s="76">
        <v>281.49</v>
      </c>
      <c r="S2160" s="1945" t="s">
        <v>731</v>
      </c>
      <c r="T2160" s="77"/>
      <c r="U2160" s="1893"/>
      <c r="V2160" s="2079">
        <f t="shared" si="512"/>
        <v>0</v>
      </c>
      <c r="W2160" s="78">
        <f t="shared" si="513"/>
        <v>332.15819999999997</v>
      </c>
      <c r="X2160" s="1878" t="str">
        <f t="shared" si="511"/>
        <v xml:space="preserve">7.- C Vikrant 1230805-OT_188001  Reencauche 030-0033054 </v>
      </c>
      <c r="Z2160" s="19" t="str">
        <f t="shared" si="514"/>
        <v>ReencaucheReencauchadora RENOVA</v>
      </c>
    </row>
    <row r="2161" spans="2:26" outlineLevel="1">
      <c r="B2161" s="3275"/>
      <c r="C2161" s="2">
        <f t="shared" si="515"/>
        <v>153</v>
      </c>
      <c r="D2161" s="3">
        <f t="shared" si="516"/>
        <v>41</v>
      </c>
      <c r="E2161" s="66">
        <v>8</v>
      </c>
      <c r="F2161" s="67" t="s">
        <v>732</v>
      </c>
      <c r="G2161" s="68" t="s">
        <v>737</v>
      </c>
      <c r="H2161" s="69" t="s">
        <v>958</v>
      </c>
      <c r="I2161" s="68" t="s">
        <v>726</v>
      </c>
      <c r="J2161" s="70" t="s">
        <v>760</v>
      </c>
      <c r="K2161" s="71" t="s">
        <v>1622</v>
      </c>
      <c r="L2161" s="72">
        <v>41501</v>
      </c>
      <c r="M2161" s="73" t="s">
        <v>729</v>
      </c>
      <c r="N2161" s="74">
        <v>41514</v>
      </c>
      <c r="O2161" s="75">
        <f t="shared" si="517"/>
        <v>41514</v>
      </c>
      <c r="P2161" s="2765" t="s">
        <v>1619</v>
      </c>
      <c r="Q2161" s="2954"/>
      <c r="R2161" s="76">
        <v>281.49</v>
      </c>
      <c r="S2161" s="1945" t="s">
        <v>731</v>
      </c>
      <c r="T2161" s="77"/>
      <c r="U2161" s="1893"/>
      <c r="V2161" s="2079">
        <f t="shared" si="512"/>
        <v>0</v>
      </c>
      <c r="W2161" s="78">
        <f t="shared" si="513"/>
        <v>332.15819999999997</v>
      </c>
      <c r="X2161" s="1878" t="str">
        <f t="shared" si="511"/>
        <v xml:space="preserve">8.- C Vikrant 0600709-OT_188001  Reencauche 030-0033054 </v>
      </c>
      <c r="Z2161" s="19" t="str">
        <f t="shared" si="514"/>
        <v>ReencaucheReencauchadora RENOVA</v>
      </c>
    </row>
    <row r="2162" spans="2:26" outlineLevel="1">
      <c r="B2162" s="3275"/>
      <c r="C2162" s="2">
        <f t="shared" si="515"/>
        <v>152</v>
      </c>
      <c r="D2162" s="3">
        <f t="shared" si="516"/>
        <v>40</v>
      </c>
      <c r="E2162" s="66">
        <v>9</v>
      </c>
      <c r="F2162" s="67" t="s">
        <v>732</v>
      </c>
      <c r="G2162" s="68" t="s">
        <v>737</v>
      </c>
      <c r="H2162" s="69" t="s">
        <v>1623</v>
      </c>
      <c r="I2162" s="68" t="s">
        <v>726</v>
      </c>
      <c r="J2162" s="70" t="s">
        <v>760</v>
      </c>
      <c r="K2162" s="71" t="s">
        <v>1622</v>
      </c>
      <c r="L2162" s="72">
        <v>41501</v>
      </c>
      <c r="M2162" s="73" t="s">
        <v>729</v>
      </c>
      <c r="N2162" s="74">
        <v>41514</v>
      </c>
      <c r="O2162" s="75">
        <f t="shared" si="517"/>
        <v>41514</v>
      </c>
      <c r="P2162" s="2765" t="s">
        <v>1619</v>
      </c>
      <c r="Q2162" s="2954"/>
      <c r="R2162" s="76">
        <v>281.49</v>
      </c>
      <c r="S2162" s="1945" t="s">
        <v>731</v>
      </c>
      <c r="T2162" s="77"/>
      <c r="U2162" s="1893"/>
      <c r="V2162" s="2079">
        <f t="shared" si="512"/>
        <v>0</v>
      </c>
      <c r="W2162" s="78">
        <f t="shared" si="513"/>
        <v>332.15819999999997</v>
      </c>
      <c r="X2162" s="1878" t="str">
        <f t="shared" si="511"/>
        <v xml:space="preserve">9.- C Vikrant 0751009-OT_188001  Reencauche 030-0033054 </v>
      </c>
      <c r="Z2162" s="19" t="str">
        <f t="shared" si="514"/>
        <v>ReencaucheReencauchadora RENOVA</v>
      </c>
    </row>
    <row r="2163" spans="2:26" outlineLevel="1">
      <c r="B2163" s="3275"/>
      <c r="C2163" s="2">
        <f t="shared" si="515"/>
        <v>151</v>
      </c>
      <c r="D2163" s="3">
        <f t="shared" si="516"/>
        <v>39</v>
      </c>
      <c r="E2163" s="66">
        <v>10</v>
      </c>
      <c r="F2163" s="67" t="s">
        <v>732</v>
      </c>
      <c r="G2163" s="68" t="s">
        <v>737</v>
      </c>
      <c r="H2163" s="69" t="s">
        <v>1015</v>
      </c>
      <c r="I2163" s="68" t="s">
        <v>726</v>
      </c>
      <c r="J2163" s="70" t="s">
        <v>760</v>
      </c>
      <c r="K2163" s="71" t="s">
        <v>1622</v>
      </c>
      <c r="L2163" s="72">
        <v>41501</v>
      </c>
      <c r="M2163" s="73" t="s">
        <v>729</v>
      </c>
      <c r="N2163" s="74">
        <v>41514</v>
      </c>
      <c r="O2163" s="75">
        <f t="shared" si="517"/>
        <v>41514</v>
      </c>
      <c r="P2163" s="2765" t="s">
        <v>1619</v>
      </c>
      <c r="Q2163" s="2954"/>
      <c r="R2163" s="76">
        <v>281.49</v>
      </c>
      <c r="S2163" s="1945" t="s">
        <v>731</v>
      </c>
      <c r="T2163" s="77"/>
      <c r="U2163" s="1893"/>
      <c r="V2163" s="2079">
        <f t="shared" si="512"/>
        <v>0</v>
      </c>
      <c r="W2163" s="78">
        <f t="shared" si="513"/>
        <v>332.15819999999997</v>
      </c>
      <c r="X2163" s="1878" t="str">
        <f t="shared" si="511"/>
        <v xml:space="preserve">10.- C Vikrant 0450510-OT_188001  Reencauche 030-0033054 </v>
      </c>
      <c r="Z2163" s="19" t="str">
        <f t="shared" si="514"/>
        <v>ReencaucheReencauchadora RENOVA</v>
      </c>
    </row>
    <row r="2164" spans="2:26" outlineLevel="1">
      <c r="B2164" s="3275"/>
      <c r="C2164" s="2">
        <f t="shared" si="515"/>
        <v>150</v>
      </c>
      <c r="D2164" s="3">
        <f t="shared" si="516"/>
        <v>38</v>
      </c>
      <c r="E2164" s="66">
        <v>11</v>
      </c>
      <c r="F2164" s="67" t="s">
        <v>732</v>
      </c>
      <c r="G2164" s="68" t="s">
        <v>737</v>
      </c>
      <c r="H2164" s="69" t="s">
        <v>1624</v>
      </c>
      <c r="I2164" s="68" t="s">
        <v>726</v>
      </c>
      <c r="J2164" s="70" t="s">
        <v>760</v>
      </c>
      <c r="K2164" s="71" t="s">
        <v>1622</v>
      </c>
      <c r="L2164" s="72">
        <v>41501</v>
      </c>
      <c r="M2164" s="73" t="s">
        <v>729</v>
      </c>
      <c r="N2164" s="74">
        <v>41514</v>
      </c>
      <c r="O2164" s="75">
        <f t="shared" si="517"/>
        <v>41514</v>
      </c>
      <c r="P2164" s="2765" t="s">
        <v>1619</v>
      </c>
      <c r="Q2164" s="2954"/>
      <c r="R2164" s="76">
        <v>281.49</v>
      </c>
      <c r="S2164" s="1945" t="s">
        <v>731</v>
      </c>
      <c r="T2164" s="77"/>
      <c r="U2164" s="1893"/>
      <c r="V2164" s="2079">
        <f t="shared" si="512"/>
        <v>0</v>
      </c>
      <c r="W2164" s="78">
        <f t="shared" si="513"/>
        <v>332.15819999999997</v>
      </c>
      <c r="X2164" s="1878" t="str">
        <f t="shared" si="511"/>
        <v xml:space="preserve">11.- C Vikrant 0200111-OT_188001  Reencauche 030-0033054 </v>
      </c>
      <c r="Z2164" s="19" t="str">
        <f t="shared" si="514"/>
        <v>ReencaucheReencauchadora RENOVA</v>
      </c>
    </row>
    <row r="2165" spans="2:26" outlineLevel="1">
      <c r="B2165" s="3275"/>
      <c r="C2165" s="2">
        <f t="shared" si="515"/>
        <v>149</v>
      </c>
      <c r="D2165" s="3">
        <f t="shared" si="516"/>
        <v>37</v>
      </c>
      <c r="E2165" s="66">
        <v>12</v>
      </c>
      <c r="F2165" s="67" t="s">
        <v>732</v>
      </c>
      <c r="G2165" s="68" t="s">
        <v>737</v>
      </c>
      <c r="H2165" s="69" t="s">
        <v>1625</v>
      </c>
      <c r="I2165" s="68" t="s">
        <v>726</v>
      </c>
      <c r="J2165" s="70" t="s">
        <v>760</v>
      </c>
      <c r="K2165" s="71" t="s">
        <v>1622</v>
      </c>
      <c r="L2165" s="72">
        <v>41501</v>
      </c>
      <c r="M2165" s="73" t="s">
        <v>729</v>
      </c>
      <c r="N2165" s="74">
        <v>41514</v>
      </c>
      <c r="O2165" s="75">
        <f t="shared" si="517"/>
        <v>41514</v>
      </c>
      <c r="P2165" s="2765" t="s">
        <v>1619</v>
      </c>
      <c r="Q2165" s="2954"/>
      <c r="R2165" s="76">
        <v>281.49</v>
      </c>
      <c r="S2165" s="1945" t="s">
        <v>731</v>
      </c>
      <c r="T2165" s="77"/>
      <c r="U2165" s="1893"/>
      <c r="V2165" s="2079">
        <f t="shared" si="512"/>
        <v>0</v>
      </c>
      <c r="W2165" s="78">
        <f t="shared" si="513"/>
        <v>332.15819999999997</v>
      </c>
      <c r="X2165" s="1878" t="str">
        <f t="shared" si="511"/>
        <v xml:space="preserve">12.- C Vikrant 0320410-OT_188001  Reencauche 030-0033054 </v>
      </c>
      <c r="Z2165" s="19" t="str">
        <f t="shared" si="514"/>
        <v>ReencaucheReencauchadora RENOVA</v>
      </c>
    </row>
    <row r="2166" spans="2:26" outlineLevel="1">
      <c r="B2166" s="3275"/>
      <c r="C2166" s="2">
        <f t="shared" si="515"/>
        <v>148</v>
      </c>
      <c r="D2166" s="3">
        <f t="shared" si="516"/>
        <v>36</v>
      </c>
      <c r="E2166" s="66">
        <v>13</v>
      </c>
      <c r="F2166" s="67" t="s">
        <v>732</v>
      </c>
      <c r="G2166" s="68" t="s">
        <v>737</v>
      </c>
      <c r="H2166" s="69" t="s">
        <v>783</v>
      </c>
      <c r="I2166" s="68" t="s">
        <v>726</v>
      </c>
      <c r="J2166" s="70" t="s">
        <v>760</v>
      </c>
      <c r="K2166" s="71" t="s">
        <v>1622</v>
      </c>
      <c r="L2166" s="72">
        <v>41501</v>
      </c>
      <c r="M2166" s="73" t="s">
        <v>729</v>
      </c>
      <c r="N2166" s="74">
        <v>41514</v>
      </c>
      <c r="O2166" s="75">
        <f t="shared" si="517"/>
        <v>41514</v>
      </c>
      <c r="P2166" s="2765" t="s">
        <v>1619</v>
      </c>
      <c r="Q2166" s="2954"/>
      <c r="R2166" s="76">
        <v>281.49</v>
      </c>
      <c r="S2166" s="1945" t="s">
        <v>731</v>
      </c>
      <c r="T2166" s="77"/>
      <c r="U2166" s="1893"/>
      <c r="V2166" s="2079">
        <f t="shared" si="512"/>
        <v>0</v>
      </c>
      <c r="W2166" s="78">
        <f t="shared" si="513"/>
        <v>332.15819999999997</v>
      </c>
      <c r="X2166" s="1878" t="str">
        <f t="shared" si="511"/>
        <v xml:space="preserve">13.- C Vikrant 0350410-OT_188001  Reencauche 030-0033054 </v>
      </c>
      <c r="Z2166" s="19" t="str">
        <f>CONCATENATE(I2179,J2179)</f>
        <v>ReencaucheReencauchadora RENOVA</v>
      </c>
    </row>
    <row r="2167" spans="2:26" outlineLevel="1">
      <c r="B2167" s="3275"/>
      <c r="C2167" s="2">
        <f t="shared" si="515"/>
        <v>147</v>
      </c>
      <c r="D2167" s="3">
        <f t="shared" si="516"/>
        <v>35</v>
      </c>
      <c r="E2167" s="66">
        <v>14</v>
      </c>
      <c r="F2167" s="67" t="s">
        <v>732</v>
      </c>
      <c r="G2167" s="68" t="s">
        <v>737</v>
      </c>
      <c r="H2167" s="69" t="s">
        <v>1224</v>
      </c>
      <c r="I2167" s="68" t="s">
        <v>726</v>
      </c>
      <c r="J2167" s="70" t="s">
        <v>760</v>
      </c>
      <c r="K2167" s="71" t="s">
        <v>1622</v>
      </c>
      <c r="L2167" s="72">
        <v>41501</v>
      </c>
      <c r="M2167" s="73" t="s">
        <v>729</v>
      </c>
      <c r="N2167" s="74">
        <v>41514</v>
      </c>
      <c r="O2167" s="75">
        <f t="shared" si="517"/>
        <v>41514</v>
      </c>
      <c r="P2167" s="2765" t="s">
        <v>1619</v>
      </c>
      <c r="Q2167" s="2954"/>
      <c r="R2167" s="76">
        <v>281.49</v>
      </c>
      <c r="S2167" s="1945" t="s">
        <v>731</v>
      </c>
      <c r="T2167" s="77"/>
      <c r="U2167" s="1893"/>
      <c r="V2167" s="2079">
        <f t="shared" si="512"/>
        <v>0</v>
      </c>
      <c r="W2167" s="78">
        <f t="shared" si="513"/>
        <v>332.15819999999997</v>
      </c>
      <c r="X2167" s="1878" t="str">
        <f t="shared" si="511"/>
        <v xml:space="preserve">14.- C Vikrant 007022010-OT_188001  Reencauche 030-0033054 </v>
      </c>
      <c r="Z2167" s="19" t="str">
        <f t="shared" ref="Z2167:Z2176" si="518">CONCATENATE(I2169,J2169)</f>
        <v>ReencaucheReencauchadora RENOVA</v>
      </c>
    </row>
    <row r="2168" spans="2:26" outlineLevel="1">
      <c r="B2168" s="3275"/>
      <c r="C2168" s="2">
        <f t="shared" si="515"/>
        <v>146</v>
      </c>
      <c r="D2168" s="3">
        <f t="shared" si="516"/>
        <v>34</v>
      </c>
      <c r="E2168" s="66">
        <v>15</v>
      </c>
      <c r="F2168" s="67" t="s">
        <v>732</v>
      </c>
      <c r="G2168" s="68" t="s">
        <v>737</v>
      </c>
      <c r="H2168" s="69" t="s">
        <v>1185</v>
      </c>
      <c r="I2168" s="68" t="s">
        <v>726</v>
      </c>
      <c r="J2168" s="70" t="s">
        <v>760</v>
      </c>
      <c r="K2168" s="71" t="s">
        <v>1622</v>
      </c>
      <c r="L2168" s="72">
        <v>41501</v>
      </c>
      <c r="M2168" s="73" t="s">
        <v>729</v>
      </c>
      <c r="N2168" s="74">
        <v>41514</v>
      </c>
      <c r="O2168" s="75">
        <f t="shared" si="517"/>
        <v>41514</v>
      </c>
      <c r="P2168" s="2765" t="s">
        <v>1619</v>
      </c>
      <c r="Q2168" s="2954"/>
      <c r="R2168" s="76">
        <v>281.49</v>
      </c>
      <c r="S2168" s="1945" t="s">
        <v>731</v>
      </c>
      <c r="T2168" s="77"/>
      <c r="U2168" s="1893"/>
      <c r="V2168" s="2079">
        <f t="shared" si="512"/>
        <v>0</v>
      </c>
      <c r="W2168" s="78">
        <f t="shared" si="513"/>
        <v>332.15819999999997</v>
      </c>
      <c r="X2168" s="1878" t="str">
        <f t="shared" si="511"/>
        <v xml:space="preserve">15.- C Vikrant 1200805-OT_188001  Reencauche 030-0033054 </v>
      </c>
      <c r="Z2168" s="19" t="str">
        <f t="shared" si="518"/>
        <v>ReencaucheReencauchadora RENOVA</v>
      </c>
    </row>
    <row r="2169" spans="2:26" outlineLevel="1">
      <c r="B2169" s="3275"/>
      <c r="C2169" s="2">
        <f t="shared" si="515"/>
        <v>145</v>
      </c>
      <c r="D2169" s="3">
        <f t="shared" si="516"/>
        <v>33</v>
      </c>
      <c r="E2169" s="66">
        <v>16</v>
      </c>
      <c r="F2169" s="67" t="s">
        <v>732</v>
      </c>
      <c r="G2169" s="68" t="s">
        <v>733</v>
      </c>
      <c r="H2169" s="69" t="s">
        <v>1021</v>
      </c>
      <c r="I2169" s="68" t="s">
        <v>726</v>
      </c>
      <c r="J2169" s="70" t="s">
        <v>760</v>
      </c>
      <c r="K2169" s="71" t="s">
        <v>1626</v>
      </c>
      <c r="L2169" s="72">
        <v>41501</v>
      </c>
      <c r="M2169" s="73" t="s">
        <v>729</v>
      </c>
      <c r="N2169" s="74">
        <v>41514</v>
      </c>
      <c r="O2169" s="75">
        <f t="shared" si="517"/>
        <v>41514</v>
      </c>
      <c r="P2169" s="2765" t="s">
        <v>1619</v>
      </c>
      <c r="Q2169" s="2954"/>
      <c r="R2169" s="76">
        <v>281.49</v>
      </c>
      <c r="S2169" s="1945" t="s">
        <v>731</v>
      </c>
      <c r="T2169" s="77"/>
      <c r="U2169" s="1893"/>
      <c r="V2169" s="2079">
        <f t="shared" si="512"/>
        <v>0</v>
      </c>
      <c r="W2169" s="78">
        <f t="shared" si="513"/>
        <v>332.15819999999997</v>
      </c>
      <c r="X2169" s="1878" t="str">
        <f t="shared" si="511"/>
        <v xml:space="preserve">16.- C Lima Caucho 0820910-OT_189050  Reencauche 030-0033054 </v>
      </c>
      <c r="Z2169" s="19" t="str">
        <f t="shared" si="518"/>
        <v>ReencaucheReencauchadora RENOVA</v>
      </c>
    </row>
    <row r="2170" spans="2:26" outlineLevel="1">
      <c r="B2170" s="3275"/>
      <c r="C2170" s="2">
        <f t="shared" si="515"/>
        <v>144</v>
      </c>
      <c r="D2170" s="3">
        <f t="shared" si="516"/>
        <v>32</v>
      </c>
      <c r="E2170" s="66">
        <v>17</v>
      </c>
      <c r="F2170" s="67" t="s">
        <v>732</v>
      </c>
      <c r="G2170" s="68" t="s">
        <v>733</v>
      </c>
      <c r="H2170" s="69" t="s">
        <v>1268</v>
      </c>
      <c r="I2170" s="68" t="s">
        <v>726</v>
      </c>
      <c r="J2170" s="70" t="s">
        <v>760</v>
      </c>
      <c r="K2170" s="71" t="s">
        <v>1626</v>
      </c>
      <c r="L2170" s="72">
        <v>41501</v>
      </c>
      <c r="M2170" s="73" t="s">
        <v>729</v>
      </c>
      <c r="N2170" s="74">
        <v>41514</v>
      </c>
      <c r="O2170" s="75">
        <f t="shared" si="517"/>
        <v>41514</v>
      </c>
      <c r="P2170" s="2765" t="s">
        <v>1619</v>
      </c>
      <c r="Q2170" s="2954"/>
      <c r="R2170" s="76">
        <v>281.49</v>
      </c>
      <c r="S2170" s="1945" t="s">
        <v>731</v>
      </c>
      <c r="T2170" s="77"/>
      <c r="U2170" s="1893"/>
      <c r="V2170" s="2079">
        <f t="shared" si="512"/>
        <v>0</v>
      </c>
      <c r="W2170" s="78">
        <f t="shared" si="513"/>
        <v>332.15819999999997</v>
      </c>
      <c r="X2170" s="1878" t="str">
        <f t="shared" si="511"/>
        <v xml:space="preserve">17.- C Lima Caucho 0540610-OT_189050  Reencauche 030-0033054 </v>
      </c>
      <c r="Z2170" s="19" t="str">
        <f t="shared" si="518"/>
        <v>ReencaucheReencauchadora RENOVA</v>
      </c>
    </row>
    <row r="2171" spans="2:26" outlineLevel="1">
      <c r="B2171" s="3275"/>
      <c r="C2171" s="2">
        <f t="shared" si="515"/>
        <v>143</v>
      </c>
      <c r="D2171" s="3">
        <f t="shared" si="516"/>
        <v>31</v>
      </c>
      <c r="E2171" s="66">
        <v>18</v>
      </c>
      <c r="F2171" s="67" t="s">
        <v>732</v>
      </c>
      <c r="G2171" s="68" t="s">
        <v>733</v>
      </c>
      <c r="H2171" s="69" t="s">
        <v>886</v>
      </c>
      <c r="I2171" s="68" t="s">
        <v>726</v>
      </c>
      <c r="J2171" s="70" t="s">
        <v>760</v>
      </c>
      <c r="K2171" s="71" t="s">
        <v>1626</v>
      </c>
      <c r="L2171" s="72">
        <v>41501</v>
      </c>
      <c r="M2171" s="73" t="s">
        <v>729</v>
      </c>
      <c r="N2171" s="74">
        <v>41514</v>
      </c>
      <c r="O2171" s="75">
        <f t="shared" si="517"/>
        <v>41514</v>
      </c>
      <c r="P2171" s="2765" t="s">
        <v>1619</v>
      </c>
      <c r="Q2171" s="2954"/>
      <c r="R2171" s="76">
        <v>281.49</v>
      </c>
      <c r="S2171" s="1945" t="s">
        <v>731</v>
      </c>
      <c r="T2171" s="77"/>
      <c r="U2171" s="1893"/>
      <c r="V2171" s="2079">
        <f t="shared" si="512"/>
        <v>0</v>
      </c>
      <c r="W2171" s="78">
        <f t="shared" si="513"/>
        <v>332.15819999999997</v>
      </c>
      <c r="X2171" s="1878" t="str">
        <f t="shared" si="511"/>
        <v xml:space="preserve">18.- C Lima Caucho 0800910-OT_189050  Reencauche 030-0033054 </v>
      </c>
      <c r="Z2171" s="19" t="str">
        <f t="shared" si="518"/>
        <v>ReencaucheReencauchadora RENOVA</v>
      </c>
    </row>
    <row r="2172" spans="2:26" outlineLevel="1">
      <c r="B2172" s="3275"/>
      <c r="C2172" s="2">
        <f t="shared" si="515"/>
        <v>142</v>
      </c>
      <c r="D2172" s="3">
        <f t="shared" si="516"/>
        <v>30</v>
      </c>
      <c r="E2172" s="66">
        <v>19</v>
      </c>
      <c r="F2172" s="67" t="s">
        <v>732</v>
      </c>
      <c r="G2172" s="68" t="s">
        <v>733</v>
      </c>
      <c r="H2172" s="69" t="s">
        <v>1627</v>
      </c>
      <c r="I2172" s="68" t="s">
        <v>726</v>
      </c>
      <c r="J2172" s="70" t="s">
        <v>760</v>
      </c>
      <c r="K2172" s="71" t="s">
        <v>1626</v>
      </c>
      <c r="L2172" s="72">
        <v>41501</v>
      </c>
      <c r="M2172" s="73" t="s">
        <v>729</v>
      </c>
      <c r="N2172" s="74">
        <v>41514</v>
      </c>
      <c r="O2172" s="75">
        <f t="shared" si="517"/>
        <v>41514</v>
      </c>
      <c r="P2172" s="2765" t="s">
        <v>1619</v>
      </c>
      <c r="Q2172" s="2954"/>
      <c r="R2172" s="76">
        <v>281.49</v>
      </c>
      <c r="S2172" s="1945" t="s">
        <v>731</v>
      </c>
      <c r="T2172" s="77"/>
      <c r="U2172" s="1893"/>
      <c r="V2172" s="2079">
        <f t="shared" si="512"/>
        <v>0</v>
      </c>
      <c r="W2172" s="78">
        <f t="shared" si="513"/>
        <v>332.15819999999997</v>
      </c>
      <c r="X2172" s="1878" t="str">
        <f t="shared" si="511"/>
        <v xml:space="preserve">19.- C Lima Caucho 0350411-OT_189050  Reencauche 030-0033054 </v>
      </c>
      <c r="Z2172" s="19" t="str">
        <f t="shared" si="518"/>
        <v>ReencaucheReencauchadora RENOVA</v>
      </c>
    </row>
    <row r="2173" spans="2:26" outlineLevel="1">
      <c r="B2173" s="3275"/>
      <c r="C2173" s="2">
        <f t="shared" si="515"/>
        <v>141</v>
      </c>
      <c r="D2173" s="3">
        <f t="shared" si="516"/>
        <v>29</v>
      </c>
      <c r="E2173" s="66">
        <v>20</v>
      </c>
      <c r="F2173" s="67" t="s">
        <v>732</v>
      </c>
      <c r="G2173" s="68" t="s">
        <v>733</v>
      </c>
      <c r="H2173" s="69" t="s">
        <v>1230</v>
      </c>
      <c r="I2173" s="68" t="s">
        <v>726</v>
      </c>
      <c r="J2173" s="70" t="s">
        <v>760</v>
      </c>
      <c r="K2173" s="71" t="s">
        <v>1626</v>
      </c>
      <c r="L2173" s="72">
        <v>41501</v>
      </c>
      <c r="M2173" s="73" t="s">
        <v>729</v>
      </c>
      <c r="N2173" s="74">
        <v>41514</v>
      </c>
      <c r="O2173" s="75">
        <f t="shared" si="517"/>
        <v>41514</v>
      </c>
      <c r="P2173" s="2765" t="s">
        <v>1619</v>
      </c>
      <c r="Q2173" s="2954"/>
      <c r="R2173" s="76">
        <v>281.49</v>
      </c>
      <c r="S2173" s="1945" t="s">
        <v>731</v>
      </c>
      <c r="T2173" s="77"/>
      <c r="U2173" s="1893"/>
      <c r="V2173" s="2079">
        <f t="shared" si="512"/>
        <v>0</v>
      </c>
      <c r="W2173" s="78">
        <f t="shared" si="513"/>
        <v>332.15819999999997</v>
      </c>
      <c r="X2173" s="1878" t="str">
        <f t="shared" si="511"/>
        <v xml:space="preserve">20.- C Lima Caucho 0090108-OT_189050  Reencauche 030-0033054 </v>
      </c>
      <c r="Z2173" s="19" t="str">
        <f t="shared" si="518"/>
        <v>ReencaucheReencauchadora RENOVA</v>
      </c>
    </row>
    <row r="2174" spans="2:26" outlineLevel="1">
      <c r="B2174" s="3275"/>
      <c r="C2174" s="2">
        <f t="shared" si="515"/>
        <v>140</v>
      </c>
      <c r="D2174" s="3">
        <f t="shared" si="516"/>
        <v>28</v>
      </c>
      <c r="E2174" s="66">
        <v>21</v>
      </c>
      <c r="F2174" s="67" t="s">
        <v>732</v>
      </c>
      <c r="G2174" s="68" t="s">
        <v>733</v>
      </c>
      <c r="H2174" s="69" t="s">
        <v>1628</v>
      </c>
      <c r="I2174" s="68" t="s">
        <v>726</v>
      </c>
      <c r="J2174" s="70" t="s">
        <v>760</v>
      </c>
      <c r="K2174" s="71" t="s">
        <v>1626</v>
      </c>
      <c r="L2174" s="72">
        <v>41501</v>
      </c>
      <c r="M2174" s="73" t="s">
        <v>729</v>
      </c>
      <c r="N2174" s="74">
        <v>41514</v>
      </c>
      <c r="O2174" s="75">
        <f t="shared" si="517"/>
        <v>41514</v>
      </c>
      <c r="P2174" s="2765" t="s">
        <v>1619</v>
      </c>
      <c r="Q2174" s="2954"/>
      <c r="R2174" s="76">
        <v>281.49</v>
      </c>
      <c r="S2174" s="1945" t="s">
        <v>731</v>
      </c>
      <c r="T2174" s="77"/>
      <c r="U2174" s="1893"/>
      <c r="V2174" s="2079">
        <f t="shared" si="512"/>
        <v>0</v>
      </c>
      <c r="W2174" s="78">
        <f t="shared" si="513"/>
        <v>332.15819999999997</v>
      </c>
      <c r="X2174" s="1878" t="str">
        <f t="shared" si="511"/>
        <v xml:space="preserve">21.- C Lima Caucho 1441207-OT_189050  Reencauche 030-0033054 </v>
      </c>
      <c r="Z2174" s="19" t="str">
        <f t="shared" si="518"/>
        <v>ReencaucheReencauchadora RENOVA</v>
      </c>
    </row>
    <row r="2175" spans="2:26" outlineLevel="1">
      <c r="B2175" s="3275"/>
      <c r="C2175" s="2">
        <f t="shared" si="515"/>
        <v>139</v>
      </c>
      <c r="D2175" s="3">
        <f t="shared" si="516"/>
        <v>27</v>
      </c>
      <c r="E2175" s="66">
        <v>22</v>
      </c>
      <c r="F2175" s="67" t="s">
        <v>732</v>
      </c>
      <c r="G2175" s="68" t="s">
        <v>733</v>
      </c>
      <c r="H2175" s="69" t="s">
        <v>1148</v>
      </c>
      <c r="I2175" s="68" t="s">
        <v>726</v>
      </c>
      <c r="J2175" s="70" t="s">
        <v>760</v>
      </c>
      <c r="K2175" s="71" t="s">
        <v>1626</v>
      </c>
      <c r="L2175" s="72">
        <v>41501</v>
      </c>
      <c r="M2175" s="73" t="s">
        <v>729</v>
      </c>
      <c r="N2175" s="74">
        <v>41514</v>
      </c>
      <c r="O2175" s="75">
        <f t="shared" si="517"/>
        <v>41514</v>
      </c>
      <c r="P2175" s="2765" t="s">
        <v>1619</v>
      </c>
      <c r="Q2175" s="2954"/>
      <c r="R2175" s="76">
        <v>281.49</v>
      </c>
      <c r="S2175" s="1945" t="s">
        <v>731</v>
      </c>
      <c r="T2175" s="77"/>
      <c r="U2175" s="1893"/>
      <c r="V2175" s="2079">
        <f t="shared" si="512"/>
        <v>0</v>
      </c>
      <c r="W2175" s="78">
        <f t="shared" si="513"/>
        <v>332.15819999999997</v>
      </c>
      <c r="X2175" s="1878" t="str">
        <f t="shared" si="511"/>
        <v xml:space="preserve">22.- C Lima Caucho 1051107-OT_189050  Reencauche 030-0033054 </v>
      </c>
      <c r="Z2175" s="19" t="str">
        <f t="shared" si="518"/>
        <v>ReencaucheReencauchadora RENOVA</v>
      </c>
    </row>
    <row r="2176" spans="2:26" outlineLevel="1">
      <c r="B2176" s="3275"/>
      <c r="C2176" s="2">
        <f t="shared" si="515"/>
        <v>138</v>
      </c>
      <c r="D2176" s="3">
        <f t="shared" si="516"/>
        <v>26</v>
      </c>
      <c r="E2176" s="66">
        <v>23</v>
      </c>
      <c r="F2176" s="67" t="s">
        <v>732</v>
      </c>
      <c r="G2176" s="68" t="s">
        <v>733</v>
      </c>
      <c r="H2176" s="69" t="s">
        <v>1486</v>
      </c>
      <c r="I2176" s="68" t="s">
        <v>726</v>
      </c>
      <c r="J2176" s="70" t="s">
        <v>760</v>
      </c>
      <c r="K2176" s="71" t="s">
        <v>1626</v>
      </c>
      <c r="L2176" s="72">
        <v>41501</v>
      </c>
      <c r="M2176" s="73" t="s">
        <v>729</v>
      </c>
      <c r="N2176" s="74">
        <v>41514</v>
      </c>
      <c r="O2176" s="75">
        <f t="shared" si="517"/>
        <v>41514</v>
      </c>
      <c r="P2176" s="2765" t="s">
        <v>1619</v>
      </c>
      <c r="Q2176" s="2954"/>
      <c r="R2176" s="76">
        <v>281.49</v>
      </c>
      <c r="S2176" s="1945" t="s">
        <v>731</v>
      </c>
      <c r="T2176" s="77"/>
      <c r="U2176" s="1893"/>
      <c r="V2176" s="2079">
        <f t="shared" si="512"/>
        <v>0</v>
      </c>
      <c r="W2176" s="78">
        <f t="shared" si="513"/>
        <v>332.15819999999997</v>
      </c>
      <c r="X2176" s="1878" t="str">
        <f t="shared" si="511"/>
        <v xml:space="preserve">23.- C Lima Caucho 1041210-OT_189050  Reencauche 030-0033054 </v>
      </c>
      <c r="Z2176" s="19" t="str">
        <f t="shared" si="518"/>
        <v>ReencaucheReencauchadora RENOVA</v>
      </c>
    </row>
    <row r="2177" spans="2:26" outlineLevel="1">
      <c r="B2177" s="3275"/>
      <c r="C2177" s="2">
        <f t="shared" si="515"/>
        <v>137</v>
      </c>
      <c r="D2177" s="3">
        <f t="shared" si="516"/>
        <v>25</v>
      </c>
      <c r="E2177" s="66">
        <v>24</v>
      </c>
      <c r="F2177" s="67" t="s">
        <v>732</v>
      </c>
      <c r="G2177" s="68" t="s">
        <v>733</v>
      </c>
      <c r="H2177" s="69" t="s">
        <v>1629</v>
      </c>
      <c r="I2177" s="68" t="s">
        <v>726</v>
      </c>
      <c r="J2177" s="70" t="s">
        <v>760</v>
      </c>
      <c r="K2177" s="71" t="s">
        <v>1626</v>
      </c>
      <c r="L2177" s="72">
        <v>41501</v>
      </c>
      <c r="M2177" s="73" t="s">
        <v>729</v>
      </c>
      <c r="N2177" s="74">
        <v>41514</v>
      </c>
      <c r="O2177" s="75">
        <f t="shared" si="517"/>
        <v>41514</v>
      </c>
      <c r="P2177" s="2765" t="s">
        <v>1619</v>
      </c>
      <c r="Q2177" s="2954"/>
      <c r="R2177" s="76">
        <v>281.49</v>
      </c>
      <c r="S2177" s="1945" t="s">
        <v>731</v>
      </c>
      <c r="T2177" s="77"/>
      <c r="U2177" s="1893"/>
      <c r="V2177" s="2079">
        <f t="shared" si="512"/>
        <v>0</v>
      </c>
      <c r="W2177" s="78">
        <f t="shared" si="513"/>
        <v>332.15819999999997</v>
      </c>
      <c r="X2177" s="1878" t="str">
        <f t="shared" si="511"/>
        <v xml:space="preserve">24.- C Lima Caucho 0580610-OT_189050  Reencauche 030-0033054 </v>
      </c>
      <c r="Z2177" s="19" t="str">
        <f t="shared" ref="Z2177:Z2198" si="519">CONCATENATE(I2180,J2180)</f>
        <v>ReencaucheReencauchadora RENOVA</v>
      </c>
    </row>
    <row r="2178" spans="2:26" outlineLevel="1">
      <c r="B2178" s="3275"/>
      <c r="C2178" s="2">
        <f t="shared" si="515"/>
        <v>136</v>
      </c>
      <c r="D2178" s="3">
        <f t="shared" si="516"/>
        <v>24</v>
      </c>
      <c r="E2178" s="66">
        <v>25</v>
      </c>
      <c r="F2178" s="67" t="s">
        <v>732</v>
      </c>
      <c r="G2178" s="68" t="s">
        <v>733</v>
      </c>
      <c r="H2178" s="69" t="s">
        <v>1630</v>
      </c>
      <c r="I2178" s="68" t="s">
        <v>726</v>
      </c>
      <c r="J2178" s="70" t="s">
        <v>760</v>
      </c>
      <c r="K2178" s="71" t="s">
        <v>1626</v>
      </c>
      <c r="L2178" s="72">
        <v>41501</v>
      </c>
      <c r="M2178" s="73" t="s">
        <v>729</v>
      </c>
      <c r="N2178" s="74">
        <v>41514</v>
      </c>
      <c r="O2178" s="75">
        <f t="shared" si="517"/>
        <v>41514</v>
      </c>
      <c r="P2178" s="2765" t="s">
        <v>1619</v>
      </c>
      <c r="Q2178" s="2954"/>
      <c r="R2178" s="76">
        <v>281.49</v>
      </c>
      <c r="S2178" s="1945" t="s">
        <v>731</v>
      </c>
      <c r="T2178" s="77"/>
      <c r="U2178" s="1893"/>
      <c r="V2178" s="2079">
        <f t="shared" si="512"/>
        <v>0</v>
      </c>
      <c r="W2178" s="78">
        <f t="shared" si="513"/>
        <v>332.15819999999997</v>
      </c>
      <c r="X2178" s="1878" t="str">
        <f t="shared" si="511"/>
        <v xml:space="preserve">25.- C Lima Caucho 0961010-OT_189050  Reencauche 030-0033054 </v>
      </c>
      <c r="Z2178" s="19" t="str">
        <f t="shared" si="519"/>
        <v>ReencaucheReencauchadora RENOVA</v>
      </c>
    </row>
    <row r="2179" spans="2:26" outlineLevel="1">
      <c r="B2179" s="3275"/>
      <c r="C2179" s="2">
        <f t="shared" ref="C2179:C2200" si="520">1+C2180</f>
        <v>135</v>
      </c>
      <c r="D2179" s="3">
        <v>23</v>
      </c>
      <c r="E2179" s="79">
        <v>26</v>
      </c>
      <c r="F2179" s="149" t="s">
        <v>732</v>
      </c>
      <c r="G2179" s="81" t="s">
        <v>757</v>
      </c>
      <c r="H2179" s="82" t="s">
        <v>1631</v>
      </c>
      <c r="I2179" s="81" t="s">
        <v>726</v>
      </c>
      <c r="J2179" s="83" t="s">
        <v>760</v>
      </c>
      <c r="K2179" s="84" t="s">
        <v>1622</v>
      </c>
      <c r="L2179" s="85">
        <v>41501</v>
      </c>
      <c r="M2179" s="86" t="s">
        <v>729</v>
      </c>
      <c r="N2179" s="87">
        <v>41556</v>
      </c>
      <c r="O2179" s="88">
        <f t="shared" si="517"/>
        <v>41556</v>
      </c>
      <c r="P2179" s="2766" t="s">
        <v>1575</v>
      </c>
      <c r="Q2179" s="2955"/>
      <c r="R2179" s="89">
        <v>281.49</v>
      </c>
      <c r="S2179" s="1946" t="s">
        <v>731</v>
      </c>
      <c r="T2179" s="77"/>
      <c r="U2179" s="1893"/>
      <c r="V2179" s="2079">
        <f t="shared" si="512"/>
        <v>0</v>
      </c>
      <c r="W2179" s="78">
        <f t="shared" si="513"/>
        <v>332.15819999999997</v>
      </c>
      <c r="X2179" s="1878" t="str">
        <f t="shared" si="511"/>
        <v xml:space="preserve">26.- C Goodyear 0240102-OT_188001  Reencauche 031-0015953 </v>
      </c>
      <c r="Z2179" s="19" t="str">
        <f t="shared" si="519"/>
        <v>ReencaucheReencauchadora RENOVA</v>
      </c>
    </row>
    <row r="2180" spans="2:26" outlineLevel="1">
      <c r="B2180" s="3275"/>
      <c r="C2180" s="2">
        <f t="shared" si="520"/>
        <v>134</v>
      </c>
      <c r="D2180" s="3">
        <v>22</v>
      </c>
      <c r="E2180" s="66">
        <v>1</v>
      </c>
      <c r="F2180" s="67" t="s">
        <v>732</v>
      </c>
      <c r="G2180" s="68" t="s">
        <v>733</v>
      </c>
      <c r="H2180" s="69" t="s">
        <v>1508</v>
      </c>
      <c r="I2180" s="68" t="s">
        <v>726</v>
      </c>
      <c r="J2180" s="70" t="s">
        <v>760</v>
      </c>
      <c r="K2180" s="71" t="s">
        <v>1632</v>
      </c>
      <c r="L2180" s="72">
        <v>41428</v>
      </c>
      <c r="M2180" s="73" t="s">
        <v>729</v>
      </c>
      <c r="N2180" s="74">
        <v>41501</v>
      </c>
      <c r="O2180" s="75">
        <v>41501</v>
      </c>
      <c r="P2180" s="2765" t="s">
        <v>1633</v>
      </c>
      <c r="Q2180" s="2954"/>
      <c r="R2180" s="76">
        <v>281.49</v>
      </c>
      <c r="S2180" s="1945" t="s">
        <v>731</v>
      </c>
      <c r="T2180" s="77"/>
      <c r="U2180" s="1893"/>
      <c r="V2180" s="2079">
        <f t="shared" si="512"/>
        <v>0</v>
      </c>
      <c r="W2180" s="78">
        <f t="shared" si="513"/>
        <v>332.15819999999997</v>
      </c>
      <c r="X2180" s="1878" t="str">
        <f t="shared" si="511"/>
        <v xml:space="preserve">1.- C Lima Caucho 0320508-OT_183049  Reencauche 030-0029427 </v>
      </c>
      <c r="Z2180" s="19" t="str">
        <f t="shared" si="519"/>
        <v>ReencaucheReencauchadora RENOVA</v>
      </c>
    </row>
    <row r="2181" spans="2:26" outlineLevel="1">
      <c r="B2181" s="3275"/>
      <c r="C2181" s="2">
        <f t="shared" si="520"/>
        <v>133</v>
      </c>
      <c r="D2181" s="3">
        <v>21</v>
      </c>
      <c r="E2181" s="66">
        <v>2</v>
      </c>
      <c r="F2181" s="67" t="s">
        <v>732</v>
      </c>
      <c r="G2181" s="68" t="s">
        <v>737</v>
      </c>
      <c r="H2181" s="69" t="s">
        <v>1328</v>
      </c>
      <c r="I2181" s="68" t="s">
        <v>726</v>
      </c>
      <c r="J2181" s="70" t="s">
        <v>760</v>
      </c>
      <c r="K2181" s="71" t="s">
        <v>1632</v>
      </c>
      <c r="L2181" s="72">
        <v>41428</v>
      </c>
      <c r="M2181" s="73" t="s">
        <v>729</v>
      </c>
      <c r="N2181" s="74">
        <v>41501</v>
      </c>
      <c r="O2181" s="75">
        <v>41501</v>
      </c>
      <c r="P2181" s="2765" t="s">
        <v>1633</v>
      </c>
      <c r="Q2181" s="2954"/>
      <c r="R2181" s="76">
        <v>281.49</v>
      </c>
      <c r="S2181" s="1945" t="s">
        <v>731</v>
      </c>
      <c r="T2181" s="77"/>
      <c r="U2181" s="1893"/>
      <c r="V2181" s="2079">
        <f t="shared" si="512"/>
        <v>0</v>
      </c>
      <c r="W2181" s="78">
        <f t="shared" si="513"/>
        <v>332.15819999999997</v>
      </c>
      <c r="X2181" s="1878" t="str">
        <f t="shared" si="511"/>
        <v xml:space="preserve">2.- C Vikrant 0180111-OT_183049  Reencauche 030-0029427 </v>
      </c>
      <c r="Z2181" s="19" t="str">
        <f t="shared" si="519"/>
        <v>ReencaucheReencauchadora RENOVA</v>
      </c>
    </row>
    <row r="2182" spans="2:26" outlineLevel="1">
      <c r="B2182" s="3275"/>
      <c r="C2182" s="2">
        <f t="shared" si="520"/>
        <v>132</v>
      </c>
      <c r="D2182" s="3">
        <v>20</v>
      </c>
      <c r="E2182" s="66">
        <v>3</v>
      </c>
      <c r="F2182" s="67" t="s">
        <v>732</v>
      </c>
      <c r="G2182" s="68" t="s">
        <v>831</v>
      </c>
      <c r="H2182" s="69" t="s">
        <v>1634</v>
      </c>
      <c r="I2182" s="68" t="s">
        <v>726</v>
      </c>
      <c r="J2182" s="70" t="s">
        <v>760</v>
      </c>
      <c r="K2182" s="71" t="s">
        <v>1632</v>
      </c>
      <c r="L2182" s="72">
        <v>41428</v>
      </c>
      <c r="M2182" s="73" t="s">
        <v>729</v>
      </c>
      <c r="N2182" s="74">
        <v>41501</v>
      </c>
      <c r="O2182" s="75">
        <v>41501</v>
      </c>
      <c r="P2182" s="2765" t="s">
        <v>1633</v>
      </c>
      <c r="Q2182" s="2954"/>
      <c r="R2182" s="76">
        <v>281.49</v>
      </c>
      <c r="S2182" s="1945" t="s">
        <v>731</v>
      </c>
      <c r="T2182" s="77"/>
      <c r="U2182" s="1893"/>
      <c r="V2182" s="2079">
        <f t="shared" si="512"/>
        <v>0</v>
      </c>
      <c r="W2182" s="78">
        <f t="shared" si="513"/>
        <v>332.15819999999997</v>
      </c>
      <c r="X2182" s="1878" t="str">
        <f t="shared" si="511"/>
        <v xml:space="preserve">3.- C Kumho 0570305-OT_183049  Reencauche 030-0029427 </v>
      </c>
      <c r="Z2182" s="19" t="str">
        <f t="shared" si="519"/>
        <v>ReencaucheReencauchadora RENOVA</v>
      </c>
    </row>
    <row r="2183" spans="2:26" outlineLevel="1">
      <c r="B2183" s="3275"/>
      <c r="C2183" s="2">
        <f t="shared" si="520"/>
        <v>131</v>
      </c>
      <c r="D2183" s="3">
        <v>19</v>
      </c>
      <c r="E2183" s="66">
        <v>4</v>
      </c>
      <c r="F2183" s="67" t="s">
        <v>732</v>
      </c>
      <c r="G2183" s="68" t="s">
        <v>737</v>
      </c>
      <c r="H2183" s="69" t="s">
        <v>1635</v>
      </c>
      <c r="I2183" s="68" t="s">
        <v>726</v>
      </c>
      <c r="J2183" s="70" t="s">
        <v>760</v>
      </c>
      <c r="K2183" s="71" t="s">
        <v>1632</v>
      </c>
      <c r="L2183" s="72">
        <v>41428</v>
      </c>
      <c r="M2183" s="73" t="s">
        <v>729</v>
      </c>
      <c r="N2183" s="74">
        <v>41501</v>
      </c>
      <c r="O2183" s="75">
        <v>41501</v>
      </c>
      <c r="P2183" s="2765" t="s">
        <v>1633</v>
      </c>
      <c r="Q2183" s="2954"/>
      <c r="R2183" s="76">
        <v>281.49</v>
      </c>
      <c r="S2183" s="1945" t="s">
        <v>731</v>
      </c>
      <c r="T2183" s="77"/>
      <c r="U2183" s="1893"/>
      <c r="V2183" s="2079">
        <f t="shared" si="512"/>
        <v>0</v>
      </c>
      <c r="W2183" s="78">
        <f t="shared" si="513"/>
        <v>332.15819999999997</v>
      </c>
      <c r="X2183" s="1878" t="str">
        <f t="shared" si="511"/>
        <v xml:space="preserve">4.- C Vikrant 0430510-OT_183049  Reencauche 030-0029427 </v>
      </c>
      <c r="Z2183" s="19" t="str">
        <f t="shared" si="519"/>
        <v>ReencaucheReencauchadora RENOVA</v>
      </c>
    </row>
    <row r="2184" spans="2:26" outlineLevel="1">
      <c r="B2184" s="3275"/>
      <c r="C2184" s="2">
        <f t="shared" si="520"/>
        <v>130</v>
      </c>
      <c r="D2184" s="3">
        <v>18</v>
      </c>
      <c r="E2184" s="66">
        <v>5</v>
      </c>
      <c r="F2184" s="67" t="s">
        <v>732</v>
      </c>
      <c r="G2184" s="68" t="s">
        <v>737</v>
      </c>
      <c r="H2184" s="69" t="s">
        <v>1274</v>
      </c>
      <c r="I2184" s="68" t="s">
        <v>726</v>
      </c>
      <c r="J2184" s="70" t="s">
        <v>760</v>
      </c>
      <c r="K2184" s="71" t="s">
        <v>1632</v>
      </c>
      <c r="L2184" s="72">
        <v>41428</v>
      </c>
      <c r="M2184" s="73" t="s">
        <v>729</v>
      </c>
      <c r="N2184" s="74">
        <v>41501</v>
      </c>
      <c r="O2184" s="75">
        <v>41501</v>
      </c>
      <c r="P2184" s="2765" t="s">
        <v>1633</v>
      </c>
      <c r="Q2184" s="2954"/>
      <c r="R2184" s="76">
        <v>281.49</v>
      </c>
      <c r="S2184" s="1945" t="s">
        <v>731</v>
      </c>
      <c r="T2184" s="77"/>
      <c r="U2184" s="1893"/>
      <c r="V2184" s="2079">
        <f t="shared" si="512"/>
        <v>0</v>
      </c>
      <c r="W2184" s="78">
        <f t="shared" si="513"/>
        <v>332.15819999999997</v>
      </c>
      <c r="X2184" s="1878" t="str">
        <f t="shared" si="511"/>
        <v xml:space="preserve">5.- C Vikrant 0250211-OT_183049  Reencauche 030-0029427 </v>
      </c>
      <c r="Z2184" s="19" t="str">
        <f t="shared" si="519"/>
        <v>ReencaucheReencauchadora RENOVA</v>
      </c>
    </row>
    <row r="2185" spans="2:26" outlineLevel="1">
      <c r="B2185" s="3275"/>
      <c r="C2185" s="2">
        <f t="shared" si="520"/>
        <v>129</v>
      </c>
      <c r="D2185" s="3">
        <v>17</v>
      </c>
      <c r="E2185" s="66">
        <v>6</v>
      </c>
      <c r="F2185" s="67" t="s">
        <v>732</v>
      </c>
      <c r="G2185" s="68" t="s">
        <v>737</v>
      </c>
      <c r="H2185" s="69" t="s">
        <v>955</v>
      </c>
      <c r="I2185" s="68" t="s">
        <v>726</v>
      </c>
      <c r="J2185" s="70" t="s">
        <v>760</v>
      </c>
      <c r="K2185" s="71" t="s">
        <v>1632</v>
      </c>
      <c r="L2185" s="72">
        <v>41428</v>
      </c>
      <c r="M2185" s="73" t="s">
        <v>729</v>
      </c>
      <c r="N2185" s="74">
        <v>41501</v>
      </c>
      <c r="O2185" s="75">
        <v>41501</v>
      </c>
      <c r="P2185" s="2765" t="s">
        <v>1633</v>
      </c>
      <c r="Q2185" s="2954"/>
      <c r="R2185" s="76">
        <v>281.49</v>
      </c>
      <c r="S2185" s="1945" t="s">
        <v>731</v>
      </c>
      <c r="T2185" s="77"/>
      <c r="U2185" s="1893"/>
      <c r="V2185" s="2079">
        <f t="shared" si="512"/>
        <v>0</v>
      </c>
      <c r="W2185" s="78">
        <f t="shared" si="513"/>
        <v>332.15819999999997</v>
      </c>
      <c r="X2185" s="1878" t="str">
        <f t="shared" si="511"/>
        <v xml:space="preserve">6.- C Vikrant 0810908-OT_183049  Reencauche 030-0029427 </v>
      </c>
      <c r="Z2185" s="19" t="str">
        <f t="shared" si="519"/>
        <v>ReencaucheReencauchadora RENOVA</v>
      </c>
    </row>
    <row r="2186" spans="2:26" outlineLevel="1">
      <c r="B2186" s="3275"/>
      <c r="C2186" s="2">
        <f t="shared" si="520"/>
        <v>128</v>
      </c>
      <c r="D2186" s="3">
        <v>16</v>
      </c>
      <c r="E2186" s="66">
        <v>7</v>
      </c>
      <c r="F2186" s="67" t="s">
        <v>732</v>
      </c>
      <c r="G2186" s="68" t="s">
        <v>733</v>
      </c>
      <c r="H2186" s="69" t="s">
        <v>1399</v>
      </c>
      <c r="I2186" s="68" t="s">
        <v>726</v>
      </c>
      <c r="J2186" s="70" t="s">
        <v>760</v>
      </c>
      <c r="K2186" s="71" t="s">
        <v>1632</v>
      </c>
      <c r="L2186" s="72">
        <v>41428</v>
      </c>
      <c r="M2186" s="73" t="s">
        <v>729</v>
      </c>
      <c r="N2186" s="74">
        <v>41501</v>
      </c>
      <c r="O2186" s="75">
        <v>41501</v>
      </c>
      <c r="P2186" s="2765" t="s">
        <v>1633</v>
      </c>
      <c r="Q2186" s="2954"/>
      <c r="R2186" s="76">
        <v>281.49</v>
      </c>
      <c r="S2186" s="1945" t="s">
        <v>731</v>
      </c>
      <c r="T2186" s="77"/>
      <c r="U2186" s="1893"/>
      <c r="V2186" s="2079">
        <f t="shared" si="512"/>
        <v>0</v>
      </c>
      <c r="W2186" s="78">
        <f t="shared" si="513"/>
        <v>332.15819999999997</v>
      </c>
      <c r="X2186" s="1878" t="str">
        <f t="shared" si="511"/>
        <v xml:space="preserve">7.- C Lima Caucho 0860908-OT_183049  Reencauche 030-0029427 </v>
      </c>
      <c r="Z2186" s="19" t="str">
        <f t="shared" si="519"/>
        <v>ReencaucheReencauchadora RENOVA</v>
      </c>
    </row>
    <row r="2187" spans="2:26" outlineLevel="1">
      <c r="B2187" s="3275"/>
      <c r="C2187" s="2">
        <f t="shared" si="520"/>
        <v>127</v>
      </c>
      <c r="D2187" s="3">
        <v>15</v>
      </c>
      <c r="E2187" s="66">
        <v>8</v>
      </c>
      <c r="F2187" s="67" t="s">
        <v>732</v>
      </c>
      <c r="G2187" s="68" t="s">
        <v>737</v>
      </c>
      <c r="H2187" s="69" t="s">
        <v>1243</v>
      </c>
      <c r="I2187" s="68" t="s">
        <v>726</v>
      </c>
      <c r="J2187" s="70" t="s">
        <v>760</v>
      </c>
      <c r="K2187" s="71" t="s">
        <v>1632</v>
      </c>
      <c r="L2187" s="72">
        <v>41428</v>
      </c>
      <c r="M2187" s="73" t="s">
        <v>729</v>
      </c>
      <c r="N2187" s="74">
        <v>41501</v>
      </c>
      <c r="O2187" s="75">
        <v>41501</v>
      </c>
      <c r="P2187" s="2765" t="s">
        <v>1633</v>
      </c>
      <c r="Q2187" s="2954"/>
      <c r="R2187" s="76">
        <v>281.49</v>
      </c>
      <c r="S2187" s="1945" t="s">
        <v>731</v>
      </c>
      <c r="T2187" s="77"/>
      <c r="U2187" s="1893"/>
      <c r="V2187" s="2079">
        <f t="shared" si="512"/>
        <v>0</v>
      </c>
      <c r="W2187" s="78">
        <f t="shared" si="513"/>
        <v>332.15819999999997</v>
      </c>
      <c r="X2187" s="1878" t="str">
        <f t="shared" si="511"/>
        <v xml:space="preserve">8.- C Vikrant 1290805-OT_183049  Reencauche 030-0029427 </v>
      </c>
      <c r="Z2187" s="19" t="str">
        <f t="shared" si="519"/>
        <v>ReencaucheReencauchadora RENOVA</v>
      </c>
    </row>
    <row r="2188" spans="2:26" outlineLevel="1">
      <c r="B2188" s="3275"/>
      <c r="C2188" s="2">
        <f t="shared" si="520"/>
        <v>126</v>
      </c>
      <c r="D2188" s="3">
        <v>14</v>
      </c>
      <c r="E2188" s="66">
        <v>9</v>
      </c>
      <c r="F2188" s="67" t="s">
        <v>732</v>
      </c>
      <c r="G2188" s="68" t="s">
        <v>737</v>
      </c>
      <c r="H2188" s="69" t="s">
        <v>1636</v>
      </c>
      <c r="I2188" s="68" t="s">
        <v>726</v>
      </c>
      <c r="J2188" s="70" t="s">
        <v>760</v>
      </c>
      <c r="K2188" s="71" t="s">
        <v>1632</v>
      </c>
      <c r="L2188" s="72">
        <v>41428</v>
      </c>
      <c r="M2188" s="73" t="s">
        <v>729</v>
      </c>
      <c r="N2188" s="74">
        <v>41501</v>
      </c>
      <c r="O2188" s="75">
        <v>41501</v>
      </c>
      <c r="P2188" s="2765" t="s">
        <v>1633</v>
      </c>
      <c r="Q2188" s="2954"/>
      <c r="R2188" s="76">
        <v>281.49</v>
      </c>
      <c r="S2188" s="1945" t="s">
        <v>731</v>
      </c>
      <c r="T2188" s="77"/>
      <c r="U2188" s="1893"/>
      <c r="V2188" s="2079">
        <f t="shared" si="512"/>
        <v>0</v>
      </c>
      <c r="W2188" s="78">
        <f t="shared" si="513"/>
        <v>332.15819999999997</v>
      </c>
      <c r="X2188" s="1878" t="str">
        <f t="shared" si="511"/>
        <v xml:space="preserve">9.- C Vikrant 01002201-OT_183049  Reencauche 030-0029427 </v>
      </c>
      <c r="Z2188" s="19" t="str">
        <f t="shared" si="519"/>
        <v>ReencaucheReencauchadora RENOVA</v>
      </c>
    </row>
    <row r="2189" spans="2:26" outlineLevel="1">
      <c r="B2189" s="3275"/>
      <c r="C2189" s="2">
        <f t="shared" si="520"/>
        <v>125</v>
      </c>
      <c r="D2189" s="3">
        <v>13</v>
      </c>
      <c r="E2189" s="79">
        <v>10</v>
      </c>
      <c r="F2189" s="80" t="s">
        <v>732</v>
      </c>
      <c r="G2189" s="81" t="s">
        <v>733</v>
      </c>
      <c r="H2189" s="82" t="s">
        <v>1103</v>
      </c>
      <c r="I2189" s="81" t="s">
        <v>726</v>
      </c>
      <c r="J2189" s="83" t="s">
        <v>760</v>
      </c>
      <c r="K2189" s="84" t="s">
        <v>1632</v>
      </c>
      <c r="L2189" s="85">
        <v>41428</v>
      </c>
      <c r="M2189" s="86" t="s">
        <v>729</v>
      </c>
      <c r="N2189" s="87">
        <v>41501</v>
      </c>
      <c r="O2189" s="88">
        <v>41501</v>
      </c>
      <c r="P2189" s="2766" t="s">
        <v>1633</v>
      </c>
      <c r="Q2189" s="2955"/>
      <c r="R2189" s="89">
        <v>281.49</v>
      </c>
      <c r="S2189" s="1946" t="s">
        <v>731</v>
      </c>
      <c r="T2189" s="77"/>
      <c r="U2189" s="1893"/>
      <c r="V2189" s="2079">
        <f t="shared" si="512"/>
        <v>0</v>
      </c>
      <c r="W2189" s="78">
        <f t="shared" si="513"/>
        <v>332.15819999999997</v>
      </c>
      <c r="X2189" s="1878" t="str">
        <f t="shared" si="511"/>
        <v xml:space="preserve">10.- C Lima Caucho 0700907-OT_183049  Reencauche 030-0029427 </v>
      </c>
      <c r="Z2189" s="19" t="str">
        <f t="shared" si="519"/>
        <v>ReencaucheReencauchadora RENOVA</v>
      </c>
    </row>
    <row r="2190" spans="2:26" outlineLevel="1">
      <c r="B2190" s="3275"/>
      <c r="C2190" s="2">
        <f t="shared" si="520"/>
        <v>124</v>
      </c>
      <c r="D2190" s="3">
        <v>12</v>
      </c>
      <c r="E2190" s="66">
        <v>1</v>
      </c>
      <c r="F2190" s="67" t="s">
        <v>732</v>
      </c>
      <c r="G2190" s="68" t="s">
        <v>733</v>
      </c>
      <c r="H2190" s="69" t="s">
        <v>1359</v>
      </c>
      <c r="I2190" s="68" t="s">
        <v>726</v>
      </c>
      <c r="J2190" s="70" t="s">
        <v>760</v>
      </c>
      <c r="K2190" s="71" t="s">
        <v>1637</v>
      </c>
      <c r="L2190" s="72">
        <v>41424</v>
      </c>
      <c r="M2190" s="73" t="s">
        <v>729</v>
      </c>
      <c r="N2190" s="74">
        <v>41501</v>
      </c>
      <c r="O2190" s="75">
        <f t="shared" ref="O2190:O2201" si="521">+N2190</f>
        <v>41501</v>
      </c>
      <c r="P2190" s="2765" t="s">
        <v>1633</v>
      </c>
      <c r="Q2190" s="2954"/>
      <c r="R2190" s="76">
        <v>281.49</v>
      </c>
      <c r="S2190" s="1945" t="s">
        <v>731</v>
      </c>
      <c r="T2190" s="77"/>
      <c r="U2190" s="1893"/>
      <c r="V2190" s="2079">
        <f t="shared" si="512"/>
        <v>0</v>
      </c>
      <c r="W2190" s="78">
        <f t="shared" si="513"/>
        <v>332.15819999999997</v>
      </c>
      <c r="X2190" s="1878" t="str">
        <f t="shared" si="511"/>
        <v xml:space="preserve">1.- C Lima Caucho 0350507-OT_184532  Reencauche 030-0029427 </v>
      </c>
      <c r="Z2190" s="19" t="str">
        <f t="shared" si="519"/>
        <v>ReencaucheReencauchadora RENOVA</v>
      </c>
    </row>
    <row r="2191" spans="2:26" outlineLevel="1">
      <c r="B2191" s="3275"/>
      <c r="C2191" s="2">
        <f t="shared" si="520"/>
        <v>123</v>
      </c>
      <c r="D2191" s="3">
        <v>11</v>
      </c>
      <c r="E2191" s="66">
        <v>2</v>
      </c>
      <c r="F2191" s="67" t="s">
        <v>732</v>
      </c>
      <c r="G2191" s="68" t="s">
        <v>733</v>
      </c>
      <c r="H2191" s="69" t="s">
        <v>1638</v>
      </c>
      <c r="I2191" s="68" t="s">
        <v>726</v>
      </c>
      <c r="J2191" s="70" t="s">
        <v>760</v>
      </c>
      <c r="K2191" s="71" t="s">
        <v>1637</v>
      </c>
      <c r="L2191" s="72">
        <v>41424</v>
      </c>
      <c r="M2191" s="73" t="s">
        <v>729</v>
      </c>
      <c r="N2191" s="74">
        <v>41501</v>
      </c>
      <c r="O2191" s="75">
        <f t="shared" si="521"/>
        <v>41501</v>
      </c>
      <c r="P2191" s="2765" t="s">
        <v>1633</v>
      </c>
      <c r="Q2191" s="2954"/>
      <c r="R2191" s="76">
        <v>281.49</v>
      </c>
      <c r="S2191" s="1945" t="s">
        <v>731</v>
      </c>
      <c r="T2191" s="77"/>
      <c r="U2191" s="1893"/>
      <c r="V2191" s="2079">
        <f t="shared" si="512"/>
        <v>0</v>
      </c>
      <c r="W2191" s="78">
        <f t="shared" si="513"/>
        <v>332.15819999999997</v>
      </c>
      <c r="X2191" s="1878" t="str">
        <f t="shared" si="511"/>
        <v xml:space="preserve">2.- C Lima Caucho 0490708-OT_184532  Reencauche 030-0029427 </v>
      </c>
      <c r="Z2191" s="19" t="str">
        <f t="shared" si="519"/>
        <v>ReencaucheReencauchadora RENOVA</v>
      </c>
    </row>
    <row r="2192" spans="2:26" outlineLevel="1">
      <c r="B2192" s="3275"/>
      <c r="C2192" s="2">
        <f t="shared" si="520"/>
        <v>122</v>
      </c>
      <c r="D2192" s="3">
        <v>10</v>
      </c>
      <c r="E2192" s="66">
        <v>3</v>
      </c>
      <c r="F2192" s="67" t="s">
        <v>732</v>
      </c>
      <c r="G2192" s="68" t="s">
        <v>733</v>
      </c>
      <c r="H2192" s="69" t="s">
        <v>1639</v>
      </c>
      <c r="I2192" s="68" t="s">
        <v>726</v>
      </c>
      <c r="J2192" s="70" t="s">
        <v>760</v>
      </c>
      <c r="K2192" s="71" t="s">
        <v>1637</v>
      </c>
      <c r="L2192" s="72">
        <v>41424</v>
      </c>
      <c r="M2192" s="73" t="s">
        <v>729</v>
      </c>
      <c r="N2192" s="74">
        <v>41501</v>
      </c>
      <c r="O2192" s="75">
        <f t="shared" si="521"/>
        <v>41501</v>
      </c>
      <c r="P2192" s="2765" t="s">
        <v>1633</v>
      </c>
      <c r="Q2192" s="2954"/>
      <c r="R2192" s="76">
        <v>281.49</v>
      </c>
      <c r="S2192" s="1945" t="s">
        <v>731</v>
      </c>
      <c r="T2192" s="77"/>
      <c r="U2192" s="1893"/>
      <c r="V2192" s="2079">
        <f t="shared" si="512"/>
        <v>0</v>
      </c>
      <c r="W2192" s="78">
        <f t="shared" si="513"/>
        <v>332.15819999999997</v>
      </c>
      <c r="X2192" s="1878" t="str">
        <f t="shared" si="511"/>
        <v xml:space="preserve">3.- C Lima Caucho 00120107-OT_184532  Reencauche 030-0029427 </v>
      </c>
      <c r="Z2192" s="19" t="str">
        <f t="shared" si="519"/>
        <v>ReencaucheReencauchadora RENOVA</v>
      </c>
    </row>
    <row r="2193" spans="2:26" outlineLevel="1">
      <c r="B2193" s="3275"/>
      <c r="C2193" s="2">
        <f t="shared" si="520"/>
        <v>121</v>
      </c>
      <c r="D2193" s="3">
        <v>9</v>
      </c>
      <c r="E2193" s="66">
        <v>4</v>
      </c>
      <c r="F2193" s="67" t="s">
        <v>732</v>
      </c>
      <c r="G2193" s="68" t="s">
        <v>733</v>
      </c>
      <c r="H2193" s="69" t="s">
        <v>1198</v>
      </c>
      <c r="I2193" s="68" t="s">
        <v>726</v>
      </c>
      <c r="J2193" s="70" t="s">
        <v>760</v>
      </c>
      <c r="K2193" s="71" t="s">
        <v>1637</v>
      </c>
      <c r="L2193" s="72">
        <v>41424</v>
      </c>
      <c r="M2193" s="73" t="s">
        <v>729</v>
      </c>
      <c r="N2193" s="74">
        <v>41501</v>
      </c>
      <c r="O2193" s="75">
        <f t="shared" si="521"/>
        <v>41501</v>
      </c>
      <c r="P2193" s="2765" t="s">
        <v>1633</v>
      </c>
      <c r="Q2193" s="2954"/>
      <c r="R2193" s="76">
        <v>281.49</v>
      </c>
      <c r="S2193" s="1945" t="s">
        <v>731</v>
      </c>
      <c r="T2193" s="77"/>
      <c r="U2193" s="1893"/>
      <c r="V2193" s="2079">
        <f t="shared" si="512"/>
        <v>0</v>
      </c>
      <c r="W2193" s="78">
        <f t="shared" si="513"/>
        <v>332.15819999999997</v>
      </c>
      <c r="X2193" s="1878" t="str">
        <f t="shared" si="511"/>
        <v xml:space="preserve">4.- C Lima Caucho 0090107-OT_184532  Reencauche 030-0029427 </v>
      </c>
      <c r="Z2193" s="19" t="str">
        <f t="shared" si="519"/>
        <v>ReencaucheReencauchadora RENOVA</v>
      </c>
    </row>
    <row r="2194" spans="2:26" outlineLevel="1">
      <c r="B2194" s="3275"/>
      <c r="C2194" s="2">
        <f t="shared" si="520"/>
        <v>120</v>
      </c>
      <c r="D2194" s="3">
        <v>8</v>
      </c>
      <c r="E2194" s="66">
        <v>5</v>
      </c>
      <c r="F2194" s="67" t="s">
        <v>732</v>
      </c>
      <c r="G2194" s="68" t="s">
        <v>733</v>
      </c>
      <c r="H2194" s="69" t="s">
        <v>1407</v>
      </c>
      <c r="I2194" s="68" t="s">
        <v>726</v>
      </c>
      <c r="J2194" s="70" t="s">
        <v>760</v>
      </c>
      <c r="K2194" s="71" t="s">
        <v>1637</v>
      </c>
      <c r="L2194" s="72">
        <v>41424</v>
      </c>
      <c r="M2194" s="73" t="s">
        <v>729</v>
      </c>
      <c r="N2194" s="74">
        <v>41501</v>
      </c>
      <c r="O2194" s="75">
        <f t="shared" si="521"/>
        <v>41501</v>
      </c>
      <c r="P2194" s="2765" t="s">
        <v>1633</v>
      </c>
      <c r="Q2194" s="2954"/>
      <c r="R2194" s="76">
        <v>281.49</v>
      </c>
      <c r="S2194" s="1945" t="s">
        <v>731</v>
      </c>
      <c r="T2194" s="77"/>
      <c r="U2194" s="1893"/>
      <c r="V2194" s="2079">
        <f t="shared" si="512"/>
        <v>0</v>
      </c>
      <c r="W2194" s="78">
        <f t="shared" si="513"/>
        <v>332.15819999999997</v>
      </c>
      <c r="X2194" s="1878" t="str">
        <f t="shared" si="511"/>
        <v xml:space="preserve">5.- C Lima Caucho 0400608-OT_184532  Reencauche 030-0029427 </v>
      </c>
      <c r="Z2194" s="19" t="str">
        <f t="shared" si="519"/>
        <v>ReencaucheReencauchadora RENOVA</v>
      </c>
    </row>
    <row r="2195" spans="2:26" outlineLevel="1">
      <c r="B2195" s="3275"/>
      <c r="C2195" s="2">
        <f t="shared" si="520"/>
        <v>119</v>
      </c>
      <c r="D2195" s="3">
        <v>7</v>
      </c>
      <c r="E2195" s="66">
        <v>6</v>
      </c>
      <c r="F2195" s="67" t="s">
        <v>732</v>
      </c>
      <c r="G2195" s="68" t="s">
        <v>737</v>
      </c>
      <c r="H2195" s="69" t="s">
        <v>1317</v>
      </c>
      <c r="I2195" s="68" t="s">
        <v>726</v>
      </c>
      <c r="J2195" s="70" t="s">
        <v>760</v>
      </c>
      <c r="K2195" s="71" t="s">
        <v>1637</v>
      </c>
      <c r="L2195" s="72">
        <v>41424</v>
      </c>
      <c r="M2195" s="73" t="s">
        <v>729</v>
      </c>
      <c r="N2195" s="74">
        <v>41501</v>
      </c>
      <c r="O2195" s="75">
        <f t="shared" si="521"/>
        <v>41501</v>
      </c>
      <c r="P2195" s="2765" t="s">
        <v>1633</v>
      </c>
      <c r="Q2195" s="2954"/>
      <c r="R2195" s="76">
        <v>281.49</v>
      </c>
      <c r="S2195" s="1945" t="s">
        <v>731</v>
      </c>
      <c r="T2195" s="77"/>
      <c r="U2195" s="1893"/>
      <c r="V2195" s="2079">
        <f t="shared" si="512"/>
        <v>0</v>
      </c>
      <c r="W2195" s="78">
        <f t="shared" si="513"/>
        <v>332.15819999999997</v>
      </c>
      <c r="X2195" s="1878" t="str">
        <f t="shared" si="511"/>
        <v xml:space="preserve">6.- C Vikrant 0310410-OT_184532  Reencauche 030-0029427 </v>
      </c>
      <c r="Z2195" s="19" t="str">
        <f t="shared" si="519"/>
        <v>ReencaucheReencauchadora RENOVA</v>
      </c>
    </row>
    <row r="2196" spans="2:26" outlineLevel="1">
      <c r="B2196" s="3275"/>
      <c r="C2196" s="2">
        <f t="shared" si="520"/>
        <v>118</v>
      </c>
      <c r="D2196" s="3">
        <v>6</v>
      </c>
      <c r="E2196" s="66">
        <v>7</v>
      </c>
      <c r="F2196" s="67" t="s">
        <v>732</v>
      </c>
      <c r="G2196" s="68" t="s">
        <v>737</v>
      </c>
      <c r="H2196" s="69" t="s">
        <v>1263</v>
      </c>
      <c r="I2196" s="68" t="s">
        <v>726</v>
      </c>
      <c r="J2196" s="70" t="s">
        <v>760</v>
      </c>
      <c r="K2196" s="71" t="s">
        <v>1637</v>
      </c>
      <c r="L2196" s="72">
        <v>41424</v>
      </c>
      <c r="M2196" s="73" t="s">
        <v>729</v>
      </c>
      <c r="N2196" s="74">
        <v>41501</v>
      </c>
      <c r="O2196" s="75">
        <f t="shared" si="521"/>
        <v>41501</v>
      </c>
      <c r="P2196" s="2765" t="s">
        <v>1633</v>
      </c>
      <c r="Q2196" s="2954"/>
      <c r="R2196" s="76">
        <v>281.49</v>
      </c>
      <c r="S2196" s="1945" t="s">
        <v>731</v>
      </c>
      <c r="T2196" s="77"/>
      <c r="U2196" s="1893"/>
      <c r="V2196" s="2079">
        <f t="shared" si="512"/>
        <v>0</v>
      </c>
      <c r="W2196" s="78">
        <f t="shared" si="513"/>
        <v>332.15819999999997</v>
      </c>
      <c r="X2196" s="1878" t="str">
        <f t="shared" si="511"/>
        <v xml:space="preserve">7.- C Vikrant 0120111-OT_184532  Reencauche 030-0029427 </v>
      </c>
      <c r="Z2196" s="19" t="str">
        <f t="shared" si="519"/>
        <v>ReencaucheReencauchadora RENOVA</v>
      </c>
    </row>
    <row r="2197" spans="2:26" outlineLevel="1">
      <c r="B2197" s="3275"/>
      <c r="C2197" s="2">
        <f t="shared" si="520"/>
        <v>117</v>
      </c>
      <c r="D2197" s="3">
        <v>5</v>
      </c>
      <c r="E2197" s="66">
        <v>8</v>
      </c>
      <c r="F2197" s="67" t="s">
        <v>732</v>
      </c>
      <c r="G2197" s="68" t="s">
        <v>737</v>
      </c>
      <c r="H2197" s="69" t="s">
        <v>1318</v>
      </c>
      <c r="I2197" s="68" t="s">
        <v>726</v>
      </c>
      <c r="J2197" s="70" t="s">
        <v>760</v>
      </c>
      <c r="K2197" s="71" t="s">
        <v>1637</v>
      </c>
      <c r="L2197" s="72">
        <v>41424</v>
      </c>
      <c r="M2197" s="73" t="s">
        <v>729</v>
      </c>
      <c r="N2197" s="74">
        <v>41501</v>
      </c>
      <c r="O2197" s="75">
        <f t="shared" si="521"/>
        <v>41501</v>
      </c>
      <c r="P2197" s="2765" t="s">
        <v>1633</v>
      </c>
      <c r="Q2197" s="2954"/>
      <c r="R2197" s="76">
        <v>281.49</v>
      </c>
      <c r="S2197" s="1945" t="s">
        <v>731</v>
      </c>
      <c r="T2197" s="77"/>
      <c r="U2197" s="1893"/>
      <c r="V2197" s="2079">
        <f t="shared" si="512"/>
        <v>0</v>
      </c>
      <c r="W2197" s="78">
        <f t="shared" si="513"/>
        <v>332.15819999999997</v>
      </c>
      <c r="X2197" s="1878" t="str">
        <f t="shared" si="511"/>
        <v xml:space="preserve">8.- C Vikrant 0330410-OT_184532  Reencauche 030-0029427 </v>
      </c>
      <c r="Z2197" s="19" t="str">
        <f t="shared" si="519"/>
        <v>ReencaucheReencauchadora RENOVA</v>
      </c>
    </row>
    <row r="2198" spans="2:26" outlineLevel="1">
      <c r="B2198" s="3275"/>
      <c r="C2198" s="2">
        <f t="shared" si="520"/>
        <v>116</v>
      </c>
      <c r="D2198" s="3">
        <v>4</v>
      </c>
      <c r="E2198" s="66">
        <v>9</v>
      </c>
      <c r="F2198" s="67" t="s">
        <v>732</v>
      </c>
      <c r="G2198" s="68" t="s">
        <v>737</v>
      </c>
      <c r="H2198" s="69" t="s">
        <v>1640</v>
      </c>
      <c r="I2198" s="68" t="s">
        <v>726</v>
      </c>
      <c r="J2198" s="70" t="s">
        <v>760</v>
      </c>
      <c r="K2198" s="71" t="s">
        <v>1637</v>
      </c>
      <c r="L2198" s="72">
        <v>41424</v>
      </c>
      <c r="M2198" s="73" t="s">
        <v>729</v>
      </c>
      <c r="N2198" s="74">
        <v>41501</v>
      </c>
      <c r="O2198" s="75">
        <f t="shared" si="521"/>
        <v>41501</v>
      </c>
      <c r="P2198" s="2765" t="s">
        <v>1633</v>
      </c>
      <c r="Q2198" s="2954"/>
      <c r="R2198" s="76">
        <v>281.49</v>
      </c>
      <c r="S2198" s="1945" t="s">
        <v>731</v>
      </c>
      <c r="T2198" s="77"/>
      <c r="U2198" s="1893"/>
      <c r="V2198" s="2079">
        <f t="shared" si="512"/>
        <v>0</v>
      </c>
      <c r="W2198" s="78">
        <f t="shared" si="513"/>
        <v>332.15819999999997</v>
      </c>
      <c r="X2198" s="1878" t="str">
        <f t="shared" si="511"/>
        <v xml:space="preserve">9.- C Vikrant 0831200-OT_184532  Reencauche 030-0029427 </v>
      </c>
      <c r="Z2198" s="19" t="str">
        <f t="shared" si="519"/>
        <v>ReencaucheReencauchadora RENOVA</v>
      </c>
    </row>
    <row r="2199" spans="2:26">
      <c r="B2199" s="3275"/>
      <c r="C2199" s="2">
        <f t="shared" si="520"/>
        <v>115</v>
      </c>
      <c r="D2199" s="3">
        <v>3</v>
      </c>
      <c r="E2199" s="66">
        <v>10</v>
      </c>
      <c r="F2199" s="67" t="s">
        <v>732</v>
      </c>
      <c r="G2199" s="68" t="s">
        <v>737</v>
      </c>
      <c r="H2199" s="69" t="s">
        <v>787</v>
      </c>
      <c r="I2199" s="68" t="s">
        <v>726</v>
      </c>
      <c r="J2199" s="70" t="s">
        <v>760</v>
      </c>
      <c r="K2199" s="71" t="s">
        <v>1637</v>
      </c>
      <c r="L2199" s="72">
        <v>41424</v>
      </c>
      <c r="M2199" s="73" t="s">
        <v>729</v>
      </c>
      <c r="N2199" s="74">
        <v>41501</v>
      </c>
      <c r="O2199" s="75">
        <f t="shared" si="521"/>
        <v>41501</v>
      </c>
      <c r="P2199" s="2765" t="s">
        <v>1633</v>
      </c>
      <c r="Q2199" s="2954"/>
      <c r="R2199" s="76">
        <v>281.49</v>
      </c>
      <c r="S2199" s="1945" t="s">
        <v>731</v>
      </c>
      <c r="T2199" s="77"/>
      <c r="U2199" s="1893"/>
      <c r="V2199" s="2079">
        <f t="shared" si="512"/>
        <v>0</v>
      </c>
      <c r="W2199" s="78">
        <f t="shared" si="513"/>
        <v>332.15819999999997</v>
      </c>
      <c r="X2199" s="1878" t="str">
        <f t="shared" si="511"/>
        <v xml:space="preserve">10.- C Vikrant 0801007-OT_184532  Reencauche 030-0029427 </v>
      </c>
    </row>
    <row r="2200" spans="2:26">
      <c r="B2200" s="3275"/>
      <c r="C2200" s="2">
        <f t="shared" si="520"/>
        <v>114</v>
      </c>
      <c r="D2200" s="3">
        <v>2</v>
      </c>
      <c r="E2200" s="66">
        <v>11</v>
      </c>
      <c r="F2200" s="67" t="s">
        <v>732</v>
      </c>
      <c r="G2200" s="68" t="s">
        <v>737</v>
      </c>
      <c r="H2200" s="69" t="s">
        <v>904</v>
      </c>
      <c r="I2200" s="68" t="s">
        <v>726</v>
      </c>
      <c r="J2200" s="70" t="s">
        <v>760</v>
      </c>
      <c r="K2200" s="71" t="s">
        <v>1637</v>
      </c>
      <c r="L2200" s="72">
        <v>41424</v>
      </c>
      <c r="M2200" s="73" t="s">
        <v>729</v>
      </c>
      <c r="N2200" s="74">
        <v>41501</v>
      </c>
      <c r="O2200" s="75">
        <f t="shared" si="521"/>
        <v>41501</v>
      </c>
      <c r="P2200" s="2765" t="s">
        <v>1633</v>
      </c>
      <c r="Q2200" s="2954"/>
      <c r="R2200" s="76">
        <v>281.49</v>
      </c>
      <c r="S2200" s="1945" t="s">
        <v>731</v>
      </c>
      <c r="T2200" s="77"/>
      <c r="U2200" s="1893"/>
      <c r="V2200" s="2079">
        <f t="shared" si="512"/>
        <v>0</v>
      </c>
      <c r="W2200" s="78">
        <f t="shared" si="513"/>
        <v>332.15819999999997</v>
      </c>
      <c r="X2200" s="1878" t="str">
        <f t="shared" si="511"/>
        <v xml:space="preserve">11.- C Vikrant 0660809-OT_184532  Reencauche 030-0029427 </v>
      </c>
    </row>
    <row r="2201" spans="2:26" ht="15.75" thickBot="1">
      <c r="B2201" s="3276"/>
      <c r="C2201" s="2">
        <f>1+C2205</f>
        <v>113</v>
      </c>
      <c r="D2201" s="3">
        <v>1</v>
      </c>
      <c r="E2201" s="79">
        <v>12</v>
      </c>
      <c r="F2201" s="80" t="s">
        <v>732</v>
      </c>
      <c r="G2201" s="81" t="s">
        <v>737</v>
      </c>
      <c r="H2201" s="82" t="s">
        <v>839</v>
      </c>
      <c r="I2201" s="81" t="s">
        <v>726</v>
      </c>
      <c r="J2201" s="83" t="s">
        <v>760</v>
      </c>
      <c r="K2201" s="84" t="s">
        <v>1637</v>
      </c>
      <c r="L2201" s="85">
        <v>41424</v>
      </c>
      <c r="M2201" s="86" t="s">
        <v>729</v>
      </c>
      <c r="N2201" s="87">
        <v>41501</v>
      </c>
      <c r="O2201" s="88">
        <f t="shared" si="521"/>
        <v>41501</v>
      </c>
      <c r="P2201" s="2766" t="s">
        <v>1633</v>
      </c>
      <c r="Q2201" s="2955"/>
      <c r="R2201" s="89">
        <v>281.49</v>
      </c>
      <c r="S2201" s="1946" t="s">
        <v>731</v>
      </c>
      <c r="T2201" s="77"/>
      <c r="U2201" s="1893"/>
      <c r="V2201" s="2079">
        <f t="shared" si="512"/>
        <v>0</v>
      </c>
      <c r="W2201" s="78">
        <f t="shared" si="513"/>
        <v>332.15819999999997</v>
      </c>
      <c r="X2201" s="1878" t="str">
        <f t="shared" si="511"/>
        <v xml:space="preserve">12.- C Vikrant 0380510-OT_184532  Reencauche 030-0029427 </v>
      </c>
    </row>
    <row r="2202" spans="2:26" outlineLevel="1">
      <c r="B2202" s="3306">
        <v>41456</v>
      </c>
      <c r="C2202" s="3306"/>
      <c r="D2202" s="283">
        <v>0</v>
      </c>
      <c r="E2202" s="66"/>
      <c r="F2202" s="67"/>
      <c r="G2202" s="68"/>
      <c r="H2202" s="69"/>
      <c r="I2202" s="68"/>
      <c r="J2202" s="70"/>
      <c r="K2202" s="71"/>
      <c r="L2202" s="72"/>
      <c r="M2202" s="73"/>
      <c r="N2202" s="74"/>
      <c r="O2202" s="75"/>
      <c r="P2202" s="2765"/>
      <c r="Q2202" s="2954"/>
      <c r="R2202" s="76"/>
      <c r="S2202" s="1945"/>
      <c r="T2202" s="77"/>
      <c r="U2202" s="1893"/>
      <c r="V2202" s="2079">
        <f t="shared" si="512"/>
        <v>0</v>
      </c>
      <c r="W2202" s="78">
        <f t="shared" si="513"/>
        <v>0</v>
      </c>
      <c r="X2202" s="1878" t="str">
        <f t="shared" si="511"/>
        <v xml:space="preserve">.-   -OT_    </v>
      </c>
      <c r="Z2202" s="19" t="str">
        <f>CONCATENATE(I2205,J2205)</f>
        <v>Transpl BandaReencauchadora Espinoza</v>
      </c>
    </row>
    <row r="2203" spans="2:26" outlineLevel="1">
      <c r="B2203" s="3306">
        <v>41426</v>
      </c>
      <c r="C2203" s="3306"/>
      <c r="D2203" s="283">
        <v>0</v>
      </c>
      <c r="E2203" s="66"/>
      <c r="F2203" s="67"/>
      <c r="G2203" s="68"/>
      <c r="H2203" s="69"/>
      <c r="I2203" s="68"/>
      <c r="J2203" s="70"/>
      <c r="K2203" s="71"/>
      <c r="L2203" s="72"/>
      <c r="M2203" s="73"/>
      <c r="N2203" s="74"/>
      <c r="O2203" s="75"/>
      <c r="P2203" s="2765"/>
      <c r="Q2203" s="2954"/>
      <c r="R2203" s="76"/>
      <c r="S2203" s="1945"/>
      <c r="T2203" s="77"/>
      <c r="U2203" s="1893"/>
      <c r="V2203" s="2079">
        <f t="shared" si="512"/>
        <v>0</v>
      </c>
      <c r="W2203" s="78">
        <f t="shared" si="513"/>
        <v>0</v>
      </c>
      <c r="X2203" s="1878" t="str">
        <f t="shared" si="511"/>
        <v xml:space="preserve">.-   -OT_    </v>
      </c>
      <c r="Z2203" s="19" t="str">
        <f>CONCATENATE(I2206,J2206)</f>
        <v>Transpl BandaReencauchadora Espinoza</v>
      </c>
    </row>
    <row r="2204" spans="2:26" ht="15.75" outlineLevel="1" thickBot="1">
      <c r="B2204" s="3306">
        <v>41395</v>
      </c>
      <c r="C2204" s="3306"/>
      <c r="D2204" s="258">
        <f>+D2205</f>
        <v>3</v>
      </c>
      <c r="E2204" s="66"/>
      <c r="F2204" s="67"/>
      <c r="G2204" s="68"/>
      <c r="H2204" s="69"/>
      <c r="I2204" s="68"/>
      <c r="J2204" s="70"/>
      <c r="K2204" s="71"/>
      <c r="L2204" s="72"/>
      <c r="M2204" s="73"/>
      <c r="N2204" s="74"/>
      <c r="O2204" s="75"/>
      <c r="P2204" s="2765"/>
      <c r="Q2204" s="2954"/>
      <c r="R2204" s="76"/>
      <c r="S2204" s="1945"/>
      <c r="T2204" s="77"/>
      <c r="U2204" s="1893"/>
      <c r="V2204" s="2079">
        <f t="shared" si="512"/>
        <v>0</v>
      </c>
      <c r="W2204" s="78">
        <f t="shared" si="513"/>
        <v>0</v>
      </c>
      <c r="X2204" s="1878" t="str">
        <f t="shared" si="511"/>
        <v xml:space="preserve">.-   -OT_    </v>
      </c>
      <c r="Z2204" s="19" t="str">
        <f>CONCATENATE(I2207,J2207)</f>
        <v>Sacar_BandaReencauchadora Espinoza</v>
      </c>
    </row>
    <row r="2205" spans="2:26" outlineLevel="1">
      <c r="B2205" s="3322">
        <v>41395</v>
      </c>
      <c r="C2205" s="2">
        <f>1+C2206</f>
        <v>112</v>
      </c>
      <c r="D2205" s="3">
        <v>3</v>
      </c>
      <c r="E2205" s="66">
        <v>1</v>
      </c>
      <c r="F2205" s="123" t="s">
        <v>732</v>
      </c>
      <c r="G2205" s="68" t="s">
        <v>733</v>
      </c>
      <c r="H2205" s="69" t="s">
        <v>1172</v>
      </c>
      <c r="I2205" s="257" t="s">
        <v>740</v>
      </c>
      <c r="J2205" s="92" t="s">
        <v>1543</v>
      </c>
      <c r="K2205" s="71" t="s">
        <v>1641</v>
      </c>
      <c r="L2205" s="72">
        <v>41393</v>
      </c>
      <c r="M2205" s="73" t="s">
        <v>729</v>
      </c>
      <c r="N2205" s="74">
        <v>41400</v>
      </c>
      <c r="O2205" s="75">
        <f>+N2205</f>
        <v>41400</v>
      </c>
      <c r="P2205" s="2765" t="s">
        <v>1642</v>
      </c>
      <c r="Q2205" s="2954"/>
      <c r="R2205" s="76">
        <v>127.12</v>
      </c>
      <c r="S2205" s="1945" t="s">
        <v>731</v>
      </c>
      <c r="T2205" s="77"/>
      <c r="U2205" s="1893"/>
      <c r="V2205" s="2079">
        <f t="shared" si="512"/>
        <v>0</v>
      </c>
      <c r="W2205" s="78">
        <f t="shared" si="513"/>
        <v>150.0016</v>
      </c>
      <c r="X2205" s="1878" t="str">
        <f t="shared" si="511"/>
        <v xml:space="preserve">1.- C Lima Caucho 0300508-OT_001-000749  Transpl Banda 001-003717 </v>
      </c>
      <c r="Z2205" s="19" t="str">
        <f>CONCATENATE(I2208,J2208)</f>
        <v>Sacar_BandaReencauchadora Espinoza</v>
      </c>
    </row>
    <row r="2206" spans="2:26" outlineLevel="1">
      <c r="B2206" s="3323"/>
      <c r="C2206" s="2">
        <f>1+C2209</f>
        <v>111</v>
      </c>
      <c r="D2206" s="3">
        <v>2</v>
      </c>
      <c r="E2206" s="66">
        <v>2</v>
      </c>
      <c r="F2206" s="123" t="s">
        <v>732</v>
      </c>
      <c r="G2206" s="68" t="s">
        <v>737</v>
      </c>
      <c r="H2206" s="69" t="s">
        <v>1489</v>
      </c>
      <c r="I2206" s="257" t="s">
        <v>740</v>
      </c>
      <c r="J2206" s="92" t="s">
        <v>1543</v>
      </c>
      <c r="K2206" s="71" t="s">
        <v>1641</v>
      </c>
      <c r="L2206" s="72">
        <v>41393</v>
      </c>
      <c r="M2206" s="73" t="s">
        <v>729</v>
      </c>
      <c r="N2206" s="74">
        <v>41400</v>
      </c>
      <c r="O2206" s="75">
        <f>+N2206</f>
        <v>41400</v>
      </c>
      <c r="P2206" s="2765" t="s">
        <v>1642</v>
      </c>
      <c r="Q2206" s="2954"/>
      <c r="R2206" s="76">
        <v>127.12</v>
      </c>
      <c r="S2206" s="1945" t="s">
        <v>731</v>
      </c>
      <c r="T2206" s="77"/>
      <c r="U2206" s="1893"/>
      <c r="V2206" s="2079">
        <f t="shared" si="512"/>
        <v>0</v>
      </c>
      <c r="W2206" s="78">
        <f t="shared" si="513"/>
        <v>150.0016</v>
      </c>
      <c r="X2206" s="1878" t="str">
        <f t="shared" si="511"/>
        <v xml:space="preserve">2.- C Vikrant 0650906-OT_001-000749  Transpl Banda 001-003717 </v>
      </c>
      <c r="Z2206" s="19" t="str">
        <f>CONCATENATE(I2209,J2209)</f>
        <v>Vulcanizado (curación)Reencauchadora Espinoza</v>
      </c>
    </row>
    <row r="2207" spans="2:26">
      <c r="B2207" s="3323"/>
      <c r="E2207" s="66">
        <v>3</v>
      </c>
      <c r="F2207" s="123" t="s">
        <v>732</v>
      </c>
      <c r="G2207" s="68" t="s">
        <v>769</v>
      </c>
      <c r="H2207" s="69" t="s">
        <v>1643</v>
      </c>
      <c r="I2207" s="257" t="s">
        <v>744</v>
      </c>
      <c r="J2207" s="92" t="s">
        <v>1543</v>
      </c>
      <c r="K2207" s="71" t="s">
        <v>1641</v>
      </c>
      <c r="L2207" s="72">
        <v>41393</v>
      </c>
      <c r="M2207" s="73" t="s">
        <v>729</v>
      </c>
      <c r="N2207" s="74">
        <v>41400</v>
      </c>
      <c r="O2207" s="75">
        <f>+N2207</f>
        <v>41400</v>
      </c>
      <c r="P2207" s="2765" t="s">
        <v>1642</v>
      </c>
      <c r="Q2207" s="2954"/>
      <c r="R2207" s="76">
        <v>0</v>
      </c>
      <c r="S2207" s="1945" t="s">
        <v>731</v>
      </c>
      <c r="T2207" s="77"/>
      <c r="U2207" s="1893"/>
      <c r="V2207" s="2079">
        <f t="shared" si="512"/>
        <v>0</v>
      </c>
      <c r="W2207" s="78">
        <f t="shared" si="513"/>
        <v>0</v>
      </c>
      <c r="X2207" s="1878" t="str">
        <f t="shared" si="511"/>
        <v xml:space="preserve">3.- C Lu He 0240209-OT_001-000749  Sacar_Banda 001-003717 </v>
      </c>
    </row>
    <row r="2208" spans="2:26" ht="14.25" customHeight="1" outlineLevel="1">
      <c r="B2208" s="3323"/>
      <c r="E2208" s="66">
        <v>4</v>
      </c>
      <c r="F2208" s="123" t="s">
        <v>732</v>
      </c>
      <c r="G2208" s="68" t="s">
        <v>757</v>
      </c>
      <c r="H2208" s="69" t="s">
        <v>1644</v>
      </c>
      <c r="I2208" s="257" t="s">
        <v>744</v>
      </c>
      <c r="J2208" s="92" t="s">
        <v>1543</v>
      </c>
      <c r="K2208" s="71" t="s">
        <v>1641</v>
      </c>
      <c r="L2208" s="72">
        <v>41393</v>
      </c>
      <c r="M2208" s="73" t="s">
        <v>729</v>
      </c>
      <c r="N2208" s="74">
        <v>41400</v>
      </c>
      <c r="O2208" s="75">
        <f>+N2208</f>
        <v>41400</v>
      </c>
      <c r="P2208" s="2765" t="s">
        <v>1642</v>
      </c>
      <c r="Q2208" s="2954"/>
      <c r="R2208" s="76">
        <v>0</v>
      </c>
      <c r="S2208" s="1945" t="s">
        <v>731</v>
      </c>
      <c r="T2208" s="77"/>
      <c r="U2208" s="1893"/>
      <c r="V2208" s="2079">
        <f t="shared" si="512"/>
        <v>0</v>
      </c>
      <c r="W2208" s="78">
        <f t="shared" si="513"/>
        <v>0</v>
      </c>
      <c r="X2208" s="1878" t="str">
        <f t="shared" si="511"/>
        <v xml:space="preserve">4.- C Goodyear 068112002-OT_001-000749  Sacar_Banda 001-003717 </v>
      </c>
      <c r="Z2208" s="19" t="str">
        <f t="shared" ref="Z2208:Z2242" si="522">CONCATENATE(I2211,J2211)</f>
        <v>ReencaucheReencauchadora Espinoza</v>
      </c>
    </row>
    <row r="2209" spans="2:26" ht="15.75" outlineLevel="1" thickBot="1">
      <c r="B2209" s="3324"/>
      <c r="C2209" s="2">
        <f>1+C2211</f>
        <v>110</v>
      </c>
      <c r="D2209" s="3">
        <v>1</v>
      </c>
      <c r="E2209" s="79">
        <v>5</v>
      </c>
      <c r="F2209" s="80" t="s">
        <v>732</v>
      </c>
      <c r="G2209" s="81" t="s">
        <v>733</v>
      </c>
      <c r="H2209" s="82" t="s">
        <v>1645</v>
      </c>
      <c r="I2209" s="262" t="s">
        <v>811</v>
      </c>
      <c r="J2209" s="93" t="s">
        <v>1543</v>
      </c>
      <c r="K2209" s="84" t="s">
        <v>1641</v>
      </c>
      <c r="L2209" s="85">
        <v>41393</v>
      </c>
      <c r="M2209" s="86" t="s">
        <v>729</v>
      </c>
      <c r="N2209" s="87">
        <v>41400</v>
      </c>
      <c r="O2209" s="88">
        <f>+N2209</f>
        <v>41400</v>
      </c>
      <c r="P2209" s="2766" t="s">
        <v>1642</v>
      </c>
      <c r="Q2209" s="2955"/>
      <c r="R2209" s="89">
        <v>105.93</v>
      </c>
      <c r="S2209" s="1946" t="s">
        <v>731</v>
      </c>
      <c r="T2209" s="77" t="s">
        <v>1646</v>
      </c>
      <c r="U2209" s="1893"/>
      <c r="V2209" s="2079">
        <f t="shared" si="512"/>
        <v>0</v>
      </c>
      <c r="W2209" s="78">
        <f t="shared" si="513"/>
        <v>124.9974</v>
      </c>
      <c r="X2209" s="1878" t="str">
        <f t="shared" si="511"/>
        <v>5.- C Lima Caucho 0481112-OT_001-000749  Vulcanizado (curación) 001-003717 Rep x corte en banda (R-160)</v>
      </c>
      <c r="Z2209" s="19" t="str">
        <f t="shared" si="522"/>
        <v>ReencaucheReencauchadora Espinoza</v>
      </c>
    </row>
    <row r="2210" spans="2:26" ht="15.75" outlineLevel="1" thickBot="1">
      <c r="B2210" s="3306">
        <v>41365</v>
      </c>
      <c r="C2210" s="3306"/>
      <c r="D2210" s="258">
        <f>+D2211</f>
        <v>35</v>
      </c>
      <c r="E2210" s="66"/>
      <c r="F2210" s="67"/>
      <c r="G2210" s="68"/>
      <c r="H2210" s="69"/>
      <c r="I2210" s="257"/>
      <c r="J2210" s="92"/>
      <c r="K2210" s="71"/>
      <c r="L2210" s="72"/>
      <c r="M2210" s="73"/>
      <c r="N2210" s="74"/>
      <c r="O2210" s="75"/>
      <c r="P2210" s="2765"/>
      <c r="Q2210" s="2954"/>
      <c r="R2210" s="76"/>
      <c r="S2210" s="1945"/>
      <c r="T2210" s="77"/>
      <c r="U2210" s="1893"/>
      <c r="V2210" s="2079">
        <f t="shared" si="512"/>
        <v>0</v>
      </c>
      <c r="W2210" s="78">
        <f t="shared" si="513"/>
        <v>0</v>
      </c>
      <c r="X2210" s="1878" t="str">
        <f t="shared" ref="X2210:X2273" si="523">CONCATENATE(E2210,".- ",F2210," ",G2210," ",H2210,"-OT_",K2210," "," ",I2210," ",P2210," ",T2210)</f>
        <v xml:space="preserve">.-   -OT_    </v>
      </c>
      <c r="Z2210" s="19" t="str">
        <f t="shared" si="522"/>
        <v>ReencaucheReencauchadora Espinoza</v>
      </c>
    </row>
    <row r="2211" spans="2:26" outlineLevel="1">
      <c r="B2211" s="3274">
        <v>41365</v>
      </c>
      <c r="C2211" s="2">
        <f t="shared" ref="C2211:C2244" si="524">1+C2212</f>
        <v>109</v>
      </c>
      <c r="D2211" s="3">
        <v>35</v>
      </c>
      <c r="E2211" s="66">
        <v>1</v>
      </c>
      <c r="F2211" s="67" t="s">
        <v>723</v>
      </c>
      <c r="G2211" s="68" t="s">
        <v>825</v>
      </c>
      <c r="H2211" s="69" t="s">
        <v>859</v>
      </c>
      <c r="I2211" s="68" t="s">
        <v>726</v>
      </c>
      <c r="J2211" s="70" t="s">
        <v>1543</v>
      </c>
      <c r="K2211" s="71" t="s">
        <v>1647</v>
      </c>
      <c r="L2211" s="72">
        <v>41381</v>
      </c>
      <c r="M2211" s="73" t="s">
        <v>729</v>
      </c>
      <c r="N2211" s="74">
        <v>41386</v>
      </c>
      <c r="O2211" s="75">
        <f t="shared" ref="O2211:O2245" si="525">+N2211</f>
        <v>41386</v>
      </c>
      <c r="P2211" s="2765" t="s">
        <v>1648</v>
      </c>
      <c r="Q2211" s="2954"/>
      <c r="R2211" s="76">
        <v>262.70999999999998</v>
      </c>
      <c r="S2211" s="1945" t="s">
        <v>731</v>
      </c>
      <c r="T2211" s="77"/>
      <c r="U2211" s="1893" t="s">
        <v>694</v>
      </c>
      <c r="V2211" s="2079">
        <f t="shared" ref="V2211:V2274" si="526">+Q2211*(1.18)</f>
        <v>0</v>
      </c>
      <c r="W2211" s="78">
        <f t="shared" ref="W2211:W2274" si="527">+R2211*(1.18)</f>
        <v>309.99779999999998</v>
      </c>
      <c r="X2211" s="1878" t="str">
        <f t="shared" si="523"/>
        <v xml:space="preserve">1.- R Falken 0510611-OT_001-000735  Reencauche 001-003659 </v>
      </c>
      <c r="Z2211" s="19" t="str">
        <f t="shared" si="522"/>
        <v>ReencaucheReencauchadora Espinoza</v>
      </c>
    </row>
    <row r="2212" spans="2:26" outlineLevel="1">
      <c r="B2212" s="3275"/>
      <c r="C2212" s="2">
        <f t="shared" si="524"/>
        <v>108</v>
      </c>
      <c r="D2212" s="3">
        <v>34</v>
      </c>
      <c r="E2212" s="66">
        <v>2</v>
      </c>
      <c r="F2212" s="67" t="s">
        <v>723</v>
      </c>
      <c r="G2212" s="68" t="s">
        <v>825</v>
      </c>
      <c r="H2212" s="69" t="s">
        <v>879</v>
      </c>
      <c r="I2212" s="68" t="s">
        <v>726</v>
      </c>
      <c r="J2212" s="70" t="s">
        <v>1543</v>
      </c>
      <c r="K2212" s="71" t="s">
        <v>1647</v>
      </c>
      <c r="L2212" s="72">
        <v>41381</v>
      </c>
      <c r="M2212" s="73" t="s">
        <v>729</v>
      </c>
      <c r="N2212" s="74">
        <v>41386</v>
      </c>
      <c r="O2212" s="75">
        <f t="shared" si="525"/>
        <v>41386</v>
      </c>
      <c r="P2212" s="2765" t="s">
        <v>1648</v>
      </c>
      <c r="Q2212" s="2954"/>
      <c r="R2212" s="76">
        <v>262.70999999999998</v>
      </c>
      <c r="S2212" s="1945" t="s">
        <v>731</v>
      </c>
      <c r="T2212" s="77"/>
      <c r="U2212" s="1893" t="s">
        <v>694</v>
      </c>
      <c r="V2212" s="2079">
        <f t="shared" si="526"/>
        <v>0</v>
      </c>
      <c r="W2212" s="78">
        <f t="shared" si="527"/>
        <v>309.99779999999998</v>
      </c>
      <c r="X2212" s="1878" t="str">
        <f t="shared" si="523"/>
        <v xml:space="preserve">2.- R Falken 0520611-OT_001-000735  Reencauche 001-003659 </v>
      </c>
      <c r="Z2212" s="19" t="str">
        <f t="shared" si="522"/>
        <v>ReencaucheReencauchadora Espinoza</v>
      </c>
    </row>
    <row r="2213" spans="2:26" outlineLevel="1">
      <c r="B2213" s="3275"/>
      <c r="C2213" s="2">
        <f t="shared" si="524"/>
        <v>107</v>
      </c>
      <c r="D2213" s="3">
        <v>33</v>
      </c>
      <c r="E2213" s="66">
        <v>3</v>
      </c>
      <c r="F2213" s="67" t="s">
        <v>723</v>
      </c>
      <c r="G2213" s="68" t="s">
        <v>825</v>
      </c>
      <c r="H2213" s="69" t="s">
        <v>829</v>
      </c>
      <c r="I2213" s="68" t="s">
        <v>726</v>
      </c>
      <c r="J2213" s="70" t="s">
        <v>1543</v>
      </c>
      <c r="K2213" s="71" t="s">
        <v>1647</v>
      </c>
      <c r="L2213" s="72">
        <v>41381</v>
      </c>
      <c r="M2213" s="73" t="s">
        <v>729</v>
      </c>
      <c r="N2213" s="74">
        <v>41386</v>
      </c>
      <c r="O2213" s="75">
        <f t="shared" si="525"/>
        <v>41386</v>
      </c>
      <c r="P2213" s="2765" t="s">
        <v>1648</v>
      </c>
      <c r="Q2213" s="2954"/>
      <c r="R2213" s="76">
        <v>262.70999999999998</v>
      </c>
      <c r="S2213" s="1945" t="s">
        <v>731</v>
      </c>
      <c r="T2213" s="77"/>
      <c r="U2213" s="1893" t="s">
        <v>694</v>
      </c>
      <c r="V2213" s="2079">
        <f t="shared" si="526"/>
        <v>0</v>
      </c>
      <c r="W2213" s="78">
        <f t="shared" si="527"/>
        <v>309.99779999999998</v>
      </c>
      <c r="X2213" s="1878" t="str">
        <f t="shared" si="523"/>
        <v xml:space="preserve">3.- R Falken 0530611-OT_001-000735  Reencauche 001-003659 </v>
      </c>
      <c r="Z2213" s="19" t="str">
        <f t="shared" si="522"/>
        <v>ReencaucheReencauchadora Espinoza</v>
      </c>
    </row>
    <row r="2214" spans="2:26" outlineLevel="1">
      <c r="B2214" s="3275"/>
      <c r="C2214" s="2">
        <f t="shared" si="524"/>
        <v>106</v>
      </c>
      <c r="D2214" s="3">
        <v>32</v>
      </c>
      <c r="E2214" s="66">
        <v>4</v>
      </c>
      <c r="F2214" s="67" t="s">
        <v>723</v>
      </c>
      <c r="G2214" s="68" t="s">
        <v>825</v>
      </c>
      <c r="H2214" s="69" t="s">
        <v>862</v>
      </c>
      <c r="I2214" s="68" t="s">
        <v>726</v>
      </c>
      <c r="J2214" s="70" t="s">
        <v>1543</v>
      </c>
      <c r="K2214" s="71" t="s">
        <v>1647</v>
      </c>
      <c r="L2214" s="72">
        <v>41381</v>
      </c>
      <c r="M2214" s="73" t="s">
        <v>729</v>
      </c>
      <c r="N2214" s="74">
        <v>41386</v>
      </c>
      <c r="O2214" s="75">
        <f t="shared" si="525"/>
        <v>41386</v>
      </c>
      <c r="P2214" s="2765" t="s">
        <v>1649</v>
      </c>
      <c r="Q2214" s="2954"/>
      <c r="R2214" s="76">
        <v>262.70999999999998</v>
      </c>
      <c r="S2214" s="1945" t="s">
        <v>731</v>
      </c>
      <c r="T2214" s="77"/>
      <c r="U2214" s="1893" t="s">
        <v>694</v>
      </c>
      <c r="V2214" s="2079">
        <f t="shared" si="526"/>
        <v>0</v>
      </c>
      <c r="W2214" s="78">
        <f t="shared" si="527"/>
        <v>309.99779999999998</v>
      </c>
      <c r="X2214" s="1878" t="str">
        <f t="shared" si="523"/>
        <v xml:space="preserve">4.- R Falken 0540611-OT_001-000735  Reencauche 001-003657 </v>
      </c>
      <c r="Z2214" s="19" t="str">
        <f t="shared" si="522"/>
        <v>ReencaucheReencauchadora Espinoza</v>
      </c>
    </row>
    <row r="2215" spans="2:26" outlineLevel="1">
      <c r="B2215" s="3275"/>
      <c r="C2215" s="2">
        <f t="shared" si="524"/>
        <v>105</v>
      </c>
      <c r="D2215" s="3">
        <v>31</v>
      </c>
      <c r="E2215" s="66">
        <v>5</v>
      </c>
      <c r="F2215" s="67" t="s">
        <v>723</v>
      </c>
      <c r="G2215" s="68" t="s">
        <v>825</v>
      </c>
      <c r="H2215" s="69" t="s">
        <v>865</v>
      </c>
      <c r="I2215" s="68" t="s">
        <v>726</v>
      </c>
      <c r="J2215" s="70" t="s">
        <v>1543</v>
      </c>
      <c r="K2215" s="71" t="s">
        <v>1647</v>
      </c>
      <c r="L2215" s="72">
        <v>41381</v>
      </c>
      <c r="M2215" s="73" t="s">
        <v>729</v>
      </c>
      <c r="N2215" s="74">
        <v>41386</v>
      </c>
      <c r="O2215" s="75">
        <f t="shared" si="525"/>
        <v>41386</v>
      </c>
      <c r="P2215" s="2765" t="s">
        <v>1648</v>
      </c>
      <c r="Q2215" s="2954"/>
      <c r="R2215" s="76">
        <v>262.70999999999998</v>
      </c>
      <c r="S2215" s="1945" t="s">
        <v>731</v>
      </c>
      <c r="T2215" s="77"/>
      <c r="U2215" s="1893" t="s">
        <v>694</v>
      </c>
      <c r="V2215" s="2079">
        <f t="shared" si="526"/>
        <v>0</v>
      </c>
      <c r="W2215" s="78">
        <f t="shared" si="527"/>
        <v>309.99779999999998</v>
      </c>
      <c r="X2215" s="1878" t="str">
        <f t="shared" si="523"/>
        <v xml:space="preserve">5.- R Falken 0550611-OT_001-000735  Reencauche 001-003659 </v>
      </c>
      <c r="Z2215" s="19" t="str">
        <f t="shared" si="522"/>
        <v>ReencaucheReencauchadora Espinoza</v>
      </c>
    </row>
    <row r="2216" spans="2:26" outlineLevel="1">
      <c r="B2216" s="3275"/>
      <c r="C2216" s="2">
        <f t="shared" si="524"/>
        <v>104</v>
      </c>
      <c r="D2216" s="3">
        <v>30</v>
      </c>
      <c r="E2216" s="66">
        <v>6</v>
      </c>
      <c r="F2216" s="67" t="s">
        <v>723</v>
      </c>
      <c r="G2216" s="68" t="s">
        <v>825</v>
      </c>
      <c r="H2216" s="69" t="s">
        <v>861</v>
      </c>
      <c r="I2216" s="68" t="s">
        <v>726</v>
      </c>
      <c r="J2216" s="70" t="s">
        <v>1543</v>
      </c>
      <c r="K2216" s="71" t="s">
        <v>1647</v>
      </c>
      <c r="L2216" s="72">
        <v>41381</v>
      </c>
      <c r="M2216" s="73" t="s">
        <v>729</v>
      </c>
      <c r="N2216" s="74">
        <v>41386</v>
      </c>
      <c r="O2216" s="75">
        <f t="shared" si="525"/>
        <v>41386</v>
      </c>
      <c r="P2216" s="2765" t="s">
        <v>1649</v>
      </c>
      <c r="Q2216" s="2954"/>
      <c r="R2216" s="76">
        <v>262.70999999999998</v>
      </c>
      <c r="S2216" s="1945" t="s">
        <v>731</v>
      </c>
      <c r="T2216" s="77"/>
      <c r="U2216" s="1893" t="s">
        <v>694</v>
      </c>
      <c r="V2216" s="2079">
        <f t="shared" si="526"/>
        <v>0</v>
      </c>
      <c r="W2216" s="78">
        <f t="shared" si="527"/>
        <v>309.99779999999998</v>
      </c>
      <c r="X2216" s="1878" t="str">
        <f t="shared" si="523"/>
        <v xml:space="preserve">6.- R Falken 0560611-OT_001-000735  Reencauche 001-003657 </v>
      </c>
      <c r="Z2216" s="19" t="str">
        <f t="shared" si="522"/>
        <v>ReencaucheReencauchadora Espinoza</v>
      </c>
    </row>
    <row r="2217" spans="2:26" outlineLevel="1">
      <c r="B2217" s="3275"/>
      <c r="C2217" s="2">
        <f t="shared" si="524"/>
        <v>103</v>
      </c>
      <c r="D2217" s="3">
        <v>29</v>
      </c>
      <c r="E2217" s="66">
        <v>7</v>
      </c>
      <c r="F2217" s="67" t="s">
        <v>723</v>
      </c>
      <c r="G2217" s="68" t="s">
        <v>825</v>
      </c>
      <c r="H2217" s="69" t="s">
        <v>863</v>
      </c>
      <c r="I2217" s="68" t="s">
        <v>726</v>
      </c>
      <c r="J2217" s="70" t="s">
        <v>1543</v>
      </c>
      <c r="K2217" s="71" t="s">
        <v>1647</v>
      </c>
      <c r="L2217" s="72">
        <v>41381</v>
      </c>
      <c r="M2217" s="73" t="s">
        <v>729</v>
      </c>
      <c r="N2217" s="74">
        <v>41386</v>
      </c>
      <c r="O2217" s="75">
        <f t="shared" si="525"/>
        <v>41386</v>
      </c>
      <c r="P2217" s="2765" t="s">
        <v>1648</v>
      </c>
      <c r="Q2217" s="2954"/>
      <c r="R2217" s="76">
        <v>262.70999999999998</v>
      </c>
      <c r="S2217" s="1945" t="s">
        <v>731</v>
      </c>
      <c r="T2217" s="77"/>
      <c r="U2217" s="1893" t="s">
        <v>694</v>
      </c>
      <c r="V2217" s="2079">
        <f t="shared" si="526"/>
        <v>0</v>
      </c>
      <c r="W2217" s="78">
        <f t="shared" si="527"/>
        <v>309.99779999999998</v>
      </c>
      <c r="X2217" s="1878" t="str">
        <f t="shared" si="523"/>
        <v xml:space="preserve">7.- R Falken 0580611-OT_001-000735  Reencauche 001-003659 </v>
      </c>
      <c r="Z2217" s="19" t="str">
        <f t="shared" si="522"/>
        <v>ReencaucheReencauchadora Espinoza</v>
      </c>
    </row>
    <row r="2218" spans="2:26" outlineLevel="1">
      <c r="B2218" s="3275"/>
      <c r="C2218" s="2">
        <f t="shared" si="524"/>
        <v>102</v>
      </c>
      <c r="D2218" s="3">
        <v>28</v>
      </c>
      <c r="E2218" s="66">
        <v>8</v>
      </c>
      <c r="F2218" s="67" t="s">
        <v>723</v>
      </c>
      <c r="G2218" s="68" t="s">
        <v>825</v>
      </c>
      <c r="H2218" s="69" t="s">
        <v>880</v>
      </c>
      <c r="I2218" s="68" t="s">
        <v>726</v>
      </c>
      <c r="J2218" s="70" t="s">
        <v>1543</v>
      </c>
      <c r="K2218" s="71" t="s">
        <v>1647</v>
      </c>
      <c r="L2218" s="72">
        <v>41381</v>
      </c>
      <c r="M2218" s="73" t="s">
        <v>729</v>
      </c>
      <c r="N2218" s="74">
        <v>41386</v>
      </c>
      <c r="O2218" s="75">
        <f t="shared" si="525"/>
        <v>41386</v>
      </c>
      <c r="P2218" s="2765" t="s">
        <v>1649</v>
      </c>
      <c r="Q2218" s="2954"/>
      <c r="R2218" s="76">
        <v>262.70999999999998</v>
      </c>
      <c r="S2218" s="1945" t="s">
        <v>731</v>
      </c>
      <c r="T2218" s="77"/>
      <c r="U2218" s="1893" t="s">
        <v>694</v>
      </c>
      <c r="V2218" s="2079">
        <f t="shared" si="526"/>
        <v>0</v>
      </c>
      <c r="W2218" s="78">
        <f t="shared" si="527"/>
        <v>309.99779999999998</v>
      </c>
      <c r="X2218" s="1878" t="str">
        <f t="shared" si="523"/>
        <v xml:space="preserve">8.- R Falken 0590611-OT_001-000735  Reencauche 001-003657 </v>
      </c>
      <c r="Z2218" s="19" t="str">
        <f t="shared" si="522"/>
        <v>ReencaucheReencauchadora RENOVA</v>
      </c>
    </row>
    <row r="2219" spans="2:26" outlineLevel="1">
      <c r="B2219" s="3275"/>
      <c r="C2219" s="2">
        <f t="shared" si="524"/>
        <v>101</v>
      </c>
      <c r="D2219" s="3">
        <v>27</v>
      </c>
      <c r="E2219" s="66">
        <v>9</v>
      </c>
      <c r="F2219" s="67" t="s">
        <v>723</v>
      </c>
      <c r="G2219" s="68" t="s">
        <v>825</v>
      </c>
      <c r="H2219" s="69" t="s">
        <v>864</v>
      </c>
      <c r="I2219" s="68" t="s">
        <v>726</v>
      </c>
      <c r="J2219" s="70" t="s">
        <v>1543</v>
      </c>
      <c r="K2219" s="71" t="s">
        <v>1647</v>
      </c>
      <c r="L2219" s="72">
        <v>41381</v>
      </c>
      <c r="M2219" s="73" t="s">
        <v>729</v>
      </c>
      <c r="N2219" s="74">
        <v>41386</v>
      </c>
      <c r="O2219" s="75">
        <f t="shared" si="525"/>
        <v>41386</v>
      </c>
      <c r="P2219" s="2765" t="s">
        <v>1649</v>
      </c>
      <c r="Q2219" s="2954"/>
      <c r="R2219" s="76">
        <v>262.70999999999998</v>
      </c>
      <c r="S2219" s="1945" t="s">
        <v>731</v>
      </c>
      <c r="T2219" s="77"/>
      <c r="U2219" s="1893" t="s">
        <v>694</v>
      </c>
      <c r="V2219" s="2079">
        <f t="shared" si="526"/>
        <v>0</v>
      </c>
      <c r="W2219" s="78">
        <f t="shared" si="527"/>
        <v>309.99779999999998</v>
      </c>
      <c r="X2219" s="1878" t="str">
        <f t="shared" si="523"/>
        <v xml:space="preserve">9.- R Falken 0600611-OT_001-000735  Reencauche 001-003657 </v>
      </c>
      <c r="Z2219" s="19" t="str">
        <f t="shared" si="522"/>
        <v>ReencaucheReencauchadora RENOVA</v>
      </c>
    </row>
    <row r="2220" spans="2:26" outlineLevel="1">
      <c r="B2220" s="3275"/>
      <c r="C2220" s="2">
        <f t="shared" si="524"/>
        <v>100</v>
      </c>
      <c r="D2220" s="3">
        <v>26</v>
      </c>
      <c r="E2220" s="79">
        <v>10</v>
      </c>
      <c r="F2220" s="80" t="s">
        <v>723</v>
      </c>
      <c r="G2220" s="81" t="s">
        <v>825</v>
      </c>
      <c r="H2220" s="82" t="s">
        <v>826</v>
      </c>
      <c r="I2220" s="81" t="s">
        <v>726</v>
      </c>
      <c r="J2220" s="83" t="s">
        <v>1543</v>
      </c>
      <c r="K2220" s="84" t="s">
        <v>1647</v>
      </c>
      <c r="L2220" s="85">
        <v>41381</v>
      </c>
      <c r="M2220" s="86" t="s">
        <v>729</v>
      </c>
      <c r="N2220" s="87">
        <v>41386</v>
      </c>
      <c r="O2220" s="88">
        <f t="shared" si="525"/>
        <v>41386</v>
      </c>
      <c r="P2220" s="2766" t="s">
        <v>1649</v>
      </c>
      <c r="Q2220" s="2955"/>
      <c r="R2220" s="89">
        <v>262.70999999999998</v>
      </c>
      <c r="S2220" s="1946" t="s">
        <v>731</v>
      </c>
      <c r="T2220" s="77" t="s">
        <v>1650</v>
      </c>
      <c r="U2220" s="1893" t="s">
        <v>694</v>
      </c>
      <c r="V2220" s="2079">
        <f t="shared" si="526"/>
        <v>0</v>
      </c>
      <c r="W2220" s="78">
        <f t="shared" si="527"/>
        <v>309.99779999999998</v>
      </c>
      <c r="X2220" s="1878" t="str">
        <f t="shared" si="523"/>
        <v>10.- R Falken 0570611-OT_001-000735  Reencauche 001-003657 Codicionada, por falla . Corte profundo</v>
      </c>
      <c r="Z2220" s="19" t="str">
        <f t="shared" si="522"/>
        <v>ReencaucheReencauchadora RENOVA</v>
      </c>
    </row>
    <row r="2221" spans="2:26" outlineLevel="1">
      <c r="B2221" s="3275"/>
      <c r="C2221" s="2">
        <f t="shared" si="524"/>
        <v>99</v>
      </c>
      <c r="D2221" s="3">
        <v>25</v>
      </c>
      <c r="E2221" s="66">
        <v>1</v>
      </c>
      <c r="F2221" s="67" t="s">
        <v>732</v>
      </c>
      <c r="G2221" s="68" t="s">
        <v>733</v>
      </c>
      <c r="H2221" s="69" t="s">
        <v>1651</v>
      </c>
      <c r="I2221" s="68" t="s">
        <v>726</v>
      </c>
      <c r="J2221" s="70" t="s">
        <v>760</v>
      </c>
      <c r="K2221" s="71" t="s">
        <v>1652</v>
      </c>
      <c r="L2221" s="72">
        <v>41373</v>
      </c>
      <c r="M2221" s="73" t="s">
        <v>729</v>
      </c>
      <c r="N2221" s="74">
        <v>41382</v>
      </c>
      <c r="O2221" s="75">
        <f t="shared" si="525"/>
        <v>41382</v>
      </c>
      <c r="P2221" s="2765" t="s">
        <v>1653</v>
      </c>
      <c r="Q2221" s="2954"/>
      <c r="R2221" s="76">
        <v>281.49</v>
      </c>
      <c r="S2221" s="1945" t="s">
        <v>731</v>
      </c>
      <c r="T2221" s="77"/>
      <c r="U2221" s="1893"/>
      <c r="V2221" s="2079">
        <f t="shared" si="526"/>
        <v>0</v>
      </c>
      <c r="W2221" s="78">
        <f t="shared" si="527"/>
        <v>332.15819999999997</v>
      </c>
      <c r="X2221" s="1878" t="str">
        <f t="shared" si="523"/>
        <v xml:space="preserve">1.- C Lima Caucho 1461207-OT_182402  Reencauche 030-0026693 </v>
      </c>
      <c r="Z2221" s="19" t="str">
        <f t="shared" si="522"/>
        <v>ReencaucheReencauchadora RENOVA</v>
      </c>
    </row>
    <row r="2222" spans="2:26" outlineLevel="1">
      <c r="B2222" s="3275"/>
      <c r="C2222" s="2">
        <f t="shared" si="524"/>
        <v>98</v>
      </c>
      <c r="D2222" s="3">
        <v>24</v>
      </c>
      <c r="E2222" s="66">
        <v>2</v>
      </c>
      <c r="F2222" s="67" t="s">
        <v>732</v>
      </c>
      <c r="G2222" s="68" t="s">
        <v>733</v>
      </c>
      <c r="H2222" s="69" t="s">
        <v>789</v>
      </c>
      <c r="I2222" s="68" t="s">
        <v>726</v>
      </c>
      <c r="J2222" s="70" t="s">
        <v>760</v>
      </c>
      <c r="K2222" s="71" t="s">
        <v>1652</v>
      </c>
      <c r="L2222" s="72">
        <v>41373</v>
      </c>
      <c r="M2222" s="73" t="s">
        <v>729</v>
      </c>
      <c r="N2222" s="74">
        <v>41382</v>
      </c>
      <c r="O2222" s="75">
        <f t="shared" si="525"/>
        <v>41382</v>
      </c>
      <c r="P2222" s="2765" t="s">
        <v>1653</v>
      </c>
      <c r="Q2222" s="2954"/>
      <c r="R2222" s="76">
        <v>281.49</v>
      </c>
      <c r="S2222" s="1945" t="s">
        <v>731</v>
      </c>
      <c r="T2222" s="77"/>
      <c r="U2222" s="1893"/>
      <c r="V2222" s="2079">
        <f t="shared" si="526"/>
        <v>0</v>
      </c>
      <c r="W2222" s="78">
        <f t="shared" si="527"/>
        <v>332.15819999999997</v>
      </c>
      <c r="X2222" s="1878" t="str">
        <f t="shared" si="523"/>
        <v xml:space="preserve">2.- C Lima Caucho 00120108-OT_182402  Reencauche 030-0026693 </v>
      </c>
      <c r="Z2222" s="19" t="str">
        <f t="shared" si="522"/>
        <v>ReencaucheReencauchadora RENOVA</v>
      </c>
    </row>
    <row r="2223" spans="2:26" outlineLevel="1">
      <c r="B2223" s="3275"/>
      <c r="C2223" s="2">
        <f t="shared" si="524"/>
        <v>97</v>
      </c>
      <c r="D2223" s="3">
        <v>23</v>
      </c>
      <c r="E2223" s="66">
        <v>3</v>
      </c>
      <c r="F2223" s="67" t="s">
        <v>732</v>
      </c>
      <c r="G2223" s="68" t="s">
        <v>733</v>
      </c>
      <c r="H2223" s="69" t="s">
        <v>847</v>
      </c>
      <c r="I2223" s="68" t="s">
        <v>726</v>
      </c>
      <c r="J2223" s="70" t="s">
        <v>760</v>
      </c>
      <c r="K2223" s="71" t="s">
        <v>1652</v>
      </c>
      <c r="L2223" s="72">
        <v>41373</v>
      </c>
      <c r="M2223" s="73" t="s">
        <v>729</v>
      </c>
      <c r="N2223" s="74">
        <v>41382</v>
      </c>
      <c r="O2223" s="75">
        <f t="shared" si="525"/>
        <v>41382</v>
      </c>
      <c r="P2223" s="2765" t="s">
        <v>1653</v>
      </c>
      <c r="Q2223" s="2954"/>
      <c r="R2223" s="76">
        <v>281.49</v>
      </c>
      <c r="S2223" s="1945" t="s">
        <v>731</v>
      </c>
      <c r="T2223" s="77"/>
      <c r="U2223" s="1893"/>
      <c r="V2223" s="2079">
        <f t="shared" si="526"/>
        <v>0</v>
      </c>
      <c r="W2223" s="78">
        <f t="shared" si="527"/>
        <v>332.15819999999997</v>
      </c>
      <c r="X2223" s="1878" t="str">
        <f t="shared" si="523"/>
        <v xml:space="preserve">3.- C Lima Caucho 1061208-OT_182402  Reencauche 030-0026693 </v>
      </c>
      <c r="Z2223" s="19" t="str">
        <f t="shared" si="522"/>
        <v>ReencaucheReencauchadora RENOVA</v>
      </c>
    </row>
    <row r="2224" spans="2:26" outlineLevel="1">
      <c r="B2224" s="3275"/>
      <c r="C2224" s="2">
        <f t="shared" si="524"/>
        <v>96</v>
      </c>
      <c r="D2224" s="3">
        <v>22</v>
      </c>
      <c r="E2224" s="66">
        <v>4</v>
      </c>
      <c r="F2224" s="67" t="s">
        <v>732</v>
      </c>
      <c r="G2224" s="68" t="s">
        <v>733</v>
      </c>
      <c r="H2224" s="69" t="s">
        <v>1132</v>
      </c>
      <c r="I2224" s="68" t="s">
        <v>726</v>
      </c>
      <c r="J2224" s="70" t="s">
        <v>760</v>
      </c>
      <c r="K2224" s="71" t="s">
        <v>1652</v>
      </c>
      <c r="L2224" s="72">
        <v>41373</v>
      </c>
      <c r="M2224" s="73" t="s">
        <v>729</v>
      </c>
      <c r="N2224" s="74">
        <v>41382</v>
      </c>
      <c r="O2224" s="75">
        <f t="shared" si="525"/>
        <v>41382</v>
      </c>
      <c r="P2224" s="2765" t="s">
        <v>1653</v>
      </c>
      <c r="Q2224" s="2954"/>
      <c r="R2224" s="76">
        <v>281.49</v>
      </c>
      <c r="S2224" s="1945" t="s">
        <v>731</v>
      </c>
      <c r="T2224" s="77"/>
      <c r="U2224" s="1893"/>
      <c r="V2224" s="2079">
        <f t="shared" si="526"/>
        <v>0</v>
      </c>
      <c r="W2224" s="78">
        <f t="shared" si="527"/>
        <v>332.15819999999997</v>
      </c>
      <c r="X2224" s="1878" t="str">
        <f t="shared" si="523"/>
        <v xml:space="preserve">4.- C Lima Caucho 0620808-OT_182402  Reencauche 030-0026693 </v>
      </c>
      <c r="Z2224" s="19" t="str">
        <f t="shared" si="522"/>
        <v>ReencaucheReencauchadora RENOVA</v>
      </c>
    </row>
    <row r="2225" spans="2:26" outlineLevel="1">
      <c r="B2225" s="3275"/>
      <c r="C2225" s="2">
        <f t="shared" si="524"/>
        <v>95</v>
      </c>
      <c r="D2225" s="3">
        <v>21</v>
      </c>
      <c r="E2225" s="66">
        <v>5</v>
      </c>
      <c r="F2225" s="67" t="s">
        <v>732</v>
      </c>
      <c r="G2225" s="68" t="s">
        <v>733</v>
      </c>
      <c r="H2225" s="69" t="s">
        <v>1654</v>
      </c>
      <c r="I2225" s="68" t="s">
        <v>726</v>
      </c>
      <c r="J2225" s="70" t="s">
        <v>760</v>
      </c>
      <c r="K2225" s="71" t="s">
        <v>1652</v>
      </c>
      <c r="L2225" s="72">
        <v>41373</v>
      </c>
      <c r="M2225" s="73" t="s">
        <v>729</v>
      </c>
      <c r="N2225" s="74">
        <v>41382</v>
      </c>
      <c r="O2225" s="75">
        <f t="shared" si="525"/>
        <v>41382</v>
      </c>
      <c r="P2225" s="2765" t="s">
        <v>1653</v>
      </c>
      <c r="Q2225" s="2954"/>
      <c r="R2225" s="76">
        <v>281.49</v>
      </c>
      <c r="S2225" s="1945" t="s">
        <v>731</v>
      </c>
      <c r="T2225" s="77"/>
      <c r="U2225" s="1893"/>
      <c r="V2225" s="2079">
        <f t="shared" si="526"/>
        <v>0</v>
      </c>
      <c r="W2225" s="78">
        <f t="shared" si="527"/>
        <v>332.15819999999997</v>
      </c>
      <c r="X2225" s="1878" t="str">
        <f t="shared" si="523"/>
        <v xml:space="preserve">5.- C Lima Caucho 0490807-OT_182402  Reencauche 030-0026693 </v>
      </c>
      <c r="Z2225" s="19" t="str">
        <f t="shared" si="522"/>
        <v>ReencaucheReencauchadora RENOVA</v>
      </c>
    </row>
    <row r="2226" spans="2:26" outlineLevel="1">
      <c r="B2226" s="3275"/>
      <c r="C2226" s="2">
        <f t="shared" si="524"/>
        <v>94</v>
      </c>
      <c r="D2226" s="3">
        <v>20</v>
      </c>
      <c r="E2226" s="66">
        <v>6</v>
      </c>
      <c r="F2226" s="67" t="s">
        <v>732</v>
      </c>
      <c r="G2226" s="68" t="s">
        <v>737</v>
      </c>
      <c r="H2226" s="69" t="s">
        <v>1261</v>
      </c>
      <c r="I2226" s="68" t="s">
        <v>726</v>
      </c>
      <c r="J2226" s="70" t="s">
        <v>760</v>
      </c>
      <c r="K2226" s="71" t="s">
        <v>1655</v>
      </c>
      <c r="L2226" s="72">
        <v>41373</v>
      </c>
      <c r="M2226" s="73" t="s">
        <v>729</v>
      </c>
      <c r="N2226" s="74">
        <v>41382</v>
      </c>
      <c r="O2226" s="75">
        <f t="shared" si="525"/>
        <v>41382</v>
      </c>
      <c r="P2226" s="2765" t="s">
        <v>1653</v>
      </c>
      <c r="Q2226" s="2954"/>
      <c r="R2226" s="76">
        <v>281.49</v>
      </c>
      <c r="S2226" s="1945" t="s">
        <v>731</v>
      </c>
      <c r="T2226" s="77"/>
      <c r="U2226" s="1893"/>
      <c r="V2226" s="2079">
        <f t="shared" si="526"/>
        <v>0</v>
      </c>
      <c r="W2226" s="78">
        <f t="shared" si="527"/>
        <v>332.15819999999997</v>
      </c>
      <c r="X2226" s="1878" t="str">
        <f t="shared" si="523"/>
        <v xml:space="preserve">6.- C Vikrant 0730906-OT_182403  Reencauche 030-0026693 </v>
      </c>
      <c r="Z2226" s="19" t="str">
        <f t="shared" si="522"/>
        <v>ReencaucheReencauchadora RENOVA</v>
      </c>
    </row>
    <row r="2227" spans="2:26" outlineLevel="1">
      <c r="B2227" s="3275"/>
      <c r="C2227" s="2">
        <f t="shared" si="524"/>
        <v>93</v>
      </c>
      <c r="D2227" s="3">
        <v>19</v>
      </c>
      <c r="E2227" s="66">
        <v>7</v>
      </c>
      <c r="F2227" s="67" t="s">
        <v>732</v>
      </c>
      <c r="G2227" s="68" t="s">
        <v>737</v>
      </c>
      <c r="H2227" s="69" t="s">
        <v>1242</v>
      </c>
      <c r="I2227" s="68" t="s">
        <v>726</v>
      </c>
      <c r="J2227" s="70" t="s">
        <v>760</v>
      </c>
      <c r="K2227" s="71" t="s">
        <v>1655</v>
      </c>
      <c r="L2227" s="72">
        <v>41373</v>
      </c>
      <c r="M2227" s="73" t="s">
        <v>729</v>
      </c>
      <c r="N2227" s="74">
        <v>41382</v>
      </c>
      <c r="O2227" s="75">
        <f t="shared" si="525"/>
        <v>41382</v>
      </c>
      <c r="P2227" s="2765" t="s">
        <v>1653</v>
      </c>
      <c r="Q2227" s="2954"/>
      <c r="R2227" s="76">
        <v>281.49</v>
      </c>
      <c r="S2227" s="1945" t="s">
        <v>731</v>
      </c>
      <c r="T2227" s="77"/>
      <c r="U2227" s="1893"/>
      <c r="V2227" s="2079">
        <f t="shared" si="526"/>
        <v>0</v>
      </c>
      <c r="W2227" s="78">
        <f t="shared" si="527"/>
        <v>332.15819999999997</v>
      </c>
      <c r="X2227" s="1878" t="str">
        <f t="shared" si="523"/>
        <v xml:space="preserve">7.- C Vikrant 0080109-OT_182403  Reencauche 030-0026693 </v>
      </c>
      <c r="Z2227" s="19" t="str">
        <f t="shared" si="522"/>
        <v>ReencaucheReencauchadora RENOVA</v>
      </c>
    </row>
    <row r="2228" spans="2:26" outlineLevel="1">
      <c r="B2228" s="3275"/>
      <c r="C2228" s="2">
        <f t="shared" si="524"/>
        <v>92</v>
      </c>
      <c r="D2228" s="3">
        <v>18</v>
      </c>
      <c r="E2228" s="66">
        <v>8</v>
      </c>
      <c r="F2228" s="67" t="s">
        <v>732</v>
      </c>
      <c r="G2228" s="68" t="s">
        <v>737</v>
      </c>
      <c r="H2228" s="69" t="s">
        <v>1656</v>
      </c>
      <c r="I2228" s="68" t="s">
        <v>726</v>
      </c>
      <c r="J2228" s="70" t="s">
        <v>760</v>
      </c>
      <c r="K2228" s="71" t="s">
        <v>1655</v>
      </c>
      <c r="L2228" s="72">
        <v>41373</v>
      </c>
      <c r="M2228" s="73" t="s">
        <v>729</v>
      </c>
      <c r="N2228" s="74">
        <v>41382</v>
      </c>
      <c r="O2228" s="75">
        <f t="shared" si="525"/>
        <v>41382</v>
      </c>
      <c r="P2228" s="2765" t="s">
        <v>1653</v>
      </c>
      <c r="Q2228" s="2954"/>
      <c r="R2228" s="76">
        <v>281.49</v>
      </c>
      <c r="S2228" s="1945" t="s">
        <v>731</v>
      </c>
      <c r="T2228" s="77"/>
      <c r="U2228" s="1893"/>
      <c r="V2228" s="2079">
        <f t="shared" si="526"/>
        <v>0</v>
      </c>
      <c r="W2228" s="78">
        <f t="shared" si="527"/>
        <v>332.15819999999997</v>
      </c>
      <c r="X2228" s="1878" t="str">
        <f t="shared" si="523"/>
        <v xml:space="preserve">8.- C Vikrant 1491105-OT_182403  Reencauche 030-0026693 </v>
      </c>
      <c r="Z2228" s="19" t="str">
        <f t="shared" si="522"/>
        <v>ReencaucheReencauchadora RENOVA</v>
      </c>
    </row>
    <row r="2229" spans="2:26" outlineLevel="1">
      <c r="B2229" s="3275"/>
      <c r="C2229" s="2">
        <f t="shared" si="524"/>
        <v>91</v>
      </c>
      <c r="D2229" s="3">
        <v>17</v>
      </c>
      <c r="E2229" s="66">
        <v>9</v>
      </c>
      <c r="F2229" s="67" t="s">
        <v>732</v>
      </c>
      <c r="G2229" s="68" t="s">
        <v>737</v>
      </c>
      <c r="H2229" s="69" t="s">
        <v>1657</v>
      </c>
      <c r="I2229" s="68" t="s">
        <v>726</v>
      </c>
      <c r="J2229" s="70" t="s">
        <v>760</v>
      </c>
      <c r="K2229" s="71" t="s">
        <v>1655</v>
      </c>
      <c r="L2229" s="72">
        <v>41373</v>
      </c>
      <c r="M2229" s="73" t="s">
        <v>729</v>
      </c>
      <c r="N2229" s="74">
        <v>41382</v>
      </c>
      <c r="O2229" s="75">
        <f t="shared" si="525"/>
        <v>41382</v>
      </c>
      <c r="P2229" s="2765" t="s">
        <v>1653</v>
      </c>
      <c r="Q2229" s="2954"/>
      <c r="R2229" s="76">
        <v>281.49</v>
      </c>
      <c r="S2229" s="1945" t="s">
        <v>731</v>
      </c>
      <c r="T2229" s="77"/>
      <c r="U2229" s="1893"/>
      <c r="V2229" s="2079">
        <f t="shared" si="526"/>
        <v>0</v>
      </c>
      <c r="W2229" s="78">
        <f t="shared" si="527"/>
        <v>332.15819999999997</v>
      </c>
      <c r="X2229" s="1878" t="str">
        <f t="shared" si="523"/>
        <v xml:space="preserve">9.- C Vikrant 0500709-OT_182403  Reencauche 030-0026693 </v>
      </c>
      <c r="Z2229" s="19" t="str">
        <f t="shared" si="522"/>
        <v>ReencaucheReencauchadora RENOVA</v>
      </c>
    </row>
    <row r="2230" spans="2:26" outlineLevel="1">
      <c r="B2230" s="3275"/>
      <c r="C2230" s="2">
        <f t="shared" si="524"/>
        <v>90</v>
      </c>
      <c r="D2230" s="3">
        <v>16</v>
      </c>
      <c r="E2230" s="66">
        <v>10</v>
      </c>
      <c r="F2230" s="67" t="s">
        <v>732</v>
      </c>
      <c r="G2230" s="68" t="s">
        <v>733</v>
      </c>
      <c r="H2230" s="69" t="s">
        <v>992</v>
      </c>
      <c r="I2230" s="68" t="s">
        <v>726</v>
      </c>
      <c r="J2230" s="70" t="s">
        <v>760</v>
      </c>
      <c r="K2230" s="71" t="s">
        <v>1658</v>
      </c>
      <c r="L2230" s="72">
        <v>41373</v>
      </c>
      <c r="M2230" s="73" t="s">
        <v>729</v>
      </c>
      <c r="N2230" s="74">
        <v>41382</v>
      </c>
      <c r="O2230" s="75">
        <f t="shared" si="525"/>
        <v>41382</v>
      </c>
      <c r="P2230" s="2765" t="s">
        <v>1653</v>
      </c>
      <c r="Q2230" s="2954"/>
      <c r="R2230" s="76">
        <v>281.49</v>
      </c>
      <c r="S2230" s="1945" t="s">
        <v>731</v>
      </c>
      <c r="T2230" s="77"/>
      <c r="U2230" s="1893"/>
      <c r="V2230" s="2079">
        <f t="shared" si="526"/>
        <v>0</v>
      </c>
      <c r="W2230" s="78">
        <f t="shared" si="527"/>
        <v>332.15819999999997</v>
      </c>
      <c r="X2230" s="1878" t="str">
        <f t="shared" si="523"/>
        <v xml:space="preserve">10.- C Lima Caucho 1191107-OT_182404  Reencauche 030-0026693 </v>
      </c>
      <c r="Z2230" s="19" t="str">
        <f t="shared" si="522"/>
        <v>ReencaucheReencauchadora RENOVA</v>
      </c>
    </row>
    <row r="2231" spans="2:26" outlineLevel="1">
      <c r="B2231" s="3275"/>
      <c r="C2231" s="2">
        <f t="shared" si="524"/>
        <v>89</v>
      </c>
      <c r="D2231" s="3">
        <v>15</v>
      </c>
      <c r="E2231" s="66">
        <v>11</v>
      </c>
      <c r="F2231" s="67" t="s">
        <v>732</v>
      </c>
      <c r="G2231" s="68" t="s">
        <v>733</v>
      </c>
      <c r="H2231" s="69" t="s">
        <v>1659</v>
      </c>
      <c r="I2231" s="68" t="s">
        <v>726</v>
      </c>
      <c r="J2231" s="70" t="s">
        <v>760</v>
      </c>
      <c r="K2231" s="71" t="s">
        <v>1652</v>
      </c>
      <c r="L2231" s="72">
        <v>41373</v>
      </c>
      <c r="M2231" s="73" t="s">
        <v>729</v>
      </c>
      <c r="N2231" s="74">
        <v>41382</v>
      </c>
      <c r="O2231" s="75">
        <f t="shared" si="525"/>
        <v>41382</v>
      </c>
      <c r="P2231" s="2765" t="s">
        <v>1660</v>
      </c>
      <c r="Q2231" s="2954"/>
      <c r="R2231" s="76">
        <v>281.49</v>
      </c>
      <c r="S2231" s="1945" t="s">
        <v>731</v>
      </c>
      <c r="T2231" s="77"/>
      <c r="U2231" s="1893"/>
      <c r="V2231" s="2079">
        <f t="shared" si="526"/>
        <v>0</v>
      </c>
      <c r="W2231" s="78">
        <f t="shared" si="527"/>
        <v>332.15819999999997</v>
      </c>
      <c r="X2231" s="1878" t="str">
        <f t="shared" si="523"/>
        <v xml:space="preserve">11.- C Lima Caucho 0330508-OT_182402  Reencauche 030-0026692 </v>
      </c>
      <c r="Z2231" s="19" t="str">
        <f t="shared" si="522"/>
        <v>ReencaucheReencauchadora RENOVA</v>
      </c>
    </row>
    <row r="2232" spans="2:26" outlineLevel="1">
      <c r="B2232" s="3275"/>
      <c r="C2232" s="2">
        <f t="shared" si="524"/>
        <v>88</v>
      </c>
      <c r="D2232" s="3">
        <v>14</v>
      </c>
      <c r="E2232" s="66">
        <v>12</v>
      </c>
      <c r="F2232" s="67" t="s">
        <v>732</v>
      </c>
      <c r="G2232" s="68" t="s">
        <v>733</v>
      </c>
      <c r="H2232" s="69" t="s">
        <v>1661</v>
      </c>
      <c r="I2232" s="68" t="s">
        <v>726</v>
      </c>
      <c r="J2232" s="70" t="s">
        <v>760</v>
      </c>
      <c r="K2232" s="71" t="s">
        <v>1652</v>
      </c>
      <c r="L2232" s="72">
        <v>41373</v>
      </c>
      <c r="M2232" s="73" t="s">
        <v>729</v>
      </c>
      <c r="N2232" s="74">
        <v>41382</v>
      </c>
      <c r="O2232" s="75">
        <f t="shared" si="525"/>
        <v>41382</v>
      </c>
      <c r="P2232" s="2765" t="s">
        <v>1660</v>
      </c>
      <c r="Q2232" s="2954"/>
      <c r="R2232" s="76">
        <v>281.49</v>
      </c>
      <c r="S2232" s="1945" t="s">
        <v>731</v>
      </c>
      <c r="T2232" s="77"/>
      <c r="U2232" s="1893"/>
      <c r="V2232" s="2079">
        <f t="shared" si="526"/>
        <v>0</v>
      </c>
      <c r="W2232" s="78">
        <f t="shared" si="527"/>
        <v>332.15819999999997</v>
      </c>
      <c r="X2232" s="1878" t="str">
        <f t="shared" si="523"/>
        <v xml:space="preserve">12.- C Lima Caucho 0730910-OT_182402  Reencauche 030-0026692 </v>
      </c>
      <c r="Z2232" s="19" t="str">
        <f t="shared" si="522"/>
        <v>ReencaucheReencauchadora RENOVA</v>
      </c>
    </row>
    <row r="2233" spans="2:26" outlineLevel="1">
      <c r="B2233" s="3275"/>
      <c r="C2233" s="2">
        <f t="shared" si="524"/>
        <v>87</v>
      </c>
      <c r="D2233" s="3">
        <v>13</v>
      </c>
      <c r="E2233" s="66">
        <v>13</v>
      </c>
      <c r="F2233" s="67" t="s">
        <v>732</v>
      </c>
      <c r="G2233" s="68" t="s">
        <v>733</v>
      </c>
      <c r="H2233" s="69" t="s">
        <v>1662</v>
      </c>
      <c r="I2233" s="68" t="s">
        <v>726</v>
      </c>
      <c r="J2233" s="70" t="s">
        <v>760</v>
      </c>
      <c r="K2233" s="71" t="s">
        <v>1652</v>
      </c>
      <c r="L2233" s="72">
        <v>41373</v>
      </c>
      <c r="M2233" s="73" t="s">
        <v>729</v>
      </c>
      <c r="N2233" s="74">
        <v>41382</v>
      </c>
      <c r="O2233" s="75">
        <f t="shared" si="525"/>
        <v>41382</v>
      </c>
      <c r="P2233" s="2765" t="s">
        <v>1660</v>
      </c>
      <c r="Q2233" s="2954"/>
      <c r="R2233" s="76">
        <v>281.49</v>
      </c>
      <c r="S2233" s="1945" t="s">
        <v>731</v>
      </c>
      <c r="T2233" s="77"/>
      <c r="U2233" s="1893"/>
      <c r="V2233" s="2079">
        <f t="shared" si="526"/>
        <v>0</v>
      </c>
      <c r="W2233" s="78">
        <f t="shared" si="527"/>
        <v>332.15819999999997</v>
      </c>
      <c r="X2233" s="1878" t="str">
        <f t="shared" si="523"/>
        <v xml:space="preserve">13.- C Lima Caucho 0170108-OT_182402  Reencauche 030-0026692 </v>
      </c>
      <c r="Z2233" s="19" t="str">
        <f t="shared" si="522"/>
        <v>ReencaucheReencauchadora RENOVA</v>
      </c>
    </row>
    <row r="2234" spans="2:26" outlineLevel="1">
      <c r="B2234" s="3275"/>
      <c r="C2234" s="2">
        <f t="shared" si="524"/>
        <v>86</v>
      </c>
      <c r="D2234" s="3">
        <v>12</v>
      </c>
      <c r="E2234" s="66">
        <v>14</v>
      </c>
      <c r="F2234" s="67" t="s">
        <v>732</v>
      </c>
      <c r="G2234" s="68" t="s">
        <v>733</v>
      </c>
      <c r="H2234" s="69" t="s">
        <v>990</v>
      </c>
      <c r="I2234" s="68" t="s">
        <v>726</v>
      </c>
      <c r="J2234" s="70" t="s">
        <v>760</v>
      </c>
      <c r="K2234" s="71" t="s">
        <v>1652</v>
      </c>
      <c r="L2234" s="72">
        <v>41373</v>
      </c>
      <c r="M2234" s="73" t="s">
        <v>729</v>
      </c>
      <c r="N2234" s="74">
        <v>41382</v>
      </c>
      <c r="O2234" s="75">
        <f t="shared" si="525"/>
        <v>41382</v>
      </c>
      <c r="P2234" s="2765" t="s">
        <v>1660</v>
      </c>
      <c r="Q2234" s="2954"/>
      <c r="R2234" s="76">
        <v>281.49</v>
      </c>
      <c r="S2234" s="1945" t="s">
        <v>731</v>
      </c>
      <c r="T2234" s="77"/>
      <c r="U2234" s="1893"/>
      <c r="V2234" s="2079">
        <f t="shared" si="526"/>
        <v>0</v>
      </c>
      <c r="W2234" s="78">
        <f t="shared" si="527"/>
        <v>332.15819999999997</v>
      </c>
      <c r="X2234" s="1878" t="str">
        <f t="shared" si="523"/>
        <v xml:space="preserve">14.- C Lima Caucho 0220207-OT_182402  Reencauche 030-0026692 </v>
      </c>
      <c r="Z2234" s="19" t="str">
        <f t="shared" si="522"/>
        <v>ReencaucheReencauchadora RENOVA</v>
      </c>
    </row>
    <row r="2235" spans="2:26" outlineLevel="1">
      <c r="B2235" s="3275"/>
      <c r="C2235" s="2">
        <f t="shared" si="524"/>
        <v>85</v>
      </c>
      <c r="D2235" s="3">
        <v>11</v>
      </c>
      <c r="E2235" s="66">
        <v>15</v>
      </c>
      <c r="F2235" s="67" t="s">
        <v>732</v>
      </c>
      <c r="G2235" s="68" t="s">
        <v>1233</v>
      </c>
      <c r="H2235" s="69" t="s">
        <v>1570</v>
      </c>
      <c r="I2235" s="68" t="s">
        <v>726</v>
      </c>
      <c r="J2235" s="70" t="s">
        <v>760</v>
      </c>
      <c r="K2235" s="71" t="s">
        <v>1655</v>
      </c>
      <c r="L2235" s="72">
        <v>41373</v>
      </c>
      <c r="M2235" s="73" t="s">
        <v>729</v>
      </c>
      <c r="N2235" s="74">
        <v>41382</v>
      </c>
      <c r="O2235" s="75">
        <f t="shared" si="525"/>
        <v>41382</v>
      </c>
      <c r="P2235" s="2765" t="s">
        <v>1660</v>
      </c>
      <c r="Q2235" s="2954"/>
      <c r="R2235" s="76">
        <v>281.49</v>
      </c>
      <c r="S2235" s="1945" t="s">
        <v>731</v>
      </c>
      <c r="T2235" s="77"/>
      <c r="U2235" s="1893"/>
      <c r="V2235" s="2079">
        <f t="shared" si="526"/>
        <v>0</v>
      </c>
      <c r="W2235" s="78">
        <f t="shared" si="527"/>
        <v>332.15819999999997</v>
      </c>
      <c r="X2235" s="1878" t="str">
        <f t="shared" si="523"/>
        <v xml:space="preserve">15.- C Saratoga 0250306-OT_182403  Reencauche 030-0026692 </v>
      </c>
      <c r="Z2235" s="19" t="str">
        <f t="shared" si="522"/>
        <v>ReencaucheReencauchadora RENOVA</v>
      </c>
    </row>
    <row r="2236" spans="2:26" outlineLevel="1">
      <c r="B2236" s="3275"/>
      <c r="C2236" s="2">
        <f t="shared" si="524"/>
        <v>84</v>
      </c>
      <c r="D2236" s="3">
        <v>10</v>
      </c>
      <c r="E2236" s="66">
        <v>16</v>
      </c>
      <c r="F2236" s="67" t="s">
        <v>732</v>
      </c>
      <c r="G2236" s="68" t="s">
        <v>814</v>
      </c>
      <c r="H2236" s="69" t="s">
        <v>1500</v>
      </c>
      <c r="I2236" s="68" t="s">
        <v>726</v>
      </c>
      <c r="J2236" s="70" t="s">
        <v>760</v>
      </c>
      <c r="K2236" s="71" t="s">
        <v>1655</v>
      </c>
      <c r="L2236" s="72">
        <v>41373</v>
      </c>
      <c r="M2236" s="73" t="s">
        <v>729</v>
      </c>
      <c r="N2236" s="74">
        <v>41382</v>
      </c>
      <c r="O2236" s="75">
        <f t="shared" si="525"/>
        <v>41382</v>
      </c>
      <c r="P2236" s="2765" t="s">
        <v>1660</v>
      </c>
      <c r="Q2236" s="2954"/>
      <c r="R2236" s="76">
        <v>281.49</v>
      </c>
      <c r="S2236" s="1945" t="s">
        <v>731</v>
      </c>
      <c r="T2236" s="77"/>
      <c r="U2236" s="1893"/>
      <c r="V2236" s="2079">
        <f t="shared" si="526"/>
        <v>0</v>
      </c>
      <c r="W2236" s="78">
        <f t="shared" si="527"/>
        <v>332.15819999999997</v>
      </c>
      <c r="X2236" s="1878" t="str">
        <f t="shared" si="523"/>
        <v xml:space="preserve">16.- C Birla 0630806-OT_182403  Reencauche 030-0026692 </v>
      </c>
      <c r="Z2236" s="19" t="str">
        <f t="shared" si="522"/>
        <v>ReencaucheReencauchadora RENOVA</v>
      </c>
    </row>
    <row r="2237" spans="2:26" outlineLevel="1">
      <c r="B2237" s="3275"/>
      <c r="C2237" s="2">
        <f t="shared" si="524"/>
        <v>83</v>
      </c>
      <c r="D2237" s="3">
        <v>9</v>
      </c>
      <c r="E2237" s="66">
        <v>17</v>
      </c>
      <c r="F2237" s="67" t="s">
        <v>732</v>
      </c>
      <c r="G2237" s="68" t="s">
        <v>737</v>
      </c>
      <c r="H2237" s="69" t="s">
        <v>1121</v>
      </c>
      <c r="I2237" s="68" t="s">
        <v>726</v>
      </c>
      <c r="J2237" s="70" t="s">
        <v>760</v>
      </c>
      <c r="K2237" s="71" t="s">
        <v>1655</v>
      </c>
      <c r="L2237" s="72">
        <v>41373</v>
      </c>
      <c r="M2237" s="73" t="s">
        <v>729</v>
      </c>
      <c r="N2237" s="74">
        <v>41382</v>
      </c>
      <c r="O2237" s="75">
        <f t="shared" si="525"/>
        <v>41382</v>
      </c>
      <c r="P2237" s="2765" t="s">
        <v>1660</v>
      </c>
      <c r="Q2237" s="2954"/>
      <c r="R2237" s="76">
        <v>281.49</v>
      </c>
      <c r="S2237" s="1945" t="s">
        <v>731</v>
      </c>
      <c r="T2237" s="77"/>
      <c r="U2237" s="1893"/>
      <c r="V2237" s="2079">
        <f t="shared" si="526"/>
        <v>0</v>
      </c>
      <c r="W2237" s="78">
        <f t="shared" si="527"/>
        <v>332.15819999999997</v>
      </c>
      <c r="X2237" s="1878" t="str">
        <f t="shared" si="523"/>
        <v xml:space="preserve">17.- C Vikrant 0280211-OT_182403  Reencauche 030-0026692 </v>
      </c>
      <c r="Z2237" s="19" t="str">
        <f t="shared" si="522"/>
        <v>ReencaucheReencauchadora RENOVA</v>
      </c>
    </row>
    <row r="2238" spans="2:26" outlineLevel="1">
      <c r="B2238" s="3275"/>
      <c r="C2238" s="2">
        <f t="shared" si="524"/>
        <v>82</v>
      </c>
      <c r="D2238" s="3">
        <v>8</v>
      </c>
      <c r="E2238" s="66">
        <v>18</v>
      </c>
      <c r="F2238" s="67" t="s">
        <v>732</v>
      </c>
      <c r="G2238" s="68" t="s">
        <v>737</v>
      </c>
      <c r="H2238" s="69" t="s">
        <v>1663</v>
      </c>
      <c r="I2238" s="68" t="s">
        <v>726</v>
      </c>
      <c r="J2238" s="70" t="s">
        <v>760</v>
      </c>
      <c r="K2238" s="71" t="s">
        <v>1655</v>
      </c>
      <c r="L2238" s="72">
        <v>41373</v>
      </c>
      <c r="M2238" s="73" t="s">
        <v>729</v>
      </c>
      <c r="N2238" s="74">
        <v>41382</v>
      </c>
      <c r="O2238" s="75">
        <f t="shared" si="525"/>
        <v>41382</v>
      </c>
      <c r="P2238" s="2765" t="s">
        <v>1660</v>
      </c>
      <c r="Q2238" s="2954"/>
      <c r="R2238" s="76">
        <v>281.49</v>
      </c>
      <c r="S2238" s="1945" t="s">
        <v>731</v>
      </c>
      <c r="T2238" s="77"/>
      <c r="U2238" s="1893"/>
      <c r="V2238" s="2079">
        <f t="shared" si="526"/>
        <v>0</v>
      </c>
      <c r="W2238" s="78">
        <f t="shared" si="527"/>
        <v>332.15819999999997</v>
      </c>
      <c r="X2238" s="1878" t="str">
        <f t="shared" si="523"/>
        <v xml:space="preserve">18.- C Vikrant 0290410-OT_182403  Reencauche 030-0026692 </v>
      </c>
      <c r="Z2238" s="19" t="str">
        <f t="shared" si="522"/>
        <v>ReencaucheReencauchadora RENOVA</v>
      </c>
    </row>
    <row r="2239" spans="2:26" outlineLevel="1">
      <c r="B2239" s="3275"/>
      <c r="C2239" s="2">
        <f t="shared" si="524"/>
        <v>81</v>
      </c>
      <c r="D2239" s="3">
        <v>7</v>
      </c>
      <c r="E2239" s="66">
        <v>19</v>
      </c>
      <c r="F2239" s="67" t="s">
        <v>732</v>
      </c>
      <c r="G2239" s="68" t="s">
        <v>737</v>
      </c>
      <c r="H2239" s="69" t="s">
        <v>1664</v>
      </c>
      <c r="I2239" s="68" t="s">
        <v>726</v>
      </c>
      <c r="J2239" s="70" t="s">
        <v>760</v>
      </c>
      <c r="K2239" s="71" t="s">
        <v>1655</v>
      </c>
      <c r="L2239" s="72">
        <v>41373</v>
      </c>
      <c r="M2239" s="73" t="s">
        <v>729</v>
      </c>
      <c r="N2239" s="74">
        <v>41382</v>
      </c>
      <c r="O2239" s="75">
        <f t="shared" si="525"/>
        <v>41382</v>
      </c>
      <c r="P2239" s="2765" t="s">
        <v>1660</v>
      </c>
      <c r="Q2239" s="2954"/>
      <c r="R2239" s="76">
        <v>281.49</v>
      </c>
      <c r="S2239" s="1945" t="s">
        <v>731</v>
      </c>
      <c r="T2239" s="77"/>
      <c r="U2239" s="1893"/>
      <c r="V2239" s="2079">
        <f t="shared" si="526"/>
        <v>0</v>
      </c>
      <c r="W2239" s="78">
        <f t="shared" si="527"/>
        <v>332.15819999999997</v>
      </c>
      <c r="X2239" s="1878" t="str">
        <f t="shared" si="523"/>
        <v xml:space="preserve">19.- C Vikrant 0130111-OT_182403  Reencauche 030-0026692 </v>
      </c>
      <c r="Z2239" s="19" t="str">
        <f t="shared" si="522"/>
        <v>ReencaucheReencauchadora RENOVA</v>
      </c>
    </row>
    <row r="2240" spans="2:26" outlineLevel="1">
      <c r="B2240" s="3275"/>
      <c r="C2240" s="2">
        <f t="shared" si="524"/>
        <v>80</v>
      </c>
      <c r="D2240" s="3">
        <v>6</v>
      </c>
      <c r="E2240" s="66">
        <v>20</v>
      </c>
      <c r="F2240" s="67" t="s">
        <v>732</v>
      </c>
      <c r="G2240" s="68" t="s">
        <v>733</v>
      </c>
      <c r="H2240" s="69" t="s">
        <v>1665</v>
      </c>
      <c r="I2240" s="68" t="s">
        <v>726</v>
      </c>
      <c r="J2240" s="70" t="s">
        <v>760</v>
      </c>
      <c r="K2240" s="71" t="s">
        <v>1658</v>
      </c>
      <c r="L2240" s="72">
        <v>41373</v>
      </c>
      <c r="M2240" s="73" t="s">
        <v>729</v>
      </c>
      <c r="N2240" s="74">
        <v>41382</v>
      </c>
      <c r="O2240" s="75">
        <f t="shared" si="525"/>
        <v>41382</v>
      </c>
      <c r="P2240" s="2765" t="s">
        <v>1660</v>
      </c>
      <c r="Q2240" s="2954"/>
      <c r="R2240" s="76">
        <v>281.49</v>
      </c>
      <c r="S2240" s="1945" t="s">
        <v>731</v>
      </c>
      <c r="T2240" s="77"/>
      <c r="U2240" s="1893"/>
      <c r="V2240" s="2079">
        <f t="shared" si="526"/>
        <v>0</v>
      </c>
      <c r="W2240" s="78">
        <f t="shared" si="527"/>
        <v>332.15819999999997</v>
      </c>
      <c r="X2240" s="1878" t="str">
        <f t="shared" si="523"/>
        <v xml:space="preserve">20.- C Lima Caucho 0160108-OT_182404  Reencauche 030-0026692 </v>
      </c>
      <c r="Z2240" s="19" t="str">
        <f t="shared" si="522"/>
        <v>ReencaucheReencauchadora RENOVA</v>
      </c>
    </row>
    <row r="2241" spans="2:26" outlineLevel="1">
      <c r="B2241" s="3275"/>
      <c r="C2241" s="2">
        <f t="shared" si="524"/>
        <v>79</v>
      </c>
      <c r="D2241" s="3">
        <v>5</v>
      </c>
      <c r="E2241" s="66">
        <v>21</v>
      </c>
      <c r="F2241" s="67" t="s">
        <v>732</v>
      </c>
      <c r="G2241" s="68" t="s">
        <v>733</v>
      </c>
      <c r="H2241" s="69" t="s">
        <v>1666</v>
      </c>
      <c r="I2241" s="68" t="s">
        <v>726</v>
      </c>
      <c r="J2241" s="70" t="s">
        <v>760</v>
      </c>
      <c r="K2241" s="71" t="s">
        <v>1658</v>
      </c>
      <c r="L2241" s="72">
        <v>41373</v>
      </c>
      <c r="M2241" s="73" t="s">
        <v>729</v>
      </c>
      <c r="N2241" s="74">
        <v>41382</v>
      </c>
      <c r="O2241" s="75">
        <f t="shared" si="525"/>
        <v>41382</v>
      </c>
      <c r="P2241" s="2765" t="s">
        <v>1660</v>
      </c>
      <c r="Q2241" s="2954"/>
      <c r="R2241" s="76">
        <v>281.49</v>
      </c>
      <c r="S2241" s="1945" t="s">
        <v>731</v>
      </c>
      <c r="T2241" s="77"/>
      <c r="U2241" s="1893"/>
      <c r="V2241" s="2079">
        <f t="shared" si="526"/>
        <v>0</v>
      </c>
      <c r="W2241" s="78">
        <f t="shared" si="527"/>
        <v>332.15819999999997</v>
      </c>
      <c r="X2241" s="1878" t="str">
        <f t="shared" si="523"/>
        <v xml:space="preserve">21.- C Lima Caucho 0360508-OT_182404  Reencauche 030-0026692 </v>
      </c>
      <c r="Z2241" s="19" t="str">
        <f t="shared" si="522"/>
        <v>ReencaucheReencauchadora RENOVA</v>
      </c>
    </row>
    <row r="2242" spans="2:26" outlineLevel="1">
      <c r="B2242" s="3275"/>
      <c r="C2242" s="2">
        <f t="shared" si="524"/>
        <v>78</v>
      </c>
      <c r="D2242" s="3">
        <v>4</v>
      </c>
      <c r="E2242" s="66">
        <v>22</v>
      </c>
      <c r="F2242" s="67" t="s">
        <v>732</v>
      </c>
      <c r="G2242" s="68" t="s">
        <v>757</v>
      </c>
      <c r="H2242" s="69" t="s">
        <v>1667</v>
      </c>
      <c r="I2242" s="68" t="s">
        <v>726</v>
      </c>
      <c r="J2242" s="70" t="s">
        <v>760</v>
      </c>
      <c r="K2242" s="71" t="s">
        <v>1658</v>
      </c>
      <c r="L2242" s="72">
        <v>41373</v>
      </c>
      <c r="M2242" s="73" t="s">
        <v>729</v>
      </c>
      <c r="N2242" s="74">
        <v>41382</v>
      </c>
      <c r="O2242" s="75">
        <f t="shared" si="525"/>
        <v>41382</v>
      </c>
      <c r="P2242" s="2765" t="s">
        <v>1660</v>
      </c>
      <c r="Q2242" s="2954"/>
      <c r="R2242" s="76">
        <v>281.49</v>
      </c>
      <c r="S2242" s="1945" t="s">
        <v>731</v>
      </c>
      <c r="T2242" s="77"/>
      <c r="U2242" s="1893"/>
      <c r="V2242" s="2079">
        <f t="shared" si="526"/>
        <v>0</v>
      </c>
      <c r="W2242" s="78">
        <f t="shared" si="527"/>
        <v>332.15819999999997</v>
      </c>
      <c r="X2242" s="1878" t="str">
        <f t="shared" si="523"/>
        <v xml:space="preserve">22.- C Goodyear 022072003-OT_182404  Reencauche 030-0026692 </v>
      </c>
      <c r="Z2242" s="19" t="str">
        <f t="shared" si="522"/>
        <v>ReencaucheReencauchadora RENOVA</v>
      </c>
    </row>
    <row r="2243" spans="2:26">
      <c r="B2243" s="3275"/>
      <c r="C2243" s="2">
        <f t="shared" si="524"/>
        <v>77</v>
      </c>
      <c r="D2243" s="3">
        <v>3</v>
      </c>
      <c r="E2243" s="66">
        <v>23</v>
      </c>
      <c r="F2243" s="67" t="s">
        <v>732</v>
      </c>
      <c r="G2243" s="68" t="s">
        <v>733</v>
      </c>
      <c r="H2243" s="69" t="s">
        <v>1133</v>
      </c>
      <c r="I2243" s="68" t="s">
        <v>726</v>
      </c>
      <c r="J2243" s="70" t="s">
        <v>760</v>
      </c>
      <c r="K2243" s="71" t="s">
        <v>1652</v>
      </c>
      <c r="L2243" s="72">
        <v>41373</v>
      </c>
      <c r="M2243" s="73" t="s">
        <v>729</v>
      </c>
      <c r="N2243" s="74">
        <v>41387</v>
      </c>
      <c r="O2243" s="75">
        <f t="shared" si="525"/>
        <v>41387</v>
      </c>
      <c r="P2243" s="2765" t="s">
        <v>1668</v>
      </c>
      <c r="Q2243" s="2954"/>
      <c r="R2243" s="76">
        <v>281.49</v>
      </c>
      <c r="S2243" s="1945" t="s">
        <v>731</v>
      </c>
      <c r="T2243" s="77"/>
      <c r="U2243" s="1893"/>
      <c r="V2243" s="2079">
        <f t="shared" si="526"/>
        <v>0</v>
      </c>
      <c r="W2243" s="78">
        <f t="shared" si="527"/>
        <v>332.15819999999997</v>
      </c>
      <c r="X2243" s="1878" t="str">
        <f t="shared" si="523"/>
        <v xml:space="preserve">23.- C Lima Caucho 0110107-OT_182402  Reencauche 030-0026818 </v>
      </c>
    </row>
    <row r="2244" spans="2:26" outlineLevel="1">
      <c r="B2244" s="3275"/>
      <c r="C2244" s="2">
        <f t="shared" si="524"/>
        <v>76</v>
      </c>
      <c r="D2244" s="3">
        <v>2</v>
      </c>
      <c r="E2244" s="66">
        <v>24</v>
      </c>
      <c r="F2244" s="67" t="s">
        <v>732</v>
      </c>
      <c r="G2244" s="68" t="s">
        <v>737</v>
      </c>
      <c r="H2244" s="69" t="s">
        <v>1669</v>
      </c>
      <c r="I2244" s="68" t="s">
        <v>726</v>
      </c>
      <c r="J2244" s="70" t="s">
        <v>760</v>
      </c>
      <c r="K2244" s="71" t="s">
        <v>1655</v>
      </c>
      <c r="L2244" s="72">
        <v>41373</v>
      </c>
      <c r="M2244" s="73" t="s">
        <v>729</v>
      </c>
      <c r="N2244" s="74">
        <v>41387</v>
      </c>
      <c r="O2244" s="75">
        <f t="shared" si="525"/>
        <v>41387</v>
      </c>
      <c r="P2244" s="2765" t="s">
        <v>1668</v>
      </c>
      <c r="Q2244" s="2954"/>
      <c r="R2244" s="76">
        <v>281.49</v>
      </c>
      <c r="S2244" s="1945" t="s">
        <v>731</v>
      </c>
      <c r="T2244" s="77"/>
      <c r="U2244" s="1893"/>
      <c r="V2244" s="2079">
        <f t="shared" si="526"/>
        <v>0</v>
      </c>
      <c r="W2244" s="78">
        <f t="shared" si="527"/>
        <v>332.15819999999997</v>
      </c>
      <c r="X2244" s="1878" t="str">
        <f t="shared" si="523"/>
        <v xml:space="preserve">24.- C Vikrant 0240211-OT_182403  Reencauche 030-0026818 </v>
      </c>
      <c r="Z2244" s="19" t="str">
        <f t="shared" ref="Z2244:Z2268" si="528">CONCATENATE(I2247,J2247)</f>
        <v>Transpl BandaReencauchadora Espinoza</v>
      </c>
    </row>
    <row r="2245" spans="2:26" ht="15.75" outlineLevel="1" thickBot="1">
      <c r="B2245" s="3276"/>
      <c r="C2245" s="2">
        <f>1+C2247</f>
        <v>75</v>
      </c>
      <c r="D2245" s="3">
        <v>1</v>
      </c>
      <c r="E2245" s="79">
        <v>25</v>
      </c>
      <c r="F2245" s="80" t="s">
        <v>732</v>
      </c>
      <c r="G2245" s="81" t="s">
        <v>733</v>
      </c>
      <c r="H2245" s="82" t="s">
        <v>1571</v>
      </c>
      <c r="I2245" s="81" t="s">
        <v>726</v>
      </c>
      <c r="J2245" s="83" t="s">
        <v>760</v>
      </c>
      <c r="K2245" s="84" t="s">
        <v>1658</v>
      </c>
      <c r="L2245" s="85">
        <v>41373</v>
      </c>
      <c r="M2245" s="86" t="s">
        <v>729</v>
      </c>
      <c r="N2245" s="87">
        <v>41387</v>
      </c>
      <c r="O2245" s="88">
        <f t="shared" si="525"/>
        <v>41387</v>
      </c>
      <c r="P2245" s="2766" t="s">
        <v>1668</v>
      </c>
      <c r="Q2245" s="2955"/>
      <c r="R2245" s="89">
        <v>281.49</v>
      </c>
      <c r="S2245" s="1946" t="s">
        <v>731</v>
      </c>
      <c r="T2245" s="77"/>
      <c r="U2245" s="1893"/>
      <c r="V2245" s="2079">
        <f t="shared" si="526"/>
        <v>0</v>
      </c>
      <c r="W2245" s="78">
        <f t="shared" si="527"/>
        <v>332.15819999999997</v>
      </c>
      <c r="X2245" s="1878" t="str">
        <f t="shared" si="523"/>
        <v xml:space="preserve">25.- C Lima Caucho 0960908-OT_182404  Reencauche 030-0026818 </v>
      </c>
      <c r="Z2245" s="19" t="str">
        <f t="shared" si="528"/>
        <v>Transpl BandaReencauchadora Espinoza</v>
      </c>
    </row>
    <row r="2246" spans="2:26" ht="15.75" outlineLevel="1" thickBot="1">
      <c r="B2246" s="3306">
        <v>41334</v>
      </c>
      <c r="C2246" s="3306"/>
      <c r="D2246" s="258">
        <f>+D2247</f>
        <v>23</v>
      </c>
      <c r="E2246" s="66"/>
      <c r="F2246" s="67"/>
      <c r="G2246" s="68"/>
      <c r="H2246" s="69"/>
      <c r="I2246" s="68"/>
      <c r="J2246" s="70"/>
      <c r="K2246" s="71"/>
      <c r="L2246" s="72"/>
      <c r="M2246" s="73"/>
      <c r="N2246" s="74"/>
      <c r="O2246" s="75"/>
      <c r="P2246" s="2765"/>
      <c r="Q2246" s="2954"/>
      <c r="R2246" s="76"/>
      <c r="S2246" s="1945"/>
      <c r="T2246" s="77"/>
      <c r="U2246" s="1893"/>
      <c r="V2246" s="2079">
        <f t="shared" si="526"/>
        <v>0</v>
      </c>
      <c r="W2246" s="78">
        <f t="shared" si="527"/>
        <v>0</v>
      </c>
      <c r="X2246" s="1878" t="str">
        <f t="shared" si="523"/>
        <v xml:space="preserve">.-   -OT_    </v>
      </c>
      <c r="Z2246" s="19" t="str">
        <f t="shared" si="528"/>
        <v>Sacar_BandaReencauchadora Espinoza</v>
      </c>
    </row>
    <row r="2247" spans="2:26" outlineLevel="1">
      <c r="B2247" s="3274">
        <v>41334</v>
      </c>
      <c r="C2247" s="2">
        <f>1+C2248</f>
        <v>74</v>
      </c>
      <c r="D2247" s="3">
        <f>1+D2248</f>
        <v>23</v>
      </c>
      <c r="E2247" s="66">
        <v>1</v>
      </c>
      <c r="F2247" s="123" t="s">
        <v>732</v>
      </c>
      <c r="G2247" s="68" t="s">
        <v>1233</v>
      </c>
      <c r="H2247" s="69" t="s">
        <v>1670</v>
      </c>
      <c r="I2247" s="257" t="s">
        <v>740</v>
      </c>
      <c r="J2247" s="92" t="s">
        <v>1543</v>
      </c>
      <c r="K2247" s="71" t="s">
        <v>1671</v>
      </c>
      <c r="L2247" s="72">
        <v>41351</v>
      </c>
      <c r="M2247" s="73" t="s">
        <v>729</v>
      </c>
      <c r="N2247" s="74">
        <v>41360</v>
      </c>
      <c r="O2247" s="75">
        <f t="shared" ref="O2247:O2271" si="529">+N2247</f>
        <v>41360</v>
      </c>
      <c r="P2247" s="2765" t="s">
        <v>1672</v>
      </c>
      <c r="Q2247" s="2954"/>
      <c r="R2247" s="76">
        <v>127.12</v>
      </c>
      <c r="S2247" s="1945" t="s">
        <v>731</v>
      </c>
      <c r="T2247" s="77"/>
      <c r="U2247" s="1893"/>
      <c r="V2247" s="2079">
        <f t="shared" si="526"/>
        <v>0</v>
      </c>
      <c r="W2247" s="78">
        <f t="shared" si="527"/>
        <v>150.0016</v>
      </c>
      <c r="X2247" s="1878" t="str">
        <f t="shared" si="523"/>
        <v xml:space="preserve">1.- C Saratoga 0350506-OT_001-009090  Transpl Banda 001-003581 </v>
      </c>
      <c r="Z2247" s="19" t="str">
        <f t="shared" si="528"/>
        <v>Sacar_BandaReencauchadora Espinoza</v>
      </c>
    </row>
    <row r="2248" spans="2:26" outlineLevel="1">
      <c r="B2248" s="3275"/>
      <c r="C2248" s="2">
        <v>73</v>
      </c>
      <c r="D2248" s="3">
        <v>22</v>
      </c>
      <c r="E2248" s="66">
        <v>2</v>
      </c>
      <c r="F2248" s="123" t="s">
        <v>732</v>
      </c>
      <c r="G2248" s="68" t="s">
        <v>733</v>
      </c>
      <c r="H2248" s="69" t="s">
        <v>1548</v>
      </c>
      <c r="I2248" s="257" t="s">
        <v>740</v>
      </c>
      <c r="J2248" s="92" t="s">
        <v>1543</v>
      </c>
      <c r="K2248" s="71" t="s">
        <v>1671</v>
      </c>
      <c r="L2248" s="72">
        <v>41351</v>
      </c>
      <c r="M2248" s="73" t="s">
        <v>729</v>
      </c>
      <c r="N2248" s="74">
        <v>41360</v>
      </c>
      <c r="O2248" s="75">
        <f t="shared" si="529"/>
        <v>41360</v>
      </c>
      <c r="P2248" s="2765" t="s">
        <v>1672</v>
      </c>
      <c r="Q2248" s="2954"/>
      <c r="R2248" s="76">
        <v>127.12</v>
      </c>
      <c r="S2248" s="1945" t="s">
        <v>731</v>
      </c>
      <c r="T2248" s="77"/>
      <c r="U2248" s="1893"/>
      <c r="V2248" s="2079">
        <f t="shared" si="526"/>
        <v>0</v>
      </c>
      <c r="W2248" s="78">
        <f t="shared" si="527"/>
        <v>150.0016</v>
      </c>
      <c r="X2248" s="1878" t="str">
        <f t="shared" si="523"/>
        <v xml:space="preserve">2.- C Lima Caucho 1061107-OT_001-009090  Transpl Banda 001-003581 </v>
      </c>
      <c r="Z2248" s="19" t="str">
        <f t="shared" si="528"/>
        <v>ReencaucheReencauchadora RENOVA</v>
      </c>
    </row>
    <row r="2249" spans="2:26" outlineLevel="1">
      <c r="B2249" s="3275"/>
      <c r="E2249" s="66">
        <v>3</v>
      </c>
      <c r="F2249" s="123" t="s">
        <v>732</v>
      </c>
      <c r="G2249" s="68" t="s">
        <v>737</v>
      </c>
      <c r="H2249" s="69" t="s">
        <v>1673</v>
      </c>
      <c r="I2249" s="257" t="s">
        <v>744</v>
      </c>
      <c r="J2249" s="92" t="s">
        <v>1543</v>
      </c>
      <c r="K2249" s="71" t="s">
        <v>1671</v>
      </c>
      <c r="L2249" s="72">
        <v>41351</v>
      </c>
      <c r="M2249" s="73" t="s">
        <v>729</v>
      </c>
      <c r="N2249" s="74">
        <v>41360</v>
      </c>
      <c r="O2249" s="75">
        <f t="shared" si="529"/>
        <v>41360</v>
      </c>
      <c r="P2249" s="2765" t="s">
        <v>1672</v>
      </c>
      <c r="Q2249" s="2954"/>
      <c r="R2249" s="76">
        <v>0</v>
      </c>
      <c r="S2249" s="1945" t="s">
        <v>731</v>
      </c>
      <c r="T2249" s="77"/>
      <c r="U2249" s="1893"/>
      <c r="V2249" s="2079">
        <f t="shared" si="526"/>
        <v>0</v>
      </c>
      <c r="W2249" s="78">
        <f t="shared" si="527"/>
        <v>0</v>
      </c>
      <c r="X2249" s="1878" t="str">
        <f t="shared" si="523"/>
        <v xml:space="preserve">3.- C Vikrant 0330211-OT_001-009090  Sacar_Banda 001-003581 </v>
      </c>
      <c r="Z2249" s="19" t="str">
        <f t="shared" si="528"/>
        <v>ReencaucheReencauchadora RENOVA</v>
      </c>
    </row>
    <row r="2250" spans="2:26" outlineLevel="1">
      <c r="B2250" s="3275"/>
      <c r="E2250" s="79">
        <v>4</v>
      </c>
      <c r="F2250" s="149" t="s">
        <v>732</v>
      </c>
      <c r="G2250" s="81" t="s">
        <v>757</v>
      </c>
      <c r="H2250" s="82" t="s">
        <v>1674</v>
      </c>
      <c r="I2250" s="262" t="s">
        <v>744</v>
      </c>
      <c r="J2250" s="93" t="s">
        <v>1543</v>
      </c>
      <c r="K2250" s="84" t="s">
        <v>1671</v>
      </c>
      <c r="L2250" s="85">
        <v>41351</v>
      </c>
      <c r="M2250" s="86" t="s">
        <v>729</v>
      </c>
      <c r="N2250" s="87">
        <v>41360</v>
      </c>
      <c r="O2250" s="75">
        <f t="shared" si="529"/>
        <v>41360</v>
      </c>
      <c r="P2250" s="2766" t="s">
        <v>1672</v>
      </c>
      <c r="Q2250" s="2955"/>
      <c r="R2250" s="89">
        <v>0</v>
      </c>
      <c r="S2250" s="1946" t="s">
        <v>731</v>
      </c>
      <c r="T2250" s="77"/>
      <c r="U2250" s="1893"/>
      <c r="V2250" s="2079">
        <f t="shared" si="526"/>
        <v>0</v>
      </c>
      <c r="W2250" s="78">
        <f t="shared" si="527"/>
        <v>0</v>
      </c>
      <c r="X2250" s="1878" t="str">
        <f t="shared" si="523"/>
        <v xml:space="preserve">4.- C Goodyear 058032004-OT_001-009090  Sacar_Banda 001-003581 </v>
      </c>
      <c r="Z2250" s="19" t="str">
        <f t="shared" si="528"/>
        <v>ReencaucheReencauchadora RENOVA</v>
      </c>
    </row>
    <row r="2251" spans="2:26" outlineLevel="1">
      <c r="B2251" s="3275"/>
      <c r="C2251" s="2">
        <f t="shared" ref="C2251:C2270" si="530">1+C2252</f>
        <v>72</v>
      </c>
      <c r="D2251" s="3">
        <f t="shared" ref="D2251:D2270" si="531">1+D2252</f>
        <v>21</v>
      </c>
      <c r="E2251" s="66">
        <v>1</v>
      </c>
      <c r="F2251" s="67" t="s">
        <v>732</v>
      </c>
      <c r="G2251" s="68" t="s">
        <v>1108</v>
      </c>
      <c r="H2251" s="69" t="s">
        <v>1109</v>
      </c>
      <c r="I2251" s="68" t="s">
        <v>726</v>
      </c>
      <c r="J2251" s="70" t="s">
        <v>760</v>
      </c>
      <c r="K2251" s="71" t="s">
        <v>1675</v>
      </c>
      <c r="L2251" s="72">
        <v>41344</v>
      </c>
      <c r="M2251" s="73" t="s">
        <v>729</v>
      </c>
      <c r="N2251" s="74">
        <v>41354</v>
      </c>
      <c r="O2251" s="75">
        <f t="shared" si="529"/>
        <v>41354</v>
      </c>
      <c r="P2251" s="2765" t="s">
        <v>1676</v>
      </c>
      <c r="Q2251" s="2954"/>
      <c r="R2251" s="76">
        <f>281.49</f>
        <v>281.49</v>
      </c>
      <c r="S2251" s="1945" t="s">
        <v>731</v>
      </c>
      <c r="T2251" s="77"/>
      <c r="U2251" s="1893"/>
      <c r="V2251" s="2079">
        <f t="shared" si="526"/>
        <v>0</v>
      </c>
      <c r="W2251" s="78">
        <f t="shared" si="527"/>
        <v>332.15819999999997</v>
      </c>
      <c r="X2251" s="1878" t="str">
        <f t="shared" si="523"/>
        <v xml:space="preserve">1.- C Hankook 0380305-OT_180259  Reencauche 030-0025900 </v>
      </c>
      <c r="Z2251" s="19" t="str">
        <f t="shared" si="528"/>
        <v>ReencaucheReencauchadora RENOVA</v>
      </c>
    </row>
    <row r="2252" spans="2:26" outlineLevel="1">
      <c r="B2252" s="3275"/>
      <c r="C2252" s="2">
        <f t="shared" si="530"/>
        <v>71</v>
      </c>
      <c r="D2252" s="3">
        <f t="shared" si="531"/>
        <v>20</v>
      </c>
      <c r="E2252" s="66">
        <v>2</v>
      </c>
      <c r="F2252" s="67" t="s">
        <v>732</v>
      </c>
      <c r="G2252" s="68" t="s">
        <v>757</v>
      </c>
      <c r="H2252" s="69" t="s">
        <v>912</v>
      </c>
      <c r="I2252" s="68" t="s">
        <v>726</v>
      </c>
      <c r="J2252" s="70" t="s">
        <v>760</v>
      </c>
      <c r="K2252" s="71" t="s">
        <v>1675</v>
      </c>
      <c r="L2252" s="72">
        <v>41344</v>
      </c>
      <c r="M2252" s="73" t="s">
        <v>729</v>
      </c>
      <c r="N2252" s="74">
        <v>41354</v>
      </c>
      <c r="O2252" s="75">
        <f t="shared" si="529"/>
        <v>41354</v>
      </c>
      <c r="P2252" s="2765" t="s">
        <v>1677</v>
      </c>
      <c r="Q2252" s="2954"/>
      <c r="R2252" s="76">
        <f>281.49</f>
        <v>281.49</v>
      </c>
      <c r="S2252" s="1945" t="s">
        <v>731</v>
      </c>
      <c r="T2252" s="77"/>
      <c r="U2252" s="1893"/>
      <c r="V2252" s="2079">
        <f t="shared" si="526"/>
        <v>0</v>
      </c>
      <c r="W2252" s="78">
        <f t="shared" si="527"/>
        <v>332.15819999999997</v>
      </c>
      <c r="X2252" s="1879" t="str">
        <f t="shared" si="523"/>
        <v xml:space="preserve">2.- C Goodyear 0150205-OT_180259  Reencauche 030-0025899 </v>
      </c>
      <c r="Z2252" s="19" t="str">
        <f t="shared" si="528"/>
        <v/>
      </c>
    </row>
    <row r="2253" spans="2:26" outlineLevel="1">
      <c r="B2253" s="3275"/>
      <c r="C2253" s="2">
        <f t="shared" si="530"/>
        <v>70</v>
      </c>
      <c r="D2253" s="3">
        <f t="shared" si="531"/>
        <v>19</v>
      </c>
      <c r="E2253" s="66">
        <v>3</v>
      </c>
      <c r="F2253" s="67" t="s">
        <v>732</v>
      </c>
      <c r="G2253" s="68" t="s">
        <v>757</v>
      </c>
      <c r="H2253" s="69" t="s">
        <v>1678</v>
      </c>
      <c r="I2253" s="68" t="s">
        <v>726</v>
      </c>
      <c r="J2253" s="70" t="s">
        <v>760</v>
      </c>
      <c r="K2253" s="71" t="s">
        <v>1675</v>
      </c>
      <c r="L2253" s="72">
        <v>41344</v>
      </c>
      <c r="M2253" s="73" t="s">
        <v>729</v>
      </c>
      <c r="N2253" s="74">
        <v>41354</v>
      </c>
      <c r="O2253" s="75">
        <f t="shared" si="529"/>
        <v>41354</v>
      </c>
      <c r="P2253" s="2765" t="s">
        <v>1676</v>
      </c>
      <c r="Q2253" s="2954"/>
      <c r="R2253" s="76">
        <f>281.49</f>
        <v>281.49</v>
      </c>
      <c r="S2253" s="1945" t="s">
        <v>731</v>
      </c>
      <c r="T2253" s="77"/>
      <c r="U2253" s="1893"/>
      <c r="V2253" s="2079">
        <f t="shared" si="526"/>
        <v>0</v>
      </c>
      <c r="W2253" s="78">
        <f t="shared" si="527"/>
        <v>332.15819999999997</v>
      </c>
      <c r="X2253" s="1878" t="str">
        <f t="shared" si="523"/>
        <v xml:space="preserve">3.- C Goodyear 029082003-OT_180259  Reencauche 030-0025900 </v>
      </c>
      <c r="Z2253" s="19" t="str">
        <f t="shared" si="528"/>
        <v>ReencaucheReencauchadora RENOVA</v>
      </c>
    </row>
    <row r="2254" spans="2:26" outlineLevel="1">
      <c r="B2254" s="3275"/>
      <c r="C2254" s="2">
        <f t="shared" si="530"/>
        <v>69</v>
      </c>
      <c r="D2254" s="3">
        <f t="shared" si="531"/>
        <v>18</v>
      </c>
      <c r="E2254" s="66">
        <v>4</v>
      </c>
      <c r="F2254" s="67" t="s">
        <v>732</v>
      </c>
      <c r="G2254" s="68" t="s">
        <v>757</v>
      </c>
      <c r="H2254" s="69" t="s">
        <v>917</v>
      </c>
      <c r="I2254" s="68" t="s">
        <v>726</v>
      </c>
      <c r="J2254" s="70" t="s">
        <v>760</v>
      </c>
      <c r="K2254" s="71" t="s">
        <v>1675</v>
      </c>
      <c r="L2254" s="72">
        <v>41344</v>
      </c>
      <c r="M2254" s="73" t="s">
        <v>729</v>
      </c>
      <c r="N2254" s="74">
        <v>41354</v>
      </c>
      <c r="O2254" s="75">
        <f t="shared" si="529"/>
        <v>41354</v>
      </c>
      <c r="P2254" s="2765" t="s">
        <v>1676</v>
      </c>
      <c r="Q2254" s="2954"/>
      <c r="R2254" s="76">
        <f>281.49</f>
        <v>281.49</v>
      </c>
      <c r="S2254" s="1945" t="s">
        <v>731</v>
      </c>
      <c r="T2254" s="77"/>
      <c r="U2254" s="1893"/>
      <c r="V2254" s="2079">
        <f t="shared" si="526"/>
        <v>0</v>
      </c>
      <c r="W2254" s="78">
        <f t="shared" si="527"/>
        <v>332.15819999999997</v>
      </c>
      <c r="X2254" s="1878" t="str">
        <f t="shared" si="523"/>
        <v xml:space="preserve">4.- C Goodyear 0340302-OT_180259  Reencauche 030-0025900 </v>
      </c>
      <c r="Z2254" s="19" t="str">
        <f t="shared" si="528"/>
        <v>ReencaucheReencauchadora RENOVA</v>
      </c>
    </row>
    <row r="2255" spans="2:26" outlineLevel="1">
      <c r="B2255" s="3275"/>
      <c r="C2255" s="2">
        <f t="shared" si="530"/>
        <v>68</v>
      </c>
      <c r="D2255" s="3">
        <f t="shared" si="531"/>
        <v>17</v>
      </c>
      <c r="E2255" s="66">
        <v>5</v>
      </c>
      <c r="F2255" s="2049" t="s">
        <v>732</v>
      </c>
      <c r="G2255" s="284" t="s">
        <v>757</v>
      </c>
      <c r="H2255" s="249" t="s">
        <v>1679</v>
      </c>
      <c r="I2255" s="284"/>
      <c r="J2255" s="285"/>
      <c r="K2255" s="252" t="s">
        <v>1675</v>
      </c>
      <c r="L2255" s="253">
        <v>41344</v>
      </c>
      <c r="M2255" s="254" t="s">
        <v>729</v>
      </c>
      <c r="N2255" s="255">
        <v>41387</v>
      </c>
      <c r="O2255" s="263">
        <f t="shared" si="529"/>
        <v>41387</v>
      </c>
      <c r="P2255" s="2791" t="s">
        <v>1680</v>
      </c>
      <c r="Q2255" s="2976"/>
      <c r="R2255" s="286"/>
      <c r="S2255" s="1962" t="s">
        <v>731</v>
      </c>
      <c r="T2255" s="274" t="s">
        <v>1617</v>
      </c>
      <c r="U2255" s="1895"/>
      <c r="V2255" s="2079">
        <f t="shared" si="526"/>
        <v>0</v>
      </c>
      <c r="W2255" s="78">
        <f t="shared" si="527"/>
        <v>0</v>
      </c>
      <c r="X2255" s="1878" t="str">
        <f t="shared" si="523"/>
        <v>5.- C Goodyear 0260302-OT_180259   g033-0011399  Llanta Rechazada, no se facturo</v>
      </c>
      <c r="Z2255" s="19" t="str">
        <f t="shared" si="528"/>
        <v>ReencaucheReencauchadora RENOVA</v>
      </c>
    </row>
    <row r="2256" spans="2:26" outlineLevel="1">
      <c r="B2256" s="3275"/>
      <c r="C2256" s="2">
        <f t="shared" si="530"/>
        <v>67</v>
      </c>
      <c r="D2256" s="3">
        <f t="shared" si="531"/>
        <v>16</v>
      </c>
      <c r="E2256" s="66">
        <v>6</v>
      </c>
      <c r="F2256" s="67" t="s">
        <v>732</v>
      </c>
      <c r="G2256" s="68" t="s">
        <v>737</v>
      </c>
      <c r="H2256" s="69" t="s">
        <v>1077</v>
      </c>
      <c r="I2256" s="68" t="s">
        <v>726</v>
      </c>
      <c r="J2256" s="70" t="s">
        <v>760</v>
      </c>
      <c r="K2256" s="71" t="s">
        <v>1681</v>
      </c>
      <c r="L2256" s="72">
        <v>41344</v>
      </c>
      <c r="M2256" s="73" t="s">
        <v>729</v>
      </c>
      <c r="N2256" s="74">
        <v>41354</v>
      </c>
      <c r="O2256" s="75">
        <f t="shared" si="529"/>
        <v>41354</v>
      </c>
      <c r="P2256" s="2765" t="s">
        <v>1677</v>
      </c>
      <c r="Q2256" s="2954"/>
      <c r="R2256" s="76">
        <f t="shared" ref="R2256:R2271" si="532">281.49</f>
        <v>281.49</v>
      </c>
      <c r="S2256" s="1945" t="s">
        <v>731</v>
      </c>
      <c r="T2256" s="77"/>
      <c r="U2256" s="1893"/>
      <c r="V2256" s="2079">
        <f t="shared" si="526"/>
        <v>0</v>
      </c>
      <c r="W2256" s="78">
        <f t="shared" si="527"/>
        <v>332.15819999999997</v>
      </c>
      <c r="X2256" s="1878" t="str">
        <f t="shared" si="523"/>
        <v xml:space="preserve">6.- C Vikrant 0360410-OT_180258  Reencauche 030-0025899 </v>
      </c>
      <c r="Z2256" s="19" t="str">
        <f t="shared" si="528"/>
        <v>ReencaucheReencauchadora RENOVA</v>
      </c>
    </row>
    <row r="2257" spans="2:26" outlineLevel="1">
      <c r="B2257" s="3275"/>
      <c r="C2257" s="2">
        <f t="shared" si="530"/>
        <v>66</v>
      </c>
      <c r="D2257" s="3">
        <f t="shared" si="531"/>
        <v>15</v>
      </c>
      <c r="E2257" s="66">
        <v>7</v>
      </c>
      <c r="F2257" s="67" t="s">
        <v>732</v>
      </c>
      <c r="G2257" s="68" t="s">
        <v>737</v>
      </c>
      <c r="H2257" s="69" t="s">
        <v>1081</v>
      </c>
      <c r="I2257" s="68" t="s">
        <v>726</v>
      </c>
      <c r="J2257" s="70" t="s">
        <v>760</v>
      </c>
      <c r="K2257" s="71" t="s">
        <v>1681</v>
      </c>
      <c r="L2257" s="72">
        <v>41344</v>
      </c>
      <c r="M2257" s="73" t="s">
        <v>729</v>
      </c>
      <c r="N2257" s="74">
        <v>41354</v>
      </c>
      <c r="O2257" s="75">
        <f t="shared" si="529"/>
        <v>41354</v>
      </c>
      <c r="P2257" s="2765" t="s">
        <v>1677</v>
      </c>
      <c r="Q2257" s="2954"/>
      <c r="R2257" s="76">
        <f t="shared" si="532"/>
        <v>281.49</v>
      </c>
      <c r="S2257" s="1945" t="s">
        <v>731</v>
      </c>
      <c r="T2257" s="77"/>
      <c r="U2257" s="1893"/>
      <c r="V2257" s="2079">
        <f t="shared" si="526"/>
        <v>0</v>
      </c>
      <c r="W2257" s="78">
        <f t="shared" si="527"/>
        <v>332.15819999999997</v>
      </c>
      <c r="X2257" s="1878" t="str">
        <f t="shared" si="523"/>
        <v xml:space="preserve">7.- C Vikrant 0941206-OT_180258  Reencauche 030-0025899 </v>
      </c>
      <c r="Z2257" s="19" t="str">
        <f t="shared" si="528"/>
        <v>ReencaucheReencauchadora RENOVA</v>
      </c>
    </row>
    <row r="2258" spans="2:26" outlineLevel="1">
      <c r="B2258" s="3275"/>
      <c r="C2258" s="2">
        <f t="shared" si="530"/>
        <v>65</v>
      </c>
      <c r="D2258" s="3">
        <f t="shared" si="531"/>
        <v>14</v>
      </c>
      <c r="E2258" s="66">
        <v>8</v>
      </c>
      <c r="F2258" s="67" t="s">
        <v>732</v>
      </c>
      <c r="G2258" s="68" t="s">
        <v>737</v>
      </c>
      <c r="H2258" s="69" t="s">
        <v>1320</v>
      </c>
      <c r="I2258" s="68" t="s">
        <v>726</v>
      </c>
      <c r="J2258" s="70" t="s">
        <v>760</v>
      </c>
      <c r="K2258" s="71" t="s">
        <v>1681</v>
      </c>
      <c r="L2258" s="72">
        <v>41344</v>
      </c>
      <c r="M2258" s="73" t="s">
        <v>729</v>
      </c>
      <c r="N2258" s="74">
        <v>41354</v>
      </c>
      <c r="O2258" s="75">
        <f t="shared" si="529"/>
        <v>41354</v>
      </c>
      <c r="P2258" s="2765" t="s">
        <v>1677</v>
      </c>
      <c r="Q2258" s="2954"/>
      <c r="R2258" s="76">
        <f t="shared" si="532"/>
        <v>281.49</v>
      </c>
      <c r="S2258" s="1945" t="s">
        <v>731</v>
      </c>
      <c r="T2258" s="77"/>
      <c r="U2258" s="1893"/>
      <c r="V2258" s="2079">
        <f t="shared" si="526"/>
        <v>0</v>
      </c>
      <c r="W2258" s="78">
        <f t="shared" si="527"/>
        <v>332.15819999999997</v>
      </c>
      <c r="X2258" s="1878" t="str">
        <f t="shared" si="523"/>
        <v xml:space="preserve">8.- C Vikrant 0010109-OT_180258  Reencauche 030-0025899 </v>
      </c>
      <c r="Z2258" s="19" t="str">
        <f t="shared" si="528"/>
        <v>ReencaucheReencauchadora RENOVA</v>
      </c>
    </row>
    <row r="2259" spans="2:26" outlineLevel="1">
      <c r="B2259" s="3275"/>
      <c r="C2259" s="2">
        <f t="shared" si="530"/>
        <v>64</v>
      </c>
      <c r="D2259" s="3">
        <f t="shared" si="531"/>
        <v>13</v>
      </c>
      <c r="E2259" s="66">
        <v>9</v>
      </c>
      <c r="F2259" s="67" t="s">
        <v>732</v>
      </c>
      <c r="G2259" s="68" t="s">
        <v>737</v>
      </c>
      <c r="H2259" s="69" t="s">
        <v>1682</v>
      </c>
      <c r="I2259" s="68" t="s">
        <v>726</v>
      </c>
      <c r="J2259" s="70" t="s">
        <v>760</v>
      </c>
      <c r="K2259" s="71" t="s">
        <v>1681</v>
      </c>
      <c r="L2259" s="72">
        <v>41344</v>
      </c>
      <c r="M2259" s="73" t="s">
        <v>729</v>
      </c>
      <c r="N2259" s="74">
        <v>41354</v>
      </c>
      <c r="O2259" s="75">
        <f t="shared" si="529"/>
        <v>41354</v>
      </c>
      <c r="P2259" s="2765" t="s">
        <v>1677</v>
      </c>
      <c r="Q2259" s="2954"/>
      <c r="R2259" s="76">
        <f t="shared" si="532"/>
        <v>281.49</v>
      </c>
      <c r="S2259" s="1945" t="s">
        <v>731</v>
      </c>
      <c r="T2259" s="77"/>
      <c r="U2259" s="1893"/>
      <c r="V2259" s="2079">
        <f t="shared" si="526"/>
        <v>0</v>
      </c>
      <c r="W2259" s="78">
        <f t="shared" si="527"/>
        <v>332.15819999999997</v>
      </c>
      <c r="X2259" s="1878" t="str">
        <f t="shared" si="523"/>
        <v xml:space="preserve">9.- C Vikrant 0040111-OT_180258  Reencauche 030-0025899 </v>
      </c>
      <c r="Z2259" s="19" t="str">
        <f t="shared" si="528"/>
        <v>ReencaucheReencauchadora RENOVA</v>
      </c>
    </row>
    <row r="2260" spans="2:26" outlineLevel="1">
      <c r="B2260" s="3275"/>
      <c r="C2260" s="2">
        <f t="shared" si="530"/>
        <v>63</v>
      </c>
      <c r="D2260" s="3">
        <f t="shared" si="531"/>
        <v>12</v>
      </c>
      <c r="E2260" s="66">
        <v>10</v>
      </c>
      <c r="F2260" s="67" t="s">
        <v>732</v>
      </c>
      <c r="G2260" s="68" t="s">
        <v>737</v>
      </c>
      <c r="H2260" s="69" t="s">
        <v>1279</v>
      </c>
      <c r="I2260" s="68" t="s">
        <v>726</v>
      </c>
      <c r="J2260" s="70" t="s">
        <v>760</v>
      </c>
      <c r="K2260" s="71" t="s">
        <v>1681</v>
      </c>
      <c r="L2260" s="72">
        <v>41344</v>
      </c>
      <c r="M2260" s="73" t="s">
        <v>729</v>
      </c>
      <c r="N2260" s="74">
        <v>41354</v>
      </c>
      <c r="O2260" s="75">
        <f t="shared" si="529"/>
        <v>41354</v>
      </c>
      <c r="P2260" s="2765" t="s">
        <v>1677</v>
      </c>
      <c r="Q2260" s="2954"/>
      <c r="R2260" s="76">
        <f t="shared" si="532"/>
        <v>281.49</v>
      </c>
      <c r="S2260" s="1945" t="s">
        <v>731</v>
      </c>
      <c r="T2260" s="77"/>
      <c r="U2260" s="1893"/>
      <c r="V2260" s="2079">
        <f t="shared" si="526"/>
        <v>0</v>
      </c>
      <c r="W2260" s="78">
        <f t="shared" si="527"/>
        <v>332.15819999999997</v>
      </c>
      <c r="X2260" s="1878" t="str">
        <f t="shared" si="523"/>
        <v xml:space="preserve">10.- C Vikrant 0190111-OT_180258  Reencauche 030-0025899 </v>
      </c>
      <c r="Z2260" s="19" t="str">
        <f t="shared" si="528"/>
        <v>ReencaucheReencauchadora RENOVA</v>
      </c>
    </row>
    <row r="2261" spans="2:26" outlineLevel="1">
      <c r="B2261" s="3275"/>
      <c r="C2261" s="2">
        <f t="shared" si="530"/>
        <v>62</v>
      </c>
      <c r="D2261" s="3">
        <f t="shared" si="531"/>
        <v>11</v>
      </c>
      <c r="E2261" s="66">
        <v>11</v>
      </c>
      <c r="F2261" s="67" t="s">
        <v>732</v>
      </c>
      <c r="G2261" s="68" t="s">
        <v>737</v>
      </c>
      <c r="H2261" s="69" t="s">
        <v>1316</v>
      </c>
      <c r="I2261" s="68" t="s">
        <v>726</v>
      </c>
      <c r="J2261" s="70" t="s">
        <v>760</v>
      </c>
      <c r="K2261" s="71" t="s">
        <v>1681</v>
      </c>
      <c r="L2261" s="72">
        <v>41344</v>
      </c>
      <c r="M2261" s="73" t="s">
        <v>729</v>
      </c>
      <c r="N2261" s="74">
        <v>41354</v>
      </c>
      <c r="O2261" s="75">
        <f t="shared" si="529"/>
        <v>41354</v>
      </c>
      <c r="P2261" s="2765" t="s">
        <v>1677</v>
      </c>
      <c r="Q2261" s="2954"/>
      <c r="R2261" s="76">
        <f t="shared" si="532"/>
        <v>281.49</v>
      </c>
      <c r="S2261" s="1945" t="s">
        <v>731</v>
      </c>
      <c r="T2261" s="77"/>
      <c r="U2261" s="1893"/>
      <c r="V2261" s="2079">
        <f t="shared" si="526"/>
        <v>0</v>
      </c>
      <c r="W2261" s="78">
        <f t="shared" si="527"/>
        <v>332.15819999999997</v>
      </c>
      <c r="X2261" s="1878" t="str">
        <f t="shared" si="523"/>
        <v xml:space="preserve">11.- C Vikrant 0310211-OT_180258  Reencauche 030-0025899 </v>
      </c>
      <c r="Z2261" s="19" t="str">
        <f t="shared" si="528"/>
        <v>ReencaucheReencauchadora RENOVA</v>
      </c>
    </row>
    <row r="2262" spans="2:26" outlineLevel="1">
      <c r="B2262" s="3275"/>
      <c r="C2262" s="2">
        <f t="shared" si="530"/>
        <v>61</v>
      </c>
      <c r="D2262" s="3">
        <f t="shared" si="531"/>
        <v>10</v>
      </c>
      <c r="E2262" s="66">
        <v>12</v>
      </c>
      <c r="F2262" s="67" t="s">
        <v>732</v>
      </c>
      <c r="G2262" s="68" t="s">
        <v>737</v>
      </c>
      <c r="H2262" s="69" t="s">
        <v>1683</v>
      </c>
      <c r="I2262" s="68" t="s">
        <v>726</v>
      </c>
      <c r="J2262" s="70" t="s">
        <v>760</v>
      </c>
      <c r="K2262" s="71" t="s">
        <v>1681</v>
      </c>
      <c r="L2262" s="72">
        <v>41344</v>
      </c>
      <c r="M2262" s="73" t="s">
        <v>729</v>
      </c>
      <c r="N2262" s="74">
        <v>41354</v>
      </c>
      <c r="O2262" s="75">
        <f t="shared" si="529"/>
        <v>41354</v>
      </c>
      <c r="P2262" s="2765" t="s">
        <v>1677</v>
      </c>
      <c r="Q2262" s="2954"/>
      <c r="R2262" s="76">
        <f t="shared" si="532"/>
        <v>281.49</v>
      </c>
      <c r="S2262" s="1945" t="s">
        <v>731</v>
      </c>
      <c r="T2262" s="77"/>
      <c r="U2262" s="1893"/>
      <c r="V2262" s="2079">
        <f t="shared" si="526"/>
        <v>0</v>
      </c>
      <c r="W2262" s="78">
        <f t="shared" si="527"/>
        <v>332.15819999999997</v>
      </c>
      <c r="X2262" s="1878" t="str">
        <f t="shared" si="523"/>
        <v xml:space="preserve">12.- C Vikrant 0460510-OT_180258  Reencauche 030-0025899 </v>
      </c>
      <c r="Z2262" s="19" t="str">
        <f t="shared" si="528"/>
        <v>ReencaucheReencauchadora RENOVA</v>
      </c>
    </row>
    <row r="2263" spans="2:26" outlineLevel="1">
      <c r="B2263" s="3275"/>
      <c r="C2263" s="2">
        <f t="shared" si="530"/>
        <v>60</v>
      </c>
      <c r="D2263" s="3">
        <f t="shared" si="531"/>
        <v>9</v>
      </c>
      <c r="E2263" s="66">
        <v>13</v>
      </c>
      <c r="F2263" s="67" t="s">
        <v>732</v>
      </c>
      <c r="G2263" s="68" t="s">
        <v>737</v>
      </c>
      <c r="H2263" s="69" t="s">
        <v>1167</v>
      </c>
      <c r="I2263" s="68" t="s">
        <v>726</v>
      </c>
      <c r="J2263" s="70" t="s">
        <v>760</v>
      </c>
      <c r="K2263" s="71" t="s">
        <v>1681</v>
      </c>
      <c r="L2263" s="72">
        <v>41344</v>
      </c>
      <c r="M2263" s="73" t="s">
        <v>729</v>
      </c>
      <c r="N2263" s="74">
        <v>41354</v>
      </c>
      <c r="O2263" s="75">
        <f t="shared" si="529"/>
        <v>41354</v>
      </c>
      <c r="P2263" s="2765" t="s">
        <v>1677</v>
      </c>
      <c r="Q2263" s="2954"/>
      <c r="R2263" s="76">
        <f t="shared" si="532"/>
        <v>281.49</v>
      </c>
      <c r="S2263" s="1945" t="s">
        <v>731</v>
      </c>
      <c r="T2263" s="77"/>
      <c r="U2263" s="1893"/>
      <c r="V2263" s="2079">
        <f t="shared" si="526"/>
        <v>0</v>
      </c>
      <c r="W2263" s="78">
        <f t="shared" si="527"/>
        <v>332.15819999999997</v>
      </c>
      <c r="X2263" s="1878" t="str">
        <f t="shared" si="523"/>
        <v xml:space="preserve">13.- C Vikrant 0270410-OT_180258  Reencauche 030-0025899 </v>
      </c>
      <c r="Z2263" s="19" t="str">
        <f t="shared" si="528"/>
        <v>ReencaucheReencauchadora RENOVA</v>
      </c>
    </row>
    <row r="2264" spans="2:26" outlineLevel="1">
      <c r="B2264" s="3275"/>
      <c r="C2264" s="2">
        <f t="shared" si="530"/>
        <v>59</v>
      </c>
      <c r="D2264" s="3">
        <f t="shared" si="531"/>
        <v>8</v>
      </c>
      <c r="E2264" s="66">
        <v>14</v>
      </c>
      <c r="F2264" s="67" t="s">
        <v>732</v>
      </c>
      <c r="G2264" s="68" t="s">
        <v>733</v>
      </c>
      <c r="H2264" s="69" t="s">
        <v>1122</v>
      </c>
      <c r="I2264" s="68" t="s">
        <v>726</v>
      </c>
      <c r="J2264" s="70" t="s">
        <v>760</v>
      </c>
      <c r="K2264" s="71" t="s">
        <v>1684</v>
      </c>
      <c r="L2264" s="72">
        <v>41344</v>
      </c>
      <c r="M2264" s="73" t="s">
        <v>729</v>
      </c>
      <c r="N2264" s="74">
        <v>41354</v>
      </c>
      <c r="O2264" s="75">
        <f t="shared" si="529"/>
        <v>41354</v>
      </c>
      <c r="P2264" s="2765" t="s">
        <v>1676</v>
      </c>
      <c r="Q2264" s="2954"/>
      <c r="R2264" s="76">
        <f t="shared" si="532"/>
        <v>281.49</v>
      </c>
      <c r="S2264" s="1945" t="s">
        <v>731</v>
      </c>
      <c r="T2264" s="77"/>
      <c r="U2264" s="1893"/>
      <c r="V2264" s="2079">
        <f t="shared" si="526"/>
        <v>0</v>
      </c>
      <c r="W2264" s="78">
        <f t="shared" si="527"/>
        <v>332.15819999999997</v>
      </c>
      <c r="X2264" s="1878" t="str">
        <f t="shared" si="523"/>
        <v xml:space="preserve">14.- C Lima Caucho 0210108-OT_180257  Reencauche 030-0025900 </v>
      </c>
      <c r="Z2264" s="19" t="str">
        <f t="shared" si="528"/>
        <v>ReencaucheReencauchadora RENOVA</v>
      </c>
    </row>
    <row r="2265" spans="2:26" outlineLevel="1">
      <c r="B2265" s="3275"/>
      <c r="C2265" s="2">
        <f t="shared" si="530"/>
        <v>58</v>
      </c>
      <c r="D2265" s="3">
        <f t="shared" si="531"/>
        <v>7</v>
      </c>
      <c r="E2265" s="66">
        <v>15</v>
      </c>
      <c r="F2265" s="67" t="s">
        <v>732</v>
      </c>
      <c r="G2265" s="68" t="s">
        <v>733</v>
      </c>
      <c r="H2265" s="69" t="s">
        <v>1685</v>
      </c>
      <c r="I2265" s="68" t="s">
        <v>726</v>
      </c>
      <c r="J2265" s="70" t="s">
        <v>760</v>
      </c>
      <c r="K2265" s="71" t="s">
        <v>1684</v>
      </c>
      <c r="L2265" s="72">
        <v>41344</v>
      </c>
      <c r="M2265" s="73" t="s">
        <v>729</v>
      </c>
      <c r="N2265" s="74">
        <v>41354</v>
      </c>
      <c r="O2265" s="75">
        <f t="shared" si="529"/>
        <v>41354</v>
      </c>
      <c r="P2265" s="2765" t="s">
        <v>1676</v>
      </c>
      <c r="Q2265" s="2954"/>
      <c r="R2265" s="76">
        <f t="shared" si="532"/>
        <v>281.49</v>
      </c>
      <c r="S2265" s="1945" t="s">
        <v>731</v>
      </c>
      <c r="T2265" s="77"/>
      <c r="U2265" s="1893"/>
      <c r="V2265" s="2079">
        <f t="shared" si="526"/>
        <v>0</v>
      </c>
      <c r="W2265" s="78">
        <f t="shared" si="527"/>
        <v>332.15819999999997</v>
      </c>
      <c r="X2265" s="1878" t="str">
        <f t="shared" si="523"/>
        <v xml:space="preserve">15.- C Lima Caucho 0140108-OT_180257  Reencauche 030-0025900 </v>
      </c>
      <c r="Z2265" s="19" t="str">
        <f t="shared" si="528"/>
        <v>ReencaucheReencauchadora RENOVA</v>
      </c>
    </row>
    <row r="2266" spans="2:26" outlineLevel="1">
      <c r="B2266" s="3275"/>
      <c r="C2266" s="2">
        <f t="shared" si="530"/>
        <v>57</v>
      </c>
      <c r="D2266" s="3">
        <f t="shared" si="531"/>
        <v>6</v>
      </c>
      <c r="E2266" s="66">
        <v>16</v>
      </c>
      <c r="F2266" s="67" t="s">
        <v>732</v>
      </c>
      <c r="G2266" s="68" t="s">
        <v>733</v>
      </c>
      <c r="H2266" s="69" t="s">
        <v>994</v>
      </c>
      <c r="I2266" s="68" t="s">
        <v>726</v>
      </c>
      <c r="J2266" s="70" t="s">
        <v>760</v>
      </c>
      <c r="K2266" s="71" t="s">
        <v>1684</v>
      </c>
      <c r="L2266" s="72">
        <v>41344</v>
      </c>
      <c r="M2266" s="73" t="s">
        <v>729</v>
      </c>
      <c r="N2266" s="74">
        <v>41354</v>
      </c>
      <c r="O2266" s="75">
        <f t="shared" si="529"/>
        <v>41354</v>
      </c>
      <c r="P2266" s="2765" t="s">
        <v>1677</v>
      </c>
      <c r="Q2266" s="2954"/>
      <c r="R2266" s="76">
        <f t="shared" si="532"/>
        <v>281.49</v>
      </c>
      <c r="S2266" s="1945" t="s">
        <v>731</v>
      </c>
      <c r="T2266" s="77"/>
      <c r="U2266" s="1893"/>
      <c r="V2266" s="2079">
        <f t="shared" si="526"/>
        <v>0</v>
      </c>
      <c r="W2266" s="78">
        <f t="shared" si="527"/>
        <v>332.15819999999997</v>
      </c>
      <c r="X2266" s="1878" t="str">
        <f t="shared" si="523"/>
        <v xml:space="preserve">16.- C Lima Caucho 0180207-OT_180257  Reencauche 030-0025899 </v>
      </c>
      <c r="Z2266" s="19" t="str">
        <f t="shared" si="528"/>
        <v>ReencaucheReencauchadora RENOVA</v>
      </c>
    </row>
    <row r="2267" spans="2:26" outlineLevel="1">
      <c r="B2267" s="3275"/>
      <c r="C2267" s="2">
        <f t="shared" si="530"/>
        <v>56</v>
      </c>
      <c r="D2267" s="3">
        <f t="shared" si="531"/>
        <v>5</v>
      </c>
      <c r="E2267" s="66">
        <v>17</v>
      </c>
      <c r="F2267" s="67" t="s">
        <v>732</v>
      </c>
      <c r="G2267" s="68" t="s">
        <v>733</v>
      </c>
      <c r="H2267" s="69" t="s">
        <v>1686</v>
      </c>
      <c r="I2267" s="68" t="s">
        <v>726</v>
      </c>
      <c r="J2267" s="70" t="s">
        <v>760</v>
      </c>
      <c r="K2267" s="71" t="s">
        <v>1684</v>
      </c>
      <c r="L2267" s="72">
        <v>41344</v>
      </c>
      <c r="M2267" s="73" t="s">
        <v>729</v>
      </c>
      <c r="N2267" s="74">
        <v>41354</v>
      </c>
      <c r="O2267" s="75">
        <f t="shared" si="529"/>
        <v>41354</v>
      </c>
      <c r="P2267" s="2765" t="s">
        <v>1676</v>
      </c>
      <c r="Q2267" s="2954"/>
      <c r="R2267" s="76">
        <f t="shared" si="532"/>
        <v>281.49</v>
      </c>
      <c r="S2267" s="1945" t="s">
        <v>731</v>
      </c>
      <c r="T2267" s="77"/>
      <c r="U2267" s="1893"/>
      <c r="V2267" s="2079">
        <f t="shared" si="526"/>
        <v>0</v>
      </c>
      <c r="W2267" s="78">
        <f t="shared" si="527"/>
        <v>332.15819999999997</v>
      </c>
      <c r="X2267" s="1878" t="str">
        <f t="shared" si="523"/>
        <v xml:space="preserve">17.- C Lima Caucho 0040108-OT_180257  Reencauche 030-0025900 </v>
      </c>
      <c r="Z2267" s="19" t="str">
        <f t="shared" si="528"/>
        <v>ReencaucheReencauchadora RENOVA</v>
      </c>
    </row>
    <row r="2268" spans="2:26" outlineLevel="1">
      <c r="B2268" s="3275"/>
      <c r="C2268" s="2">
        <f t="shared" si="530"/>
        <v>55</v>
      </c>
      <c r="D2268" s="3">
        <f t="shared" si="531"/>
        <v>4</v>
      </c>
      <c r="E2268" s="66">
        <v>18</v>
      </c>
      <c r="F2268" s="67" t="s">
        <v>732</v>
      </c>
      <c r="G2268" s="68" t="s">
        <v>733</v>
      </c>
      <c r="H2268" s="69" t="s">
        <v>1687</v>
      </c>
      <c r="I2268" s="68" t="s">
        <v>726</v>
      </c>
      <c r="J2268" s="70" t="s">
        <v>760</v>
      </c>
      <c r="K2268" s="71" t="s">
        <v>1684</v>
      </c>
      <c r="L2268" s="72">
        <v>41344</v>
      </c>
      <c r="M2268" s="73" t="s">
        <v>729</v>
      </c>
      <c r="N2268" s="74">
        <v>41354</v>
      </c>
      <c r="O2268" s="75">
        <f t="shared" si="529"/>
        <v>41354</v>
      </c>
      <c r="P2268" s="2765" t="s">
        <v>1677</v>
      </c>
      <c r="Q2268" s="2954"/>
      <c r="R2268" s="76">
        <f t="shared" si="532"/>
        <v>281.49</v>
      </c>
      <c r="S2268" s="1945" t="s">
        <v>731</v>
      </c>
      <c r="T2268" s="77"/>
      <c r="U2268" s="1893"/>
      <c r="V2268" s="2079">
        <f t="shared" si="526"/>
        <v>0</v>
      </c>
      <c r="W2268" s="78">
        <f t="shared" si="527"/>
        <v>332.15819999999997</v>
      </c>
      <c r="X2268" s="1878" t="str">
        <f t="shared" si="523"/>
        <v xml:space="preserve">18.- C Lima Caucho 0580708-OT_180257  Reencauche 030-0025899 </v>
      </c>
      <c r="Z2268" s="19" t="str">
        <f t="shared" si="528"/>
        <v>ReencaucheReencauchadora RENOVA</v>
      </c>
    </row>
    <row r="2269" spans="2:26">
      <c r="B2269" s="3275"/>
      <c r="C2269" s="2">
        <f t="shared" si="530"/>
        <v>54</v>
      </c>
      <c r="D2269" s="3">
        <f t="shared" si="531"/>
        <v>3</v>
      </c>
      <c r="E2269" s="66">
        <v>19</v>
      </c>
      <c r="F2269" s="67" t="s">
        <v>732</v>
      </c>
      <c r="G2269" s="68" t="s">
        <v>733</v>
      </c>
      <c r="H2269" s="69" t="s">
        <v>1688</v>
      </c>
      <c r="I2269" s="68" t="s">
        <v>726</v>
      </c>
      <c r="J2269" s="70" t="s">
        <v>760</v>
      </c>
      <c r="K2269" s="71" t="s">
        <v>1684</v>
      </c>
      <c r="L2269" s="72">
        <v>41344</v>
      </c>
      <c r="M2269" s="73" t="s">
        <v>729</v>
      </c>
      <c r="N2269" s="74">
        <v>41354</v>
      </c>
      <c r="O2269" s="75">
        <f t="shared" si="529"/>
        <v>41354</v>
      </c>
      <c r="P2269" s="2765" t="s">
        <v>1676</v>
      </c>
      <c r="Q2269" s="2954"/>
      <c r="R2269" s="76">
        <f t="shared" si="532"/>
        <v>281.49</v>
      </c>
      <c r="S2269" s="1945" t="s">
        <v>731</v>
      </c>
      <c r="T2269" s="77"/>
      <c r="U2269" s="1893"/>
      <c r="V2269" s="2079">
        <f t="shared" si="526"/>
        <v>0</v>
      </c>
      <c r="W2269" s="78">
        <f t="shared" si="527"/>
        <v>332.15819999999997</v>
      </c>
      <c r="X2269" s="1878" t="str">
        <f t="shared" si="523"/>
        <v xml:space="preserve">19.- C Lima Caucho 0260608-OT_180257  Reencauche 030-0025900 </v>
      </c>
    </row>
    <row r="2270" spans="2:26" outlineLevel="1">
      <c r="B2270" s="3275"/>
      <c r="C2270" s="2">
        <f t="shared" si="530"/>
        <v>53</v>
      </c>
      <c r="D2270" s="3">
        <f t="shared" si="531"/>
        <v>2</v>
      </c>
      <c r="E2270" s="66">
        <v>20</v>
      </c>
      <c r="F2270" s="67" t="s">
        <v>732</v>
      </c>
      <c r="G2270" s="68" t="s">
        <v>733</v>
      </c>
      <c r="H2270" s="69" t="s">
        <v>1689</v>
      </c>
      <c r="I2270" s="68" t="s">
        <v>726</v>
      </c>
      <c r="J2270" s="70" t="s">
        <v>760</v>
      </c>
      <c r="K2270" s="71" t="s">
        <v>1684</v>
      </c>
      <c r="L2270" s="72">
        <v>41344</v>
      </c>
      <c r="M2270" s="73" t="s">
        <v>729</v>
      </c>
      <c r="N2270" s="74">
        <v>41354</v>
      </c>
      <c r="O2270" s="75">
        <f t="shared" si="529"/>
        <v>41354</v>
      </c>
      <c r="P2270" s="2765" t="s">
        <v>1676</v>
      </c>
      <c r="Q2270" s="2954"/>
      <c r="R2270" s="76">
        <f t="shared" si="532"/>
        <v>281.49</v>
      </c>
      <c r="S2270" s="1945" t="s">
        <v>731</v>
      </c>
      <c r="T2270" s="77"/>
      <c r="U2270" s="1893"/>
      <c r="V2270" s="2079">
        <f t="shared" si="526"/>
        <v>0</v>
      </c>
      <c r="W2270" s="78">
        <f t="shared" si="527"/>
        <v>332.15819999999997</v>
      </c>
      <c r="X2270" s="1878" t="str">
        <f t="shared" si="523"/>
        <v xml:space="preserve">20.- C Lima Caucho 0690808-OT_180257  Reencauche 030-0025900 </v>
      </c>
      <c r="Z2270" s="19" t="str">
        <f t="shared" ref="Z2270:Z2314" si="533">CONCATENATE(I2273,J2273)</f>
        <v>Vulcanizado (curación)Reencauchadora Espinoza</v>
      </c>
    </row>
    <row r="2271" spans="2:26" ht="15.75" outlineLevel="1" thickBot="1">
      <c r="B2271" s="3276"/>
      <c r="C2271" s="2">
        <f>1+C2273</f>
        <v>52</v>
      </c>
      <c r="D2271" s="3">
        <v>1</v>
      </c>
      <c r="E2271" s="79">
        <v>21</v>
      </c>
      <c r="F2271" s="80" t="s">
        <v>732</v>
      </c>
      <c r="G2271" s="81" t="s">
        <v>733</v>
      </c>
      <c r="H2271" s="82" t="s">
        <v>964</v>
      </c>
      <c r="I2271" s="81" t="s">
        <v>726</v>
      </c>
      <c r="J2271" s="83" t="s">
        <v>760</v>
      </c>
      <c r="K2271" s="84" t="s">
        <v>1684</v>
      </c>
      <c r="L2271" s="85">
        <v>41344</v>
      </c>
      <c r="M2271" s="287" t="s">
        <v>729</v>
      </c>
      <c r="N2271" s="87">
        <v>41354</v>
      </c>
      <c r="O2271" s="88">
        <f t="shared" si="529"/>
        <v>41354</v>
      </c>
      <c r="P2271" s="2766" t="s">
        <v>1676</v>
      </c>
      <c r="Q2271" s="2955"/>
      <c r="R2271" s="89">
        <f t="shared" si="532"/>
        <v>281.49</v>
      </c>
      <c r="S2271" s="1946" t="s">
        <v>731</v>
      </c>
      <c r="T2271" s="77"/>
      <c r="U2271" s="1893"/>
      <c r="V2271" s="2079">
        <f t="shared" si="526"/>
        <v>0</v>
      </c>
      <c r="W2271" s="78">
        <f t="shared" si="527"/>
        <v>332.15819999999997</v>
      </c>
      <c r="X2271" s="1878" t="str">
        <f t="shared" si="523"/>
        <v xml:space="preserve">21.- C Lima Caucho 1281207-OT_180257  Reencauche 030-0025900 </v>
      </c>
      <c r="Z2271" s="19" t="str">
        <f t="shared" si="533"/>
        <v>Transpl BandaReencauchadora Espinoza</v>
      </c>
    </row>
    <row r="2272" spans="2:26" ht="15.75" outlineLevel="1" thickBot="1">
      <c r="B2272" s="3306">
        <v>41306</v>
      </c>
      <c r="C2272" s="3306"/>
      <c r="D2272" s="258">
        <f>+D2273</f>
        <v>40</v>
      </c>
      <c r="E2272" s="66"/>
      <c r="F2272" s="67"/>
      <c r="G2272" s="68"/>
      <c r="H2272" s="69"/>
      <c r="I2272" s="68"/>
      <c r="J2272" s="70"/>
      <c r="K2272" s="71"/>
      <c r="L2272" s="72"/>
      <c r="M2272" s="73"/>
      <c r="N2272" s="74"/>
      <c r="O2272" s="75"/>
      <c r="P2272" s="2765"/>
      <c r="Q2272" s="2954"/>
      <c r="R2272" s="76"/>
      <c r="S2272" s="1945"/>
      <c r="T2272" s="77"/>
      <c r="U2272" s="1893"/>
      <c r="V2272" s="2079">
        <f t="shared" si="526"/>
        <v>0</v>
      </c>
      <c r="W2272" s="78">
        <f t="shared" si="527"/>
        <v>0</v>
      </c>
      <c r="X2272" s="1878" t="str">
        <f t="shared" si="523"/>
        <v xml:space="preserve">.-   -OT_    </v>
      </c>
      <c r="Z2272" s="19" t="str">
        <f t="shared" si="533"/>
        <v>Sacar_BandaReencauchadora Espinoza</v>
      </c>
    </row>
    <row r="2273" spans="2:26" outlineLevel="1">
      <c r="B2273" s="3274">
        <v>41306</v>
      </c>
      <c r="C2273" s="2">
        <f>1+C2274</f>
        <v>51</v>
      </c>
      <c r="D2273" s="3">
        <f>1+D2274</f>
        <v>40</v>
      </c>
      <c r="E2273" s="66">
        <v>1</v>
      </c>
      <c r="F2273" s="67" t="s">
        <v>732</v>
      </c>
      <c r="G2273" s="68" t="s">
        <v>733</v>
      </c>
      <c r="H2273" s="69" t="s">
        <v>1690</v>
      </c>
      <c r="I2273" s="257" t="s">
        <v>811</v>
      </c>
      <c r="J2273" s="92" t="s">
        <v>1543</v>
      </c>
      <c r="K2273" s="71" t="s">
        <v>1691</v>
      </c>
      <c r="L2273" s="72">
        <v>41312</v>
      </c>
      <c r="M2273" s="73" t="s">
        <v>729</v>
      </c>
      <c r="N2273" s="74">
        <v>41319</v>
      </c>
      <c r="O2273" s="75">
        <f t="shared" ref="O2273:O2317" si="534">+N2273</f>
        <v>41319</v>
      </c>
      <c r="P2273" s="2765" t="s">
        <v>1692</v>
      </c>
      <c r="Q2273" s="2954"/>
      <c r="R2273" s="76">
        <v>105.93</v>
      </c>
      <c r="S2273" s="1945" t="s">
        <v>731</v>
      </c>
      <c r="T2273" s="77"/>
      <c r="U2273" s="1893"/>
      <c r="V2273" s="2079">
        <f t="shared" si="526"/>
        <v>0</v>
      </c>
      <c r="W2273" s="78">
        <f t="shared" si="527"/>
        <v>124.9974</v>
      </c>
      <c r="X2273" s="1878" t="str">
        <f t="shared" si="523"/>
        <v xml:space="preserve">1.- C Lima Caucho 0650610-OT_000050  Vulcanizado (curación) 001-003419 </v>
      </c>
      <c r="Z2273" s="19" t="str">
        <f t="shared" si="533"/>
        <v>ReencaucheReencauchadora Espinoza</v>
      </c>
    </row>
    <row r="2274" spans="2:26" outlineLevel="1">
      <c r="B2274" s="3275"/>
      <c r="C2274" s="2">
        <f>1+C2276</f>
        <v>50</v>
      </c>
      <c r="D2274" s="3">
        <f>1+D2276</f>
        <v>39</v>
      </c>
      <c r="E2274" s="66">
        <v>2</v>
      </c>
      <c r="F2274" s="67" t="s">
        <v>732</v>
      </c>
      <c r="G2274" s="68" t="s">
        <v>1233</v>
      </c>
      <c r="H2274" s="69" t="s">
        <v>1538</v>
      </c>
      <c r="I2274" s="257" t="s">
        <v>740</v>
      </c>
      <c r="J2274" s="92" t="s">
        <v>1543</v>
      </c>
      <c r="K2274" s="71" t="s">
        <v>1691</v>
      </c>
      <c r="L2274" s="72">
        <v>41312</v>
      </c>
      <c r="M2274" s="73" t="s">
        <v>729</v>
      </c>
      <c r="N2274" s="74">
        <v>41319</v>
      </c>
      <c r="O2274" s="75">
        <f t="shared" si="534"/>
        <v>41319</v>
      </c>
      <c r="P2274" s="2765" t="s">
        <v>1692</v>
      </c>
      <c r="Q2274" s="2954"/>
      <c r="R2274" s="76">
        <v>127.12</v>
      </c>
      <c r="S2274" s="1945" t="s">
        <v>731</v>
      </c>
      <c r="T2274" s="77"/>
      <c r="U2274" s="1893"/>
      <c r="V2274" s="2079">
        <f t="shared" si="526"/>
        <v>0</v>
      </c>
      <c r="W2274" s="78">
        <f t="shared" si="527"/>
        <v>150.0016</v>
      </c>
      <c r="X2274" s="1878" t="str">
        <f t="shared" ref="X2274:X2337" si="535">CONCATENATE(E2274,".- ",F2274," ",G2274," ",H2274,"-OT_",K2274," "," ",I2274," ",P2274," ",T2274)</f>
        <v xml:space="preserve">2.- C Saratoga 0130306-OT_000050  Transpl Banda 001-003419 </v>
      </c>
      <c r="Z2274" s="19" t="str">
        <f t="shared" si="533"/>
        <v>ReencaucheReencauchadora Espinoza</v>
      </c>
    </row>
    <row r="2275" spans="2:26" outlineLevel="1">
      <c r="B2275" s="3275"/>
      <c r="E2275" s="79">
        <v>3</v>
      </c>
      <c r="F2275" s="80" t="s">
        <v>732</v>
      </c>
      <c r="G2275" s="81" t="s">
        <v>737</v>
      </c>
      <c r="H2275" s="82" t="s">
        <v>1693</v>
      </c>
      <c r="I2275" s="262" t="s">
        <v>744</v>
      </c>
      <c r="J2275" s="93" t="s">
        <v>1543</v>
      </c>
      <c r="K2275" s="84" t="s">
        <v>1691</v>
      </c>
      <c r="L2275" s="85">
        <v>41312</v>
      </c>
      <c r="M2275" s="86" t="s">
        <v>729</v>
      </c>
      <c r="N2275" s="87">
        <v>41372</v>
      </c>
      <c r="O2275" s="88">
        <f t="shared" si="534"/>
        <v>41372</v>
      </c>
      <c r="P2275" s="2766" t="s">
        <v>1694</v>
      </c>
      <c r="Q2275" s="2955"/>
      <c r="R2275" s="89">
        <v>0</v>
      </c>
      <c r="S2275" s="1946" t="s">
        <v>731</v>
      </c>
      <c r="T2275" s="77"/>
      <c r="U2275" s="1893"/>
      <c r="V2275" s="2079">
        <f t="shared" ref="V2275:V2338" si="536">+Q2275*(1.18)</f>
        <v>0</v>
      </c>
      <c r="W2275" s="78">
        <f t="shared" ref="W2275:W2338" si="537">+R2275*(1.18)</f>
        <v>0</v>
      </c>
      <c r="X2275" s="1878" t="str">
        <f t="shared" si="535"/>
        <v xml:space="preserve">3.- C Vikrant 0700809-OT_000050  Sacar_Banda  ---   .   --- </v>
      </c>
      <c r="Z2275" s="19" t="str">
        <f t="shared" si="533"/>
        <v>Transpl BandaReencauchadora Espinoza</v>
      </c>
    </row>
    <row r="2276" spans="2:26" outlineLevel="1">
      <c r="B2276" s="3275"/>
      <c r="C2276" s="2">
        <f t="shared" ref="C2276:D2278" si="538">1+C2277</f>
        <v>49</v>
      </c>
      <c r="D2276" s="3">
        <f t="shared" si="538"/>
        <v>38</v>
      </c>
      <c r="E2276" s="66">
        <v>1</v>
      </c>
      <c r="F2276" s="67" t="s">
        <v>732</v>
      </c>
      <c r="G2276" s="68" t="s">
        <v>776</v>
      </c>
      <c r="H2276" s="69" t="s">
        <v>961</v>
      </c>
      <c r="I2276" s="68" t="s">
        <v>726</v>
      </c>
      <c r="J2276" s="70" t="s">
        <v>1543</v>
      </c>
      <c r="K2276" s="71" t="s">
        <v>1695</v>
      </c>
      <c r="L2276" s="72">
        <v>41300</v>
      </c>
      <c r="M2276" s="73" t="s">
        <v>729</v>
      </c>
      <c r="N2276" s="74">
        <v>41319</v>
      </c>
      <c r="O2276" s="75">
        <f t="shared" si="534"/>
        <v>41319</v>
      </c>
      <c r="P2276" s="2765" t="s">
        <v>1696</v>
      </c>
      <c r="Q2276" s="2954"/>
      <c r="R2276" s="76">
        <v>254.24</v>
      </c>
      <c r="S2276" s="1945" t="s">
        <v>731</v>
      </c>
      <c r="T2276" s="77"/>
      <c r="U2276" s="1893"/>
      <c r="V2276" s="2079">
        <f t="shared" si="536"/>
        <v>0</v>
      </c>
      <c r="W2276" s="78">
        <f t="shared" si="537"/>
        <v>300.00319999999999</v>
      </c>
      <c r="X2276" s="1878" t="str">
        <f t="shared" si="535"/>
        <v xml:space="preserve">1.- C Altura 0650911-OT_000031  Reencauche 001-003418 </v>
      </c>
      <c r="Z2276" s="19" t="str">
        <f t="shared" si="533"/>
        <v>Transpl BandaReencauchadora Espinoza</v>
      </c>
    </row>
    <row r="2277" spans="2:26" outlineLevel="1">
      <c r="B2277" s="3275"/>
      <c r="C2277" s="2">
        <f t="shared" si="538"/>
        <v>48</v>
      </c>
      <c r="D2277" s="3">
        <f t="shared" si="538"/>
        <v>37</v>
      </c>
      <c r="E2277" s="66">
        <v>2</v>
      </c>
      <c r="F2277" s="67" t="s">
        <v>732</v>
      </c>
      <c r="G2277" s="68" t="s">
        <v>733</v>
      </c>
      <c r="H2277" s="69" t="s">
        <v>1188</v>
      </c>
      <c r="I2277" s="68" t="s">
        <v>726</v>
      </c>
      <c r="J2277" s="70" t="s">
        <v>1543</v>
      </c>
      <c r="K2277" s="71" t="s">
        <v>1695</v>
      </c>
      <c r="L2277" s="72">
        <v>41300</v>
      </c>
      <c r="M2277" s="73" t="s">
        <v>729</v>
      </c>
      <c r="N2277" s="74">
        <v>41319</v>
      </c>
      <c r="O2277" s="75">
        <f t="shared" si="534"/>
        <v>41319</v>
      </c>
      <c r="P2277" s="2765" t="s">
        <v>1696</v>
      </c>
      <c r="Q2277" s="2954"/>
      <c r="R2277" s="76">
        <v>254.24</v>
      </c>
      <c r="S2277" s="1945" t="s">
        <v>731</v>
      </c>
      <c r="T2277" s="77"/>
      <c r="U2277" s="1893"/>
      <c r="V2277" s="2079">
        <f t="shared" si="536"/>
        <v>0</v>
      </c>
      <c r="W2277" s="78">
        <f t="shared" si="537"/>
        <v>300.00319999999999</v>
      </c>
      <c r="X2277" s="1878" t="str">
        <f t="shared" si="535"/>
        <v xml:space="preserve">2.- C Lima Caucho 0550610-OT_000031  Reencauche 001-003418 </v>
      </c>
      <c r="Z2277" s="19" t="str">
        <f t="shared" si="533"/>
        <v>Sacar_BandaReencauchadora Espinoza</v>
      </c>
    </row>
    <row r="2278" spans="2:26" outlineLevel="1">
      <c r="B2278" s="3275"/>
      <c r="C2278" s="2">
        <f t="shared" si="538"/>
        <v>47</v>
      </c>
      <c r="D2278" s="3">
        <f t="shared" si="538"/>
        <v>36</v>
      </c>
      <c r="E2278" s="66">
        <v>3</v>
      </c>
      <c r="F2278" s="67" t="s">
        <v>732</v>
      </c>
      <c r="G2278" s="68" t="s">
        <v>757</v>
      </c>
      <c r="H2278" s="69" t="s">
        <v>1509</v>
      </c>
      <c r="I2278" s="257" t="s">
        <v>740</v>
      </c>
      <c r="J2278" s="92" t="s">
        <v>1543</v>
      </c>
      <c r="K2278" s="71" t="s">
        <v>1695</v>
      </c>
      <c r="L2278" s="72">
        <v>41300</v>
      </c>
      <c r="M2278" s="73" t="s">
        <v>729</v>
      </c>
      <c r="N2278" s="74">
        <v>41319</v>
      </c>
      <c r="O2278" s="75">
        <f t="shared" si="534"/>
        <v>41319</v>
      </c>
      <c r="P2278" s="2765" t="s">
        <v>1696</v>
      </c>
      <c r="Q2278" s="2954"/>
      <c r="R2278" s="76">
        <v>127.12</v>
      </c>
      <c r="S2278" s="1945" t="s">
        <v>731</v>
      </c>
      <c r="T2278" s="77"/>
      <c r="U2278" s="1893"/>
      <c r="V2278" s="2079">
        <f t="shared" si="536"/>
        <v>0</v>
      </c>
      <c r="W2278" s="78">
        <f t="shared" si="537"/>
        <v>150.0016</v>
      </c>
      <c r="X2278" s="1878" t="str">
        <f t="shared" si="535"/>
        <v xml:space="preserve">3.- C Goodyear 0670404-OT_000031  Transpl Banda 001-003418 </v>
      </c>
      <c r="Z2278" s="19" t="str">
        <f t="shared" si="533"/>
        <v>Sacar_BandaReencauchadora Espinoza</v>
      </c>
    </row>
    <row r="2279" spans="2:26" outlineLevel="1">
      <c r="B2279" s="3275"/>
      <c r="C2279" s="3">
        <f>1+C2283</f>
        <v>46</v>
      </c>
      <c r="D2279" s="3">
        <f>1+D2283</f>
        <v>35</v>
      </c>
      <c r="E2279" s="66">
        <v>4</v>
      </c>
      <c r="F2279" s="67" t="s">
        <v>732</v>
      </c>
      <c r="G2279" s="68" t="s">
        <v>757</v>
      </c>
      <c r="H2279" s="69" t="s">
        <v>1249</v>
      </c>
      <c r="I2279" s="257" t="s">
        <v>740</v>
      </c>
      <c r="J2279" s="92" t="s">
        <v>1543</v>
      </c>
      <c r="K2279" s="71" t="s">
        <v>1695</v>
      </c>
      <c r="L2279" s="72">
        <v>41300</v>
      </c>
      <c r="M2279" s="73" t="s">
        <v>729</v>
      </c>
      <c r="N2279" s="74">
        <v>41319</v>
      </c>
      <c r="O2279" s="75">
        <f t="shared" si="534"/>
        <v>41319</v>
      </c>
      <c r="P2279" s="2765" t="s">
        <v>1696</v>
      </c>
      <c r="Q2279" s="2954"/>
      <c r="R2279" s="76">
        <v>127.12</v>
      </c>
      <c r="S2279" s="1945" t="s">
        <v>731</v>
      </c>
      <c r="T2279" s="77"/>
      <c r="U2279" s="1893"/>
      <c r="V2279" s="2079">
        <f t="shared" si="536"/>
        <v>0</v>
      </c>
      <c r="W2279" s="78">
        <f t="shared" si="537"/>
        <v>150.0016</v>
      </c>
      <c r="X2279" s="1878" t="str">
        <f t="shared" si="535"/>
        <v xml:space="preserve">4.- C Goodyear 1651004-OT_000031  Transpl Banda 001-003418 </v>
      </c>
      <c r="Z2279" s="19" t="str">
        <f t="shared" si="533"/>
        <v>RECLAMOReencauchadora Espinoza</v>
      </c>
    </row>
    <row r="2280" spans="2:26" outlineLevel="1">
      <c r="B2280" s="3275"/>
      <c r="E2280" s="66">
        <v>5</v>
      </c>
      <c r="F2280" s="67" t="s">
        <v>732</v>
      </c>
      <c r="G2280" s="68" t="s">
        <v>757</v>
      </c>
      <c r="H2280" s="69" t="s">
        <v>1697</v>
      </c>
      <c r="I2280" s="257" t="s">
        <v>744</v>
      </c>
      <c r="J2280" s="92" t="s">
        <v>1543</v>
      </c>
      <c r="K2280" s="71" t="s">
        <v>1695</v>
      </c>
      <c r="L2280" s="72">
        <v>41300</v>
      </c>
      <c r="M2280" s="73" t="s">
        <v>729</v>
      </c>
      <c r="N2280" s="74">
        <v>41372</v>
      </c>
      <c r="O2280" s="75">
        <f t="shared" si="534"/>
        <v>41372</v>
      </c>
      <c r="P2280" s="2765" t="s">
        <v>1694</v>
      </c>
      <c r="Q2280" s="2954"/>
      <c r="R2280" s="76">
        <v>0</v>
      </c>
      <c r="S2280" s="1945" t="s">
        <v>731</v>
      </c>
      <c r="T2280" s="77"/>
      <c r="U2280" s="1893"/>
      <c r="V2280" s="2079">
        <f t="shared" si="536"/>
        <v>0</v>
      </c>
      <c r="W2280" s="78">
        <f t="shared" si="537"/>
        <v>0</v>
      </c>
      <c r="X2280" s="1878" t="str">
        <f t="shared" si="535"/>
        <v xml:space="preserve">5.- C Goodyear 0711201-OT_000031  Sacar_Banda  ---   .   --- </v>
      </c>
      <c r="Z2280" s="19" t="str">
        <f t="shared" si="533"/>
        <v>ReencaucheReencauchadora RENOVA</v>
      </c>
    </row>
    <row r="2281" spans="2:26" outlineLevel="1">
      <c r="B2281" s="3275"/>
      <c r="E2281" s="66">
        <v>6</v>
      </c>
      <c r="F2281" s="67" t="s">
        <v>732</v>
      </c>
      <c r="G2281" s="68" t="s">
        <v>757</v>
      </c>
      <c r="H2281" s="69" t="s">
        <v>1698</v>
      </c>
      <c r="I2281" s="257" t="s">
        <v>744</v>
      </c>
      <c r="J2281" s="92" t="s">
        <v>1543</v>
      </c>
      <c r="K2281" s="71" t="s">
        <v>1695</v>
      </c>
      <c r="L2281" s="72">
        <v>41300</v>
      </c>
      <c r="M2281" s="73" t="s">
        <v>729</v>
      </c>
      <c r="N2281" s="74">
        <v>41372</v>
      </c>
      <c r="O2281" s="75">
        <f t="shared" si="534"/>
        <v>41372</v>
      </c>
      <c r="P2281" s="2765" t="s">
        <v>1694</v>
      </c>
      <c r="Q2281" s="2954"/>
      <c r="R2281" s="76">
        <v>0</v>
      </c>
      <c r="S2281" s="1945" t="s">
        <v>731</v>
      </c>
      <c r="T2281" s="77"/>
      <c r="U2281" s="1893"/>
      <c r="V2281" s="2079">
        <f t="shared" si="536"/>
        <v>0</v>
      </c>
      <c r="W2281" s="78">
        <f t="shared" si="537"/>
        <v>0</v>
      </c>
      <c r="X2281" s="1878" t="str">
        <f t="shared" si="535"/>
        <v xml:space="preserve">6.- C Goodyear 055032004-OT_000031  Sacar_Banda  ---   .   --- </v>
      </c>
      <c r="Z2281" s="19" t="str">
        <f t="shared" si="533"/>
        <v>ReencaucheReencauchadora RENOVA</v>
      </c>
    </row>
    <row r="2282" spans="2:26" outlineLevel="1">
      <c r="B2282" s="3275"/>
      <c r="E2282" s="79">
        <v>7</v>
      </c>
      <c r="F2282" s="80" t="s">
        <v>732</v>
      </c>
      <c r="G2282" s="81" t="s">
        <v>733</v>
      </c>
      <c r="H2282" s="82" t="s">
        <v>1699</v>
      </c>
      <c r="I2282" s="81" t="s">
        <v>816</v>
      </c>
      <c r="J2282" s="83" t="s">
        <v>1543</v>
      </c>
      <c r="K2282" s="84" t="s">
        <v>1695</v>
      </c>
      <c r="L2282" s="85">
        <v>41300</v>
      </c>
      <c r="M2282" s="86" t="s">
        <v>729</v>
      </c>
      <c r="N2282" s="87">
        <v>41319</v>
      </c>
      <c r="O2282" s="88">
        <f t="shared" si="534"/>
        <v>41319</v>
      </c>
      <c r="P2282" s="2766" t="s">
        <v>1694</v>
      </c>
      <c r="Q2282" s="2955"/>
      <c r="R2282" s="89">
        <v>0</v>
      </c>
      <c r="S2282" s="1946" t="s">
        <v>731</v>
      </c>
      <c r="T2282" s="77"/>
      <c r="U2282" s="1893"/>
      <c r="V2282" s="2079">
        <f t="shared" si="536"/>
        <v>0</v>
      </c>
      <c r="W2282" s="78">
        <f t="shared" si="537"/>
        <v>0</v>
      </c>
      <c r="X2282" s="1878" t="str">
        <f t="shared" si="535"/>
        <v xml:space="preserve">7.- C Lima Caucho 0560610-OT_000031  RECLAMO  ---   .   --- </v>
      </c>
      <c r="Z2282" s="19" t="str">
        <f t="shared" si="533"/>
        <v>ReencaucheReencauchadora RENOVA</v>
      </c>
    </row>
    <row r="2283" spans="2:26" outlineLevel="1">
      <c r="B2283" s="3275"/>
      <c r="C2283" s="2">
        <f t="shared" ref="C2283:D2289" si="539">1+C2284</f>
        <v>45</v>
      </c>
      <c r="D2283" s="3">
        <f t="shared" si="539"/>
        <v>34</v>
      </c>
      <c r="E2283" s="66">
        <v>1</v>
      </c>
      <c r="F2283" s="67" t="s">
        <v>732</v>
      </c>
      <c r="G2283" s="68" t="s">
        <v>733</v>
      </c>
      <c r="H2283" s="69" t="s">
        <v>952</v>
      </c>
      <c r="I2283" s="68" t="s">
        <v>726</v>
      </c>
      <c r="J2283" s="70" t="s">
        <v>760</v>
      </c>
      <c r="K2283" s="71" t="s">
        <v>1700</v>
      </c>
      <c r="L2283" s="72">
        <v>41292</v>
      </c>
      <c r="M2283" s="73" t="s">
        <v>729</v>
      </c>
      <c r="N2283" s="74">
        <v>41306</v>
      </c>
      <c r="O2283" s="75">
        <f t="shared" si="534"/>
        <v>41306</v>
      </c>
      <c r="P2283" s="2765" t="s">
        <v>1701</v>
      </c>
      <c r="Q2283" s="2954">
        <v>104.24</v>
      </c>
      <c r="R2283" s="76"/>
      <c r="S2283" s="1945" t="s">
        <v>731</v>
      </c>
      <c r="T2283" s="77"/>
      <c r="U2283" s="1893"/>
      <c r="V2283" s="2079">
        <f t="shared" si="536"/>
        <v>123.00319999999999</v>
      </c>
      <c r="W2283" s="78">
        <f t="shared" si="537"/>
        <v>0</v>
      </c>
      <c r="X2283" s="1878" t="str">
        <f t="shared" si="535"/>
        <v xml:space="preserve">1.- C Lima Caucho 1511207-OT_177641  Reencauche 030-0024580 </v>
      </c>
      <c r="Z2283" s="19" t="str">
        <f t="shared" si="533"/>
        <v>ReencaucheReencauchadora RENOVA</v>
      </c>
    </row>
    <row r="2284" spans="2:26" outlineLevel="1">
      <c r="B2284" s="3275"/>
      <c r="C2284" s="2">
        <f t="shared" si="539"/>
        <v>44</v>
      </c>
      <c r="D2284" s="3">
        <f t="shared" si="539"/>
        <v>33</v>
      </c>
      <c r="E2284" s="66">
        <v>2</v>
      </c>
      <c r="F2284" s="67" t="s">
        <v>732</v>
      </c>
      <c r="G2284" s="68" t="s">
        <v>733</v>
      </c>
      <c r="H2284" s="69" t="s">
        <v>1537</v>
      </c>
      <c r="I2284" s="68" t="s">
        <v>726</v>
      </c>
      <c r="J2284" s="70" t="s">
        <v>760</v>
      </c>
      <c r="K2284" s="71" t="s">
        <v>1700</v>
      </c>
      <c r="L2284" s="72">
        <v>41292</v>
      </c>
      <c r="M2284" s="73" t="s">
        <v>729</v>
      </c>
      <c r="N2284" s="74">
        <v>41306</v>
      </c>
      <c r="O2284" s="75">
        <f t="shared" si="534"/>
        <v>41306</v>
      </c>
      <c r="P2284" s="2765" t="s">
        <v>1701</v>
      </c>
      <c r="Q2284" s="2954">
        <v>104.24</v>
      </c>
      <c r="R2284" s="76"/>
      <c r="S2284" s="1945" t="s">
        <v>731</v>
      </c>
      <c r="T2284" s="77"/>
      <c r="U2284" s="1893"/>
      <c r="V2284" s="2079">
        <f t="shared" si="536"/>
        <v>123.00319999999999</v>
      </c>
      <c r="W2284" s="78">
        <f t="shared" si="537"/>
        <v>0</v>
      </c>
      <c r="X2284" s="1878" t="str">
        <f t="shared" si="535"/>
        <v xml:space="preserve">2.- C Lima Caucho 0660810-OT_177641  Reencauche 030-0024580 </v>
      </c>
      <c r="Z2284" s="19" t="str">
        <f t="shared" si="533"/>
        <v>ReencaucheReencauchadora RENOVA</v>
      </c>
    </row>
    <row r="2285" spans="2:26" outlineLevel="1">
      <c r="B2285" s="3275"/>
      <c r="C2285" s="2">
        <f t="shared" si="539"/>
        <v>43</v>
      </c>
      <c r="D2285" s="3">
        <f t="shared" si="539"/>
        <v>32</v>
      </c>
      <c r="E2285" s="66">
        <v>3</v>
      </c>
      <c r="F2285" s="67" t="s">
        <v>732</v>
      </c>
      <c r="G2285" s="68" t="s">
        <v>769</v>
      </c>
      <c r="H2285" s="69" t="s">
        <v>1499</v>
      </c>
      <c r="I2285" s="68" t="s">
        <v>726</v>
      </c>
      <c r="J2285" s="70" t="s">
        <v>760</v>
      </c>
      <c r="K2285" s="71" t="s">
        <v>1700</v>
      </c>
      <c r="L2285" s="72">
        <v>41292</v>
      </c>
      <c r="M2285" s="73" t="s">
        <v>729</v>
      </c>
      <c r="N2285" s="74">
        <v>41306</v>
      </c>
      <c r="O2285" s="75">
        <f t="shared" si="534"/>
        <v>41306</v>
      </c>
      <c r="P2285" s="2765" t="s">
        <v>1701</v>
      </c>
      <c r="Q2285" s="2954">
        <v>104.24</v>
      </c>
      <c r="R2285" s="76"/>
      <c r="S2285" s="1945" t="s">
        <v>731</v>
      </c>
      <c r="T2285" s="77"/>
      <c r="U2285" s="1893"/>
      <c r="V2285" s="2079">
        <f t="shared" si="536"/>
        <v>123.00319999999999</v>
      </c>
      <c r="W2285" s="78">
        <f t="shared" si="537"/>
        <v>0</v>
      </c>
      <c r="X2285" s="1878" t="str">
        <f t="shared" si="535"/>
        <v xml:space="preserve">3.- C Lu He 0440509-OT_177641  Reencauche 030-0024580 </v>
      </c>
      <c r="Z2285" s="19" t="str">
        <f t="shared" si="533"/>
        <v>ReencaucheReencauchadora RENOVA</v>
      </c>
    </row>
    <row r="2286" spans="2:26" outlineLevel="1">
      <c r="B2286" s="3275"/>
      <c r="C2286" s="2">
        <f t="shared" si="539"/>
        <v>42</v>
      </c>
      <c r="D2286" s="3">
        <f t="shared" si="539"/>
        <v>31</v>
      </c>
      <c r="E2286" s="66">
        <v>4</v>
      </c>
      <c r="F2286" s="67" t="s">
        <v>732</v>
      </c>
      <c r="G2286" s="68" t="s">
        <v>733</v>
      </c>
      <c r="H2286" s="69" t="s">
        <v>1276</v>
      </c>
      <c r="I2286" s="68" t="s">
        <v>726</v>
      </c>
      <c r="J2286" s="70" t="s">
        <v>760</v>
      </c>
      <c r="K2286" s="71" t="s">
        <v>1700</v>
      </c>
      <c r="L2286" s="72">
        <v>41292</v>
      </c>
      <c r="M2286" s="73" t="s">
        <v>729</v>
      </c>
      <c r="N2286" s="74">
        <v>41306</v>
      </c>
      <c r="O2286" s="75">
        <f t="shared" si="534"/>
        <v>41306</v>
      </c>
      <c r="P2286" s="2765" t="s">
        <v>1701</v>
      </c>
      <c r="Q2286" s="2954">
        <v>104.24</v>
      </c>
      <c r="R2286" s="76"/>
      <c r="S2286" s="1945" t="s">
        <v>731</v>
      </c>
      <c r="T2286" s="77"/>
      <c r="U2286" s="1893"/>
      <c r="V2286" s="2079">
        <f t="shared" si="536"/>
        <v>123.00319999999999</v>
      </c>
      <c r="W2286" s="78">
        <f t="shared" si="537"/>
        <v>0</v>
      </c>
      <c r="X2286" s="1878" t="str">
        <f t="shared" si="535"/>
        <v xml:space="preserve">4.- C Lima Caucho 0070107-OT_177641  Reencauche 030-0024580 </v>
      </c>
      <c r="Z2286" s="19" t="str">
        <f t="shared" si="533"/>
        <v>ReencaucheReencauchadora RENOVA</v>
      </c>
    </row>
    <row r="2287" spans="2:26" outlineLevel="1">
      <c r="B2287" s="3275"/>
      <c r="C2287" s="2">
        <f t="shared" si="539"/>
        <v>41</v>
      </c>
      <c r="D2287" s="3">
        <f t="shared" si="539"/>
        <v>30</v>
      </c>
      <c r="E2287" s="66">
        <v>5</v>
      </c>
      <c r="F2287" s="67" t="s">
        <v>732</v>
      </c>
      <c r="G2287" s="68" t="s">
        <v>733</v>
      </c>
      <c r="H2287" s="69" t="s">
        <v>985</v>
      </c>
      <c r="I2287" s="68" t="s">
        <v>726</v>
      </c>
      <c r="J2287" s="70" t="s">
        <v>760</v>
      </c>
      <c r="K2287" s="71" t="s">
        <v>1700</v>
      </c>
      <c r="L2287" s="72">
        <v>41292</v>
      </c>
      <c r="M2287" s="73" t="s">
        <v>729</v>
      </c>
      <c r="N2287" s="74">
        <v>41306</v>
      </c>
      <c r="O2287" s="75">
        <f t="shared" si="534"/>
        <v>41306</v>
      </c>
      <c r="P2287" s="2765" t="s">
        <v>1701</v>
      </c>
      <c r="Q2287" s="2954">
        <v>104.24</v>
      </c>
      <c r="R2287" s="76"/>
      <c r="S2287" s="1945" t="s">
        <v>731</v>
      </c>
      <c r="T2287" s="77"/>
      <c r="U2287" s="1893"/>
      <c r="V2287" s="2079">
        <f t="shared" si="536"/>
        <v>123.00319999999999</v>
      </c>
      <c r="W2287" s="78">
        <f t="shared" si="537"/>
        <v>0</v>
      </c>
      <c r="X2287" s="1878" t="str">
        <f t="shared" si="535"/>
        <v xml:space="preserve">5.- C Lima Caucho 0890908-OT_177641  Reencauche 030-0024580 </v>
      </c>
      <c r="Z2287" s="19" t="str">
        <f t="shared" si="533"/>
        <v>ReencaucheReencauchadora RENOVA</v>
      </c>
    </row>
    <row r="2288" spans="2:26" outlineLevel="1">
      <c r="B2288" s="3275"/>
      <c r="C2288" s="2">
        <f t="shared" si="539"/>
        <v>40</v>
      </c>
      <c r="D2288" s="3">
        <f t="shared" si="539"/>
        <v>29</v>
      </c>
      <c r="E2288" s="66">
        <v>6</v>
      </c>
      <c r="F2288" s="67" t="s">
        <v>732</v>
      </c>
      <c r="G2288" s="68" t="s">
        <v>733</v>
      </c>
      <c r="H2288" s="69" t="s">
        <v>1358</v>
      </c>
      <c r="I2288" s="68" t="s">
        <v>726</v>
      </c>
      <c r="J2288" s="70" t="s">
        <v>760</v>
      </c>
      <c r="K2288" s="71" t="s">
        <v>1700</v>
      </c>
      <c r="L2288" s="72">
        <v>41292</v>
      </c>
      <c r="M2288" s="73" t="s">
        <v>729</v>
      </c>
      <c r="N2288" s="74">
        <v>41306</v>
      </c>
      <c r="O2288" s="75">
        <f t="shared" si="534"/>
        <v>41306</v>
      </c>
      <c r="P2288" s="2765" t="s">
        <v>1701</v>
      </c>
      <c r="Q2288" s="2954">
        <v>104.24</v>
      </c>
      <c r="R2288" s="76"/>
      <c r="S2288" s="1945" t="s">
        <v>731</v>
      </c>
      <c r="T2288" s="77"/>
      <c r="U2288" s="1893"/>
      <c r="V2288" s="2079">
        <f t="shared" si="536"/>
        <v>123.00319999999999</v>
      </c>
      <c r="W2288" s="78">
        <f t="shared" si="537"/>
        <v>0</v>
      </c>
      <c r="X2288" s="1878" t="str">
        <f t="shared" si="535"/>
        <v xml:space="preserve">6.- C Lima Caucho 1431207-OT_177641  Reencauche 030-0024580 </v>
      </c>
      <c r="Z2288" s="19" t="str">
        <f t="shared" si="533"/>
        <v/>
      </c>
    </row>
    <row r="2289" spans="2:26" outlineLevel="1">
      <c r="B2289" s="3275"/>
      <c r="C2289" s="2">
        <f t="shared" si="539"/>
        <v>39</v>
      </c>
      <c r="D2289" s="3">
        <f t="shared" si="539"/>
        <v>28</v>
      </c>
      <c r="E2289" s="66">
        <v>7</v>
      </c>
      <c r="F2289" s="67" t="s">
        <v>732</v>
      </c>
      <c r="G2289" s="68" t="s">
        <v>737</v>
      </c>
      <c r="H2289" s="69" t="s">
        <v>1479</v>
      </c>
      <c r="I2289" s="68" t="s">
        <v>726</v>
      </c>
      <c r="J2289" s="70" t="s">
        <v>760</v>
      </c>
      <c r="K2289" s="71" t="s">
        <v>1700</v>
      </c>
      <c r="L2289" s="72">
        <v>41292</v>
      </c>
      <c r="M2289" s="73" t="s">
        <v>729</v>
      </c>
      <c r="N2289" s="74">
        <v>41306</v>
      </c>
      <c r="O2289" s="75">
        <f t="shared" si="534"/>
        <v>41306</v>
      </c>
      <c r="P2289" s="2765" t="s">
        <v>1701</v>
      </c>
      <c r="Q2289" s="2954">
        <v>104.24</v>
      </c>
      <c r="R2289" s="76"/>
      <c r="S2289" s="1945" t="s">
        <v>731</v>
      </c>
      <c r="T2289" s="77"/>
      <c r="U2289" s="1893"/>
      <c r="V2289" s="2079">
        <f t="shared" si="536"/>
        <v>123.00319999999999</v>
      </c>
      <c r="W2289" s="78">
        <f t="shared" si="537"/>
        <v>0</v>
      </c>
      <c r="X2289" s="1878" t="str">
        <f t="shared" si="535"/>
        <v xml:space="preserve">7.- C Vikrant 0730809-OT_177641  Reencauche 030-0024580 </v>
      </c>
      <c r="Z2289" s="19" t="str">
        <f t="shared" si="533"/>
        <v>ReencaucheReencauchadora RENOVA</v>
      </c>
    </row>
    <row r="2290" spans="2:26" outlineLevel="1">
      <c r="B2290" s="3275"/>
      <c r="C2290" s="2">
        <f>1+C2292</f>
        <v>38</v>
      </c>
      <c r="D2290" s="3">
        <f>1+D2292</f>
        <v>27</v>
      </c>
      <c r="E2290" s="66">
        <v>8</v>
      </c>
      <c r="F2290" s="67" t="s">
        <v>732</v>
      </c>
      <c r="G2290" s="68" t="s">
        <v>733</v>
      </c>
      <c r="H2290" s="69" t="s">
        <v>782</v>
      </c>
      <c r="I2290" s="68" t="s">
        <v>726</v>
      </c>
      <c r="J2290" s="70" t="s">
        <v>760</v>
      </c>
      <c r="K2290" s="71" t="s">
        <v>1700</v>
      </c>
      <c r="L2290" s="72">
        <v>41292</v>
      </c>
      <c r="M2290" s="73" t="s">
        <v>729</v>
      </c>
      <c r="N2290" s="74">
        <v>41306</v>
      </c>
      <c r="O2290" s="75">
        <f t="shared" si="534"/>
        <v>41306</v>
      </c>
      <c r="P2290" s="2765" t="s">
        <v>1701</v>
      </c>
      <c r="Q2290" s="2954">
        <v>104.24</v>
      </c>
      <c r="R2290" s="76"/>
      <c r="S2290" s="1945" t="s">
        <v>731</v>
      </c>
      <c r="T2290" s="77"/>
      <c r="U2290" s="1893"/>
      <c r="V2290" s="2079">
        <f t="shared" si="536"/>
        <v>123.00319999999999</v>
      </c>
      <c r="W2290" s="78">
        <f t="shared" si="537"/>
        <v>0</v>
      </c>
      <c r="X2290" s="1878" t="str">
        <f t="shared" si="535"/>
        <v xml:space="preserve">8.- C Lima Caucho 1011210-OT_177641  Reencauche 030-0024580 </v>
      </c>
      <c r="Z2290" s="19" t="str">
        <f t="shared" si="533"/>
        <v>ReencaucheReencauchadora RENOVA</v>
      </c>
    </row>
    <row r="2291" spans="2:26" outlineLevel="1">
      <c r="B2291" s="3275"/>
      <c r="E2291" s="66">
        <v>9</v>
      </c>
      <c r="F2291" s="123" t="s">
        <v>732</v>
      </c>
      <c r="G2291" s="288" t="s">
        <v>737</v>
      </c>
      <c r="H2291" s="289" t="s">
        <v>1702</v>
      </c>
      <c r="I2291" s="290"/>
      <c r="J2291" s="291"/>
      <c r="K2291" s="292" t="s">
        <v>1700</v>
      </c>
      <c r="L2291" s="293">
        <v>41292</v>
      </c>
      <c r="M2291" s="294" t="s">
        <v>729</v>
      </c>
      <c r="N2291" s="295">
        <v>41306</v>
      </c>
      <c r="O2291" s="296">
        <f t="shared" si="534"/>
        <v>41306</v>
      </c>
      <c r="P2291" s="2795"/>
      <c r="Q2291" s="2976"/>
      <c r="R2291" s="286"/>
      <c r="S2291" s="1962" t="s">
        <v>731</v>
      </c>
      <c r="T2291" s="274" t="s">
        <v>1617</v>
      </c>
      <c r="U2291" s="1895"/>
      <c r="V2291" s="2079">
        <f t="shared" si="536"/>
        <v>0</v>
      </c>
      <c r="W2291" s="78">
        <f t="shared" si="537"/>
        <v>0</v>
      </c>
      <c r="X2291" s="1878" t="str">
        <f t="shared" si="535"/>
        <v>9.- C Vikrant 1461105-OT_177641     Llanta Rechazada, no se facturo</v>
      </c>
      <c r="Z2291" s="19" t="str">
        <f t="shared" si="533"/>
        <v>ReencaucheReencauchadora RENOVA</v>
      </c>
    </row>
    <row r="2292" spans="2:26" outlineLevel="1">
      <c r="B2292" s="3275"/>
      <c r="C2292" s="2">
        <f t="shared" ref="C2292:C2316" si="540">1+C2293</f>
        <v>37</v>
      </c>
      <c r="D2292" s="3">
        <f t="shared" ref="D2292:D2316" si="541">1+D2293</f>
        <v>26</v>
      </c>
      <c r="E2292" s="66">
        <v>10</v>
      </c>
      <c r="F2292" s="67" t="s">
        <v>732</v>
      </c>
      <c r="G2292" s="68" t="s">
        <v>733</v>
      </c>
      <c r="H2292" s="69" t="s">
        <v>1239</v>
      </c>
      <c r="I2292" s="68" t="s">
        <v>726</v>
      </c>
      <c r="J2292" s="70" t="s">
        <v>760</v>
      </c>
      <c r="K2292" s="71" t="s">
        <v>1703</v>
      </c>
      <c r="L2292" s="72">
        <v>41291</v>
      </c>
      <c r="M2292" s="73" t="s">
        <v>729</v>
      </c>
      <c r="N2292" s="74">
        <v>41354</v>
      </c>
      <c r="O2292" s="75">
        <f t="shared" si="534"/>
        <v>41354</v>
      </c>
      <c r="P2292" s="2765" t="s">
        <v>1676</v>
      </c>
      <c r="Q2292" s="2954"/>
      <c r="R2292" s="76">
        <f>281.49</f>
        <v>281.49</v>
      </c>
      <c r="S2292" s="1945" t="s">
        <v>731</v>
      </c>
      <c r="T2292" s="77"/>
      <c r="U2292" s="1893"/>
      <c r="V2292" s="2079">
        <f t="shared" si="536"/>
        <v>0</v>
      </c>
      <c r="W2292" s="78">
        <f t="shared" si="537"/>
        <v>332.15819999999997</v>
      </c>
      <c r="X2292" s="1878" t="str">
        <f t="shared" si="535"/>
        <v xml:space="preserve">10.- C Lima Caucho 0080107-OT_177639  Reencauche 030-0025900 </v>
      </c>
      <c r="Z2292" s="19" t="str">
        <f t="shared" si="533"/>
        <v>ReencaucheReencauchadora RENOVA</v>
      </c>
    </row>
    <row r="2293" spans="2:26" outlineLevel="1">
      <c r="B2293" s="3275"/>
      <c r="C2293" s="2">
        <f t="shared" si="540"/>
        <v>36</v>
      </c>
      <c r="D2293" s="3">
        <f t="shared" si="541"/>
        <v>25</v>
      </c>
      <c r="E2293" s="66">
        <v>11</v>
      </c>
      <c r="F2293" s="67" t="s">
        <v>732</v>
      </c>
      <c r="G2293" s="68" t="s">
        <v>733</v>
      </c>
      <c r="H2293" s="69" t="s">
        <v>1052</v>
      </c>
      <c r="I2293" s="68" t="s">
        <v>726</v>
      </c>
      <c r="J2293" s="70" t="s">
        <v>760</v>
      </c>
      <c r="K2293" s="71" t="s">
        <v>1704</v>
      </c>
      <c r="L2293" s="72">
        <v>41291</v>
      </c>
      <c r="M2293" s="73" t="s">
        <v>729</v>
      </c>
      <c r="N2293" s="74">
        <v>41354</v>
      </c>
      <c r="O2293" s="75">
        <f t="shared" si="534"/>
        <v>41354</v>
      </c>
      <c r="P2293" s="2765" t="s">
        <v>1676</v>
      </c>
      <c r="Q2293" s="2954"/>
      <c r="R2293" s="76">
        <f>281.49</f>
        <v>281.49</v>
      </c>
      <c r="S2293" s="1945" t="s">
        <v>731</v>
      </c>
      <c r="T2293" s="77"/>
      <c r="U2293" s="1893"/>
      <c r="V2293" s="2079">
        <f t="shared" si="536"/>
        <v>0</v>
      </c>
      <c r="W2293" s="78">
        <f t="shared" si="537"/>
        <v>332.15819999999997</v>
      </c>
      <c r="X2293" s="1878" t="str">
        <f t="shared" si="535"/>
        <v xml:space="preserve">11.- C Lima Caucho 0470608-OT_177638  Reencauche 030-0025900 </v>
      </c>
      <c r="Z2293" s="19" t="str">
        <f t="shared" si="533"/>
        <v>ReencaucheReencauchadora RENOVA</v>
      </c>
    </row>
    <row r="2294" spans="2:26" outlineLevel="1">
      <c r="B2294" s="3275"/>
      <c r="C2294" s="2">
        <f t="shared" si="540"/>
        <v>35</v>
      </c>
      <c r="D2294" s="3">
        <f t="shared" si="541"/>
        <v>24</v>
      </c>
      <c r="E2294" s="66">
        <v>12</v>
      </c>
      <c r="F2294" s="67" t="s">
        <v>732</v>
      </c>
      <c r="G2294" s="68" t="s">
        <v>737</v>
      </c>
      <c r="H2294" s="69" t="s">
        <v>1705</v>
      </c>
      <c r="I2294" s="68" t="s">
        <v>726</v>
      </c>
      <c r="J2294" s="70" t="s">
        <v>760</v>
      </c>
      <c r="K2294" s="71" t="s">
        <v>1703</v>
      </c>
      <c r="L2294" s="72">
        <v>41291</v>
      </c>
      <c r="M2294" s="73" t="s">
        <v>729</v>
      </c>
      <c r="N2294" s="74">
        <v>41306</v>
      </c>
      <c r="O2294" s="75">
        <f t="shared" si="534"/>
        <v>41306</v>
      </c>
      <c r="P2294" s="2765" t="s">
        <v>1706</v>
      </c>
      <c r="Q2294" s="2954">
        <v>104.24</v>
      </c>
      <c r="R2294" s="76"/>
      <c r="S2294" s="1945" t="s">
        <v>731</v>
      </c>
      <c r="T2294" s="77"/>
      <c r="U2294" s="1893"/>
      <c r="V2294" s="2079">
        <f t="shared" si="536"/>
        <v>123.00319999999999</v>
      </c>
      <c r="W2294" s="78">
        <f t="shared" si="537"/>
        <v>0</v>
      </c>
      <c r="X2294" s="1878" t="str">
        <f t="shared" si="535"/>
        <v xml:space="preserve">12.- C Vikrant 0690809-OT_177639  Reencauche 030-0024578 </v>
      </c>
      <c r="Z2294" s="19" t="str">
        <f t="shared" si="533"/>
        <v>ReencaucheReencauchadora RENOVA</v>
      </c>
    </row>
    <row r="2295" spans="2:26" outlineLevel="1">
      <c r="B2295" s="3275"/>
      <c r="C2295" s="2">
        <f t="shared" si="540"/>
        <v>34</v>
      </c>
      <c r="D2295" s="3">
        <f t="shared" si="541"/>
        <v>23</v>
      </c>
      <c r="E2295" s="66">
        <v>13</v>
      </c>
      <c r="F2295" s="67" t="s">
        <v>732</v>
      </c>
      <c r="G2295" s="68" t="s">
        <v>733</v>
      </c>
      <c r="H2295" s="69" t="s">
        <v>1333</v>
      </c>
      <c r="I2295" s="68" t="s">
        <v>726</v>
      </c>
      <c r="J2295" s="70" t="s">
        <v>760</v>
      </c>
      <c r="K2295" s="71" t="s">
        <v>1703</v>
      </c>
      <c r="L2295" s="72">
        <v>41291</v>
      </c>
      <c r="M2295" s="73" t="s">
        <v>729</v>
      </c>
      <c r="N2295" s="74">
        <v>41306</v>
      </c>
      <c r="O2295" s="75">
        <f t="shared" si="534"/>
        <v>41306</v>
      </c>
      <c r="P2295" s="2765" t="s">
        <v>1706</v>
      </c>
      <c r="Q2295" s="2954">
        <v>104.24</v>
      </c>
      <c r="R2295" s="76"/>
      <c r="S2295" s="1945" t="s">
        <v>731</v>
      </c>
      <c r="T2295" s="77"/>
      <c r="U2295" s="1893"/>
      <c r="V2295" s="2079">
        <f t="shared" si="536"/>
        <v>123.00319999999999</v>
      </c>
      <c r="W2295" s="78">
        <f t="shared" si="537"/>
        <v>0</v>
      </c>
      <c r="X2295" s="1878" t="str">
        <f t="shared" si="535"/>
        <v xml:space="preserve">13.- C Lima Caucho 0881010-OT_177639  Reencauche 030-0024578 </v>
      </c>
      <c r="Z2295" s="19" t="str">
        <f t="shared" si="533"/>
        <v>ReencaucheReencauchadora RENOVA</v>
      </c>
    </row>
    <row r="2296" spans="2:26" outlineLevel="1">
      <c r="B2296" s="3275"/>
      <c r="C2296" s="2">
        <f t="shared" si="540"/>
        <v>33</v>
      </c>
      <c r="D2296" s="3">
        <f t="shared" si="541"/>
        <v>22</v>
      </c>
      <c r="E2296" s="66">
        <v>14</v>
      </c>
      <c r="F2296" s="67" t="s">
        <v>732</v>
      </c>
      <c r="G2296" s="68" t="s">
        <v>737</v>
      </c>
      <c r="H2296" s="69" t="s">
        <v>1331</v>
      </c>
      <c r="I2296" s="68" t="s">
        <v>726</v>
      </c>
      <c r="J2296" s="70" t="s">
        <v>760</v>
      </c>
      <c r="K2296" s="71" t="s">
        <v>1703</v>
      </c>
      <c r="L2296" s="72">
        <v>41291</v>
      </c>
      <c r="M2296" s="73" t="s">
        <v>729</v>
      </c>
      <c r="N2296" s="74">
        <v>41306</v>
      </c>
      <c r="O2296" s="75">
        <f t="shared" si="534"/>
        <v>41306</v>
      </c>
      <c r="P2296" s="2765" t="s">
        <v>1706</v>
      </c>
      <c r="Q2296" s="2954">
        <v>104.24</v>
      </c>
      <c r="R2296" s="76"/>
      <c r="S2296" s="1945" t="s">
        <v>731</v>
      </c>
      <c r="T2296" s="77"/>
      <c r="U2296" s="1893"/>
      <c r="V2296" s="2079">
        <f t="shared" si="536"/>
        <v>123.00319999999999</v>
      </c>
      <c r="W2296" s="78">
        <f t="shared" si="537"/>
        <v>0</v>
      </c>
      <c r="X2296" s="1878" t="str">
        <f t="shared" si="535"/>
        <v xml:space="preserve">14.- C Vikrant 0150310-OT_177639  Reencauche 030-0024578 </v>
      </c>
      <c r="Z2296" s="19" t="str">
        <f t="shared" si="533"/>
        <v>ReencaucheReencauchadora RENOVA</v>
      </c>
    </row>
    <row r="2297" spans="2:26" outlineLevel="1">
      <c r="B2297" s="3275"/>
      <c r="C2297" s="2">
        <f t="shared" si="540"/>
        <v>32</v>
      </c>
      <c r="D2297" s="3">
        <f t="shared" si="541"/>
        <v>21</v>
      </c>
      <c r="E2297" s="66">
        <v>15</v>
      </c>
      <c r="F2297" s="67" t="s">
        <v>732</v>
      </c>
      <c r="G2297" s="68" t="s">
        <v>733</v>
      </c>
      <c r="H2297" s="69" t="s">
        <v>1269</v>
      </c>
      <c r="I2297" s="68" t="s">
        <v>726</v>
      </c>
      <c r="J2297" s="70" t="s">
        <v>760</v>
      </c>
      <c r="K2297" s="71" t="s">
        <v>1707</v>
      </c>
      <c r="L2297" s="72">
        <v>41291</v>
      </c>
      <c r="M2297" s="73" t="s">
        <v>729</v>
      </c>
      <c r="N2297" s="74">
        <v>41306</v>
      </c>
      <c r="O2297" s="75">
        <f t="shared" si="534"/>
        <v>41306</v>
      </c>
      <c r="P2297" s="2765" t="s">
        <v>1706</v>
      </c>
      <c r="Q2297" s="2954">
        <v>104.24</v>
      </c>
      <c r="R2297" s="76"/>
      <c r="S2297" s="1945" t="s">
        <v>731</v>
      </c>
      <c r="T2297" s="77"/>
      <c r="U2297" s="1893"/>
      <c r="V2297" s="2079">
        <f t="shared" si="536"/>
        <v>123.00319999999999</v>
      </c>
      <c r="W2297" s="78">
        <f t="shared" si="537"/>
        <v>0</v>
      </c>
      <c r="X2297" s="1878" t="str">
        <f t="shared" si="535"/>
        <v xml:space="preserve">15.- C Lima Caucho 0710810-OT_177640  Reencauche 030-0024578 </v>
      </c>
      <c r="Z2297" s="19" t="str">
        <f t="shared" si="533"/>
        <v>ReencaucheReencauchadora RENOVA</v>
      </c>
    </row>
    <row r="2298" spans="2:26" outlineLevel="1">
      <c r="B2298" s="3275"/>
      <c r="C2298" s="2">
        <f t="shared" si="540"/>
        <v>31</v>
      </c>
      <c r="D2298" s="3">
        <f t="shared" si="541"/>
        <v>20</v>
      </c>
      <c r="E2298" s="66">
        <v>16</v>
      </c>
      <c r="F2298" s="67" t="s">
        <v>732</v>
      </c>
      <c r="G2298" s="68" t="s">
        <v>737</v>
      </c>
      <c r="H2298" s="69" t="s">
        <v>1157</v>
      </c>
      <c r="I2298" s="68" t="s">
        <v>726</v>
      </c>
      <c r="J2298" s="70" t="s">
        <v>760</v>
      </c>
      <c r="K2298" s="71" t="s">
        <v>1703</v>
      </c>
      <c r="L2298" s="72">
        <v>41291</v>
      </c>
      <c r="M2298" s="73" t="s">
        <v>729</v>
      </c>
      <c r="N2298" s="74">
        <v>41306</v>
      </c>
      <c r="O2298" s="75">
        <f t="shared" si="534"/>
        <v>41306</v>
      </c>
      <c r="P2298" s="2765" t="s">
        <v>1706</v>
      </c>
      <c r="Q2298" s="2954">
        <v>104.24</v>
      </c>
      <c r="R2298" s="76"/>
      <c r="S2298" s="1945" t="s">
        <v>731</v>
      </c>
      <c r="T2298" s="77"/>
      <c r="U2298" s="1893"/>
      <c r="V2298" s="2079">
        <f t="shared" si="536"/>
        <v>123.00319999999999</v>
      </c>
      <c r="W2298" s="78">
        <f t="shared" si="537"/>
        <v>0</v>
      </c>
      <c r="X2298" s="1878" t="str">
        <f t="shared" si="535"/>
        <v xml:space="preserve">16.- C Vikrant 0140111-OT_177639  Reencauche 030-0024578 </v>
      </c>
      <c r="Z2298" s="19" t="str">
        <f t="shared" si="533"/>
        <v>ReencaucheReencauchadora RENOVA</v>
      </c>
    </row>
    <row r="2299" spans="2:26" outlineLevel="1">
      <c r="B2299" s="3275"/>
      <c r="C2299" s="2">
        <f t="shared" si="540"/>
        <v>30</v>
      </c>
      <c r="D2299" s="3">
        <f t="shared" si="541"/>
        <v>19</v>
      </c>
      <c r="E2299" s="66">
        <v>17</v>
      </c>
      <c r="F2299" s="67" t="s">
        <v>732</v>
      </c>
      <c r="G2299" s="68" t="s">
        <v>733</v>
      </c>
      <c r="H2299" s="69" t="s">
        <v>1708</v>
      </c>
      <c r="I2299" s="68" t="s">
        <v>726</v>
      </c>
      <c r="J2299" s="70" t="s">
        <v>760</v>
      </c>
      <c r="K2299" s="71" t="s">
        <v>1707</v>
      </c>
      <c r="L2299" s="72">
        <v>41291</v>
      </c>
      <c r="M2299" s="73" t="s">
        <v>729</v>
      </c>
      <c r="N2299" s="74">
        <v>41306</v>
      </c>
      <c r="O2299" s="75">
        <f t="shared" si="534"/>
        <v>41306</v>
      </c>
      <c r="P2299" s="2765" t="s">
        <v>1706</v>
      </c>
      <c r="Q2299" s="2954">
        <v>104.24</v>
      </c>
      <c r="R2299" s="76"/>
      <c r="S2299" s="1945" t="s">
        <v>731</v>
      </c>
      <c r="T2299" s="77"/>
      <c r="U2299" s="1893"/>
      <c r="V2299" s="2079">
        <f t="shared" si="536"/>
        <v>123.00319999999999</v>
      </c>
      <c r="W2299" s="78">
        <f t="shared" si="537"/>
        <v>0</v>
      </c>
      <c r="X2299" s="1878" t="str">
        <f t="shared" si="535"/>
        <v xml:space="preserve">17.- C Lima Caucho 0050107-OT_177640  Reencauche 030-0024578 </v>
      </c>
      <c r="Z2299" s="19" t="str">
        <f t="shared" si="533"/>
        <v>ReencaucheReencauchadora RENOVA</v>
      </c>
    </row>
    <row r="2300" spans="2:26" outlineLevel="1">
      <c r="B2300" s="3275"/>
      <c r="C2300" s="2">
        <f t="shared" si="540"/>
        <v>29</v>
      </c>
      <c r="D2300" s="3">
        <f t="shared" si="541"/>
        <v>18</v>
      </c>
      <c r="E2300" s="66">
        <v>18</v>
      </c>
      <c r="F2300" s="67" t="s">
        <v>732</v>
      </c>
      <c r="G2300" s="68" t="s">
        <v>733</v>
      </c>
      <c r="H2300" s="69" t="s">
        <v>1428</v>
      </c>
      <c r="I2300" s="68" t="s">
        <v>726</v>
      </c>
      <c r="J2300" s="70" t="s">
        <v>760</v>
      </c>
      <c r="K2300" s="71" t="s">
        <v>1707</v>
      </c>
      <c r="L2300" s="72">
        <v>41291</v>
      </c>
      <c r="M2300" s="73" t="s">
        <v>729</v>
      </c>
      <c r="N2300" s="74">
        <v>41306</v>
      </c>
      <c r="O2300" s="75">
        <f t="shared" si="534"/>
        <v>41306</v>
      </c>
      <c r="P2300" s="2765" t="s">
        <v>1706</v>
      </c>
      <c r="Q2300" s="2954">
        <v>104.24</v>
      </c>
      <c r="R2300" s="76"/>
      <c r="S2300" s="1945" t="s">
        <v>731</v>
      </c>
      <c r="T2300" s="77"/>
      <c r="U2300" s="1893"/>
      <c r="V2300" s="2079">
        <f t="shared" si="536"/>
        <v>123.00319999999999</v>
      </c>
      <c r="W2300" s="78">
        <f t="shared" si="537"/>
        <v>0</v>
      </c>
      <c r="X2300" s="1878" t="str">
        <f t="shared" si="535"/>
        <v xml:space="preserve">18.- C Lima Caucho 0100108-OT_177640  Reencauche 030-0024578 </v>
      </c>
      <c r="Z2300" s="19" t="str">
        <f t="shared" si="533"/>
        <v>ReencaucheReencauchadora RENOVA</v>
      </c>
    </row>
    <row r="2301" spans="2:26" outlineLevel="1">
      <c r="B2301" s="3275"/>
      <c r="C2301" s="2">
        <f t="shared" si="540"/>
        <v>28</v>
      </c>
      <c r="D2301" s="3">
        <f t="shared" si="541"/>
        <v>17</v>
      </c>
      <c r="E2301" s="66">
        <v>19</v>
      </c>
      <c r="F2301" s="67" t="s">
        <v>732</v>
      </c>
      <c r="G2301" s="68" t="s">
        <v>733</v>
      </c>
      <c r="H2301" s="69" t="s">
        <v>1709</v>
      </c>
      <c r="I2301" s="68" t="s">
        <v>726</v>
      </c>
      <c r="J2301" s="70" t="s">
        <v>760</v>
      </c>
      <c r="K2301" s="71" t="s">
        <v>1704</v>
      </c>
      <c r="L2301" s="72">
        <v>41291</v>
      </c>
      <c r="M2301" s="73" t="s">
        <v>729</v>
      </c>
      <c r="N2301" s="74">
        <v>41306</v>
      </c>
      <c r="O2301" s="75">
        <f t="shared" si="534"/>
        <v>41306</v>
      </c>
      <c r="P2301" s="2765" t="s">
        <v>1706</v>
      </c>
      <c r="Q2301" s="2954">
        <v>104.24</v>
      </c>
      <c r="R2301" s="76"/>
      <c r="S2301" s="1945" t="s">
        <v>731</v>
      </c>
      <c r="T2301" s="77"/>
      <c r="U2301" s="1893"/>
      <c r="V2301" s="2079">
        <f t="shared" si="536"/>
        <v>123.00319999999999</v>
      </c>
      <c r="W2301" s="78">
        <f t="shared" si="537"/>
        <v>0</v>
      </c>
      <c r="X2301" s="1878" t="str">
        <f t="shared" si="535"/>
        <v xml:space="preserve">19.- C Lima Caucho 0760910-OT_177638  Reencauche 030-0024578 </v>
      </c>
      <c r="Z2301" s="19" t="str">
        <f t="shared" si="533"/>
        <v>ReencaucheReencauchadora RENOVA</v>
      </c>
    </row>
    <row r="2302" spans="2:26" outlineLevel="1">
      <c r="B2302" s="3275"/>
      <c r="C2302" s="2">
        <f t="shared" si="540"/>
        <v>27</v>
      </c>
      <c r="D2302" s="3">
        <f t="shared" si="541"/>
        <v>16</v>
      </c>
      <c r="E2302" s="66">
        <v>20</v>
      </c>
      <c r="F2302" s="67" t="s">
        <v>732</v>
      </c>
      <c r="G2302" s="68" t="s">
        <v>733</v>
      </c>
      <c r="H2302" s="69" t="s">
        <v>1710</v>
      </c>
      <c r="I2302" s="68" t="s">
        <v>726</v>
      </c>
      <c r="J2302" s="70" t="s">
        <v>760</v>
      </c>
      <c r="K2302" s="71" t="s">
        <v>1704</v>
      </c>
      <c r="L2302" s="72">
        <v>41291</v>
      </c>
      <c r="M2302" s="73" t="s">
        <v>729</v>
      </c>
      <c r="N2302" s="74">
        <v>41306</v>
      </c>
      <c r="O2302" s="75">
        <f t="shared" si="534"/>
        <v>41306</v>
      </c>
      <c r="P2302" s="2765" t="s">
        <v>1706</v>
      </c>
      <c r="Q2302" s="2954">
        <v>104.24</v>
      </c>
      <c r="R2302" s="76"/>
      <c r="S2302" s="1945" t="s">
        <v>731</v>
      </c>
      <c r="T2302" s="77"/>
      <c r="U2302" s="1893"/>
      <c r="V2302" s="2079">
        <f t="shared" si="536"/>
        <v>123.00319999999999</v>
      </c>
      <c r="W2302" s="78">
        <f t="shared" si="537"/>
        <v>0</v>
      </c>
      <c r="X2302" s="1878" t="str">
        <f t="shared" si="535"/>
        <v xml:space="preserve">20.- C Lima Caucho 09070908-OT_177638  Reencauche 030-0024578 </v>
      </c>
      <c r="Z2302" s="19" t="str">
        <f t="shared" si="533"/>
        <v>ReencaucheReencauchadora RENOVA</v>
      </c>
    </row>
    <row r="2303" spans="2:26" outlineLevel="1">
      <c r="B2303" s="3275"/>
      <c r="C2303" s="2">
        <f t="shared" si="540"/>
        <v>26</v>
      </c>
      <c r="D2303" s="3">
        <f t="shared" si="541"/>
        <v>15</v>
      </c>
      <c r="E2303" s="66">
        <v>21</v>
      </c>
      <c r="F2303" s="67" t="s">
        <v>732</v>
      </c>
      <c r="G2303" s="68" t="s">
        <v>737</v>
      </c>
      <c r="H2303" s="69" t="s">
        <v>1711</v>
      </c>
      <c r="I2303" s="68" t="s">
        <v>726</v>
      </c>
      <c r="J2303" s="70" t="s">
        <v>760</v>
      </c>
      <c r="K2303" s="71" t="s">
        <v>1707</v>
      </c>
      <c r="L2303" s="72">
        <v>41291</v>
      </c>
      <c r="M2303" s="73" t="s">
        <v>729</v>
      </c>
      <c r="N2303" s="74">
        <v>41306</v>
      </c>
      <c r="O2303" s="75">
        <f t="shared" si="534"/>
        <v>41306</v>
      </c>
      <c r="P2303" s="2765" t="s">
        <v>1706</v>
      </c>
      <c r="Q2303" s="2954">
        <v>104.24</v>
      </c>
      <c r="R2303" s="76"/>
      <c r="S2303" s="1945" t="s">
        <v>731</v>
      </c>
      <c r="T2303" s="77"/>
      <c r="U2303" s="1893"/>
      <c r="V2303" s="2079">
        <f t="shared" si="536"/>
        <v>123.00319999999999</v>
      </c>
      <c r="W2303" s="78">
        <f t="shared" si="537"/>
        <v>0</v>
      </c>
      <c r="X2303" s="1878" t="str">
        <f t="shared" si="535"/>
        <v xml:space="preserve">21.- C Vikrant 0550709-OT_177640  Reencauche 030-0024578 </v>
      </c>
      <c r="Z2303" s="19" t="str">
        <f t="shared" si="533"/>
        <v>ReencaucheReencauchadora RENOVA</v>
      </c>
    </row>
    <row r="2304" spans="2:26" outlineLevel="1">
      <c r="B2304" s="3275"/>
      <c r="C2304" s="2">
        <f t="shared" si="540"/>
        <v>25</v>
      </c>
      <c r="D2304" s="3">
        <f t="shared" si="541"/>
        <v>14</v>
      </c>
      <c r="E2304" s="66">
        <v>22</v>
      </c>
      <c r="F2304" s="67" t="s">
        <v>732</v>
      </c>
      <c r="G2304" s="68" t="s">
        <v>737</v>
      </c>
      <c r="H2304" s="69" t="s">
        <v>1712</v>
      </c>
      <c r="I2304" s="68" t="s">
        <v>726</v>
      </c>
      <c r="J2304" s="70" t="s">
        <v>760</v>
      </c>
      <c r="K2304" s="71" t="s">
        <v>1707</v>
      </c>
      <c r="L2304" s="72">
        <v>41291</v>
      </c>
      <c r="M2304" s="73" t="s">
        <v>729</v>
      </c>
      <c r="N2304" s="74">
        <v>41306</v>
      </c>
      <c r="O2304" s="75">
        <f t="shared" si="534"/>
        <v>41306</v>
      </c>
      <c r="P2304" s="2765" t="s">
        <v>1706</v>
      </c>
      <c r="Q2304" s="2954">
        <v>104.24</v>
      </c>
      <c r="R2304" s="76"/>
      <c r="S2304" s="1945" t="s">
        <v>731</v>
      </c>
      <c r="T2304" s="77"/>
      <c r="U2304" s="1893"/>
      <c r="V2304" s="2079">
        <f t="shared" si="536"/>
        <v>123.00319999999999</v>
      </c>
      <c r="W2304" s="78">
        <f t="shared" si="537"/>
        <v>0</v>
      </c>
      <c r="X2304" s="1878" t="str">
        <f t="shared" si="535"/>
        <v xml:space="preserve">22.- C Vikrant 0030111-OT_177640  Reencauche 030-0024578 </v>
      </c>
      <c r="Z2304" s="19" t="str">
        <f t="shared" si="533"/>
        <v>ReencaucheReencauchadora RENOVA</v>
      </c>
    </row>
    <row r="2305" spans="2:26" outlineLevel="1">
      <c r="B2305" s="3275"/>
      <c r="C2305" s="2">
        <f t="shared" si="540"/>
        <v>24</v>
      </c>
      <c r="D2305" s="3">
        <f t="shared" si="541"/>
        <v>13</v>
      </c>
      <c r="E2305" s="66">
        <v>23</v>
      </c>
      <c r="F2305" s="67" t="s">
        <v>732</v>
      </c>
      <c r="G2305" s="68" t="s">
        <v>737</v>
      </c>
      <c r="H2305" s="69" t="s">
        <v>1024</v>
      </c>
      <c r="I2305" s="68" t="s">
        <v>726</v>
      </c>
      <c r="J2305" s="70" t="s">
        <v>760</v>
      </c>
      <c r="K2305" s="71" t="s">
        <v>1707</v>
      </c>
      <c r="L2305" s="72">
        <v>41291</v>
      </c>
      <c r="M2305" s="73" t="s">
        <v>729</v>
      </c>
      <c r="N2305" s="74">
        <v>41306</v>
      </c>
      <c r="O2305" s="75">
        <f t="shared" si="534"/>
        <v>41306</v>
      </c>
      <c r="P2305" s="2765" t="s">
        <v>1706</v>
      </c>
      <c r="Q2305" s="2954">
        <v>104.24</v>
      </c>
      <c r="R2305" s="76"/>
      <c r="S2305" s="1945" t="s">
        <v>731</v>
      </c>
      <c r="T2305" s="77"/>
      <c r="U2305" s="1893"/>
      <c r="V2305" s="2079">
        <f t="shared" si="536"/>
        <v>123.00319999999999</v>
      </c>
      <c r="W2305" s="78">
        <f t="shared" si="537"/>
        <v>0</v>
      </c>
      <c r="X2305" s="1878" t="str">
        <f t="shared" si="535"/>
        <v xml:space="preserve">23.- C Vikrant 0791007-OT_177640  Reencauche 030-0024578 </v>
      </c>
      <c r="Z2305" s="19" t="str">
        <f t="shared" si="533"/>
        <v>ReencaucheReencauchadora RENOVA</v>
      </c>
    </row>
    <row r="2306" spans="2:26" outlineLevel="1">
      <c r="B2306" s="3275"/>
      <c r="C2306" s="2">
        <f t="shared" si="540"/>
        <v>23</v>
      </c>
      <c r="D2306" s="3">
        <f t="shared" si="541"/>
        <v>12</v>
      </c>
      <c r="E2306" s="66">
        <v>24</v>
      </c>
      <c r="F2306" s="67" t="s">
        <v>732</v>
      </c>
      <c r="G2306" s="68" t="s">
        <v>737</v>
      </c>
      <c r="H2306" s="69" t="s">
        <v>846</v>
      </c>
      <c r="I2306" s="68" t="s">
        <v>726</v>
      </c>
      <c r="J2306" s="70" t="s">
        <v>760</v>
      </c>
      <c r="K2306" s="71" t="s">
        <v>1707</v>
      </c>
      <c r="L2306" s="72">
        <v>41291</v>
      </c>
      <c r="M2306" s="73" t="s">
        <v>729</v>
      </c>
      <c r="N2306" s="74">
        <v>41306</v>
      </c>
      <c r="O2306" s="75">
        <f t="shared" si="534"/>
        <v>41306</v>
      </c>
      <c r="P2306" s="2765" t="s">
        <v>1713</v>
      </c>
      <c r="Q2306" s="2954">
        <v>104.24</v>
      </c>
      <c r="R2306" s="76"/>
      <c r="S2306" s="1945" t="s">
        <v>731</v>
      </c>
      <c r="T2306" s="77"/>
      <c r="U2306" s="1893"/>
      <c r="V2306" s="2079">
        <f t="shared" si="536"/>
        <v>123.00319999999999</v>
      </c>
      <c r="W2306" s="78">
        <f t="shared" si="537"/>
        <v>0</v>
      </c>
      <c r="X2306" s="1878" t="str">
        <f t="shared" si="535"/>
        <v xml:space="preserve">24.- C Vikrant 0150111-OT_177640  Reencauche 030-0024579 </v>
      </c>
      <c r="Z2306" s="19" t="str">
        <f t="shared" si="533"/>
        <v>ReencaucheReencauchadora RENOVA</v>
      </c>
    </row>
    <row r="2307" spans="2:26" outlineLevel="1">
      <c r="B2307" s="3275"/>
      <c r="C2307" s="2">
        <f t="shared" si="540"/>
        <v>22</v>
      </c>
      <c r="D2307" s="3">
        <f t="shared" si="541"/>
        <v>11</v>
      </c>
      <c r="E2307" s="66">
        <v>25</v>
      </c>
      <c r="F2307" s="67" t="s">
        <v>732</v>
      </c>
      <c r="G2307" s="68" t="s">
        <v>733</v>
      </c>
      <c r="H2307" s="69" t="s">
        <v>1714</v>
      </c>
      <c r="I2307" s="68" t="s">
        <v>726</v>
      </c>
      <c r="J2307" s="70" t="s">
        <v>760</v>
      </c>
      <c r="K2307" s="71" t="s">
        <v>1707</v>
      </c>
      <c r="L2307" s="72">
        <v>41291</v>
      </c>
      <c r="M2307" s="73" t="s">
        <v>729</v>
      </c>
      <c r="N2307" s="74">
        <v>41306</v>
      </c>
      <c r="O2307" s="75">
        <f t="shared" si="534"/>
        <v>41306</v>
      </c>
      <c r="P2307" s="2765" t="s">
        <v>1713</v>
      </c>
      <c r="Q2307" s="2954">
        <v>104.24</v>
      </c>
      <c r="R2307" s="76"/>
      <c r="S2307" s="1945" t="s">
        <v>731</v>
      </c>
      <c r="T2307" s="77"/>
      <c r="U2307" s="1893"/>
      <c r="V2307" s="2079">
        <f t="shared" si="536"/>
        <v>123.00319999999999</v>
      </c>
      <c r="W2307" s="78">
        <f t="shared" si="537"/>
        <v>0</v>
      </c>
      <c r="X2307" s="1878" t="str">
        <f t="shared" si="535"/>
        <v xml:space="preserve">25.- C Lima Caucho 0800908-OT_177640  Reencauche 030-0024579 </v>
      </c>
      <c r="Z2307" s="19" t="str">
        <f t="shared" si="533"/>
        <v>ReencaucheReencauchadora RENOVA</v>
      </c>
    </row>
    <row r="2308" spans="2:26" outlineLevel="1">
      <c r="B2308" s="3275"/>
      <c r="C2308" s="2">
        <f t="shared" si="540"/>
        <v>21</v>
      </c>
      <c r="D2308" s="3">
        <f t="shared" si="541"/>
        <v>10</v>
      </c>
      <c r="E2308" s="66">
        <v>26</v>
      </c>
      <c r="F2308" s="67" t="s">
        <v>732</v>
      </c>
      <c r="G2308" s="68" t="s">
        <v>733</v>
      </c>
      <c r="H2308" s="69" t="s">
        <v>1012</v>
      </c>
      <c r="I2308" s="68" t="s">
        <v>726</v>
      </c>
      <c r="J2308" s="70" t="s">
        <v>760</v>
      </c>
      <c r="K2308" s="71" t="s">
        <v>1704</v>
      </c>
      <c r="L2308" s="72">
        <v>41291</v>
      </c>
      <c r="M2308" s="73" t="s">
        <v>729</v>
      </c>
      <c r="N2308" s="74">
        <v>41306</v>
      </c>
      <c r="O2308" s="75">
        <f t="shared" si="534"/>
        <v>41306</v>
      </c>
      <c r="P2308" s="2765" t="s">
        <v>1713</v>
      </c>
      <c r="Q2308" s="2954">
        <v>104.24</v>
      </c>
      <c r="R2308" s="76"/>
      <c r="S2308" s="1945" t="s">
        <v>731</v>
      </c>
      <c r="T2308" s="77"/>
      <c r="U2308" s="1893"/>
      <c r="V2308" s="2079">
        <f t="shared" si="536"/>
        <v>123.00319999999999</v>
      </c>
      <c r="W2308" s="78">
        <f t="shared" si="537"/>
        <v>0</v>
      </c>
      <c r="X2308" s="1878" t="str">
        <f t="shared" si="535"/>
        <v xml:space="preserve">26.- C Lima Caucho 0500708-OT_177638  Reencauche 030-0024579 </v>
      </c>
      <c r="Z2308" s="19" t="str">
        <f t="shared" si="533"/>
        <v>ReencaucheReencauchadora RENOVA</v>
      </c>
    </row>
    <row r="2309" spans="2:26" outlineLevel="1">
      <c r="B2309" s="3275"/>
      <c r="C2309" s="2">
        <f t="shared" si="540"/>
        <v>20</v>
      </c>
      <c r="D2309" s="3">
        <f t="shared" si="541"/>
        <v>9</v>
      </c>
      <c r="E2309" s="66">
        <v>27</v>
      </c>
      <c r="F2309" s="67" t="s">
        <v>732</v>
      </c>
      <c r="G2309" s="68" t="s">
        <v>733</v>
      </c>
      <c r="H2309" s="69" t="s">
        <v>1076</v>
      </c>
      <c r="I2309" s="68" t="s">
        <v>726</v>
      </c>
      <c r="J2309" s="70" t="s">
        <v>760</v>
      </c>
      <c r="K2309" s="71" t="s">
        <v>1704</v>
      </c>
      <c r="L2309" s="72">
        <v>41291</v>
      </c>
      <c r="M2309" s="73" t="s">
        <v>729</v>
      </c>
      <c r="N2309" s="74">
        <v>41306</v>
      </c>
      <c r="O2309" s="75">
        <f t="shared" si="534"/>
        <v>41306</v>
      </c>
      <c r="P2309" s="2765" t="s">
        <v>1713</v>
      </c>
      <c r="Q2309" s="2954">
        <v>104.24</v>
      </c>
      <c r="R2309" s="76"/>
      <c r="S2309" s="1945" t="s">
        <v>731</v>
      </c>
      <c r="T2309" s="77"/>
      <c r="U2309" s="1893"/>
      <c r="V2309" s="2079">
        <f t="shared" si="536"/>
        <v>123.00319999999999</v>
      </c>
      <c r="W2309" s="78">
        <f t="shared" si="537"/>
        <v>0</v>
      </c>
      <c r="X2309" s="1878" t="str">
        <f t="shared" si="535"/>
        <v xml:space="preserve">27.- C Lima Caucho 0861010-OT_177638  Reencauche 030-0024579 </v>
      </c>
      <c r="Z2309" s="19" t="str">
        <f t="shared" si="533"/>
        <v>ReencaucheReencauchadora RENOVA</v>
      </c>
    </row>
    <row r="2310" spans="2:26" outlineLevel="1">
      <c r="B2310" s="3275"/>
      <c r="C2310" s="2">
        <f t="shared" si="540"/>
        <v>19</v>
      </c>
      <c r="D2310" s="3">
        <f t="shared" si="541"/>
        <v>8</v>
      </c>
      <c r="E2310" s="66">
        <v>28</v>
      </c>
      <c r="F2310" s="67" t="s">
        <v>732</v>
      </c>
      <c r="G2310" s="68" t="s">
        <v>733</v>
      </c>
      <c r="H2310" s="69" t="s">
        <v>804</v>
      </c>
      <c r="I2310" s="68" t="s">
        <v>726</v>
      </c>
      <c r="J2310" s="70" t="s">
        <v>760</v>
      </c>
      <c r="K2310" s="71" t="s">
        <v>1703</v>
      </c>
      <c r="L2310" s="72">
        <v>41291</v>
      </c>
      <c r="M2310" s="73" t="s">
        <v>729</v>
      </c>
      <c r="N2310" s="74">
        <v>41306</v>
      </c>
      <c r="O2310" s="75">
        <f t="shared" si="534"/>
        <v>41306</v>
      </c>
      <c r="P2310" s="2765" t="s">
        <v>1713</v>
      </c>
      <c r="Q2310" s="2954">
        <v>104.24</v>
      </c>
      <c r="R2310" s="76"/>
      <c r="S2310" s="1945" t="s">
        <v>731</v>
      </c>
      <c r="T2310" s="77"/>
      <c r="U2310" s="1893"/>
      <c r="V2310" s="2079">
        <f t="shared" si="536"/>
        <v>123.00319999999999</v>
      </c>
      <c r="W2310" s="78">
        <f t="shared" si="537"/>
        <v>0</v>
      </c>
      <c r="X2310" s="1878" t="str">
        <f t="shared" si="535"/>
        <v xml:space="preserve">28.- C Lima Caucho 1141107-OT_177639  Reencauche 030-0024579 </v>
      </c>
      <c r="Z2310" s="19" t="str">
        <f t="shared" si="533"/>
        <v>ReencaucheReencauchadora RENOVA</v>
      </c>
    </row>
    <row r="2311" spans="2:26" outlineLevel="1">
      <c r="B2311" s="3275"/>
      <c r="C2311" s="2">
        <f t="shared" si="540"/>
        <v>18</v>
      </c>
      <c r="D2311" s="3">
        <f t="shared" si="541"/>
        <v>7</v>
      </c>
      <c r="E2311" s="66">
        <v>29</v>
      </c>
      <c r="F2311" s="67" t="s">
        <v>732</v>
      </c>
      <c r="G2311" s="68" t="s">
        <v>757</v>
      </c>
      <c r="H2311" s="69" t="s">
        <v>1644</v>
      </c>
      <c r="I2311" s="68" t="s">
        <v>726</v>
      </c>
      <c r="J2311" s="70" t="s">
        <v>760</v>
      </c>
      <c r="K2311" s="71" t="s">
        <v>1704</v>
      </c>
      <c r="L2311" s="72">
        <v>41291</v>
      </c>
      <c r="M2311" s="73" t="s">
        <v>729</v>
      </c>
      <c r="N2311" s="74">
        <v>41306</v>
      </c>
      <c r="O2311" s="75">
        <f t="shared" si="534"/>
        <v>41306</v>
      </c>
      <c r="P2311" s="2765" t="s">
        <v>1713</v>
      </c>
      <c r="Q2311" s="2954">
        <v>104.24</v>
      </c>
      <c r="R2311" s="76"/>
      <c r="S2311" s="1945" t="s">
        <v>731</v>
      </c>
      <c r="T2311" s="77"/>
      <c r="U2311" s="1893"/>
      <c r="V2311" s="2079">
        <f t="shared" si="536"/>
        <v>123.00319999999999</v>
      </c>
      <c r="W2311" s="78">
        <f t="shared" si="537"/>
        <v>0</v>
      </c>
      <c r="X2311" s="1878" t="str">
        <f t="shared" si="535"/>
        <v xml:space="preserve">29.- C Goodyear 068112002-OT_177638  Reencauche 030-0024579 </v>
      </c>
      <c r="Z2311" s="19" t="str">
        <f t="shared" si="533"/>
        <v>ReencaucheReencauchadora RENOVA</v>
      </c>
    </row>
    <row r="2312" spans="2:26" outlineLevel="1">
      <c r="B2312" s="3275"/>
      <c r="C2312" s="2">
        <f t="shared" si="540"/>
        <v>17</v>
      </c>
      <c r="D2312" s="3">
        <f t="shared" si="541"/>
        <v>6</v>
      </c>
      <c r="E2312" s="66">
        <v>30</v>
      </c>
      <c r="F2312" s="67" t="s">
        <v>732</v>
      </c>
      <c r="G2312" s="68" t="s">
        <v>733</v>
      </c>
      <c r="H2312" s="69" t="s">
        <v>1225</v>
      </c>
      <c r="I2312" s="68" t="s">
        <v>726</v>
      </c>
      <c r="J2312" s="70" t="s">
        <v>760</v>
      </c>
      <c r="K2312" s="71" t="s">
        <v>1704</v>
      </c>
      <c r="L2312" s="72">
        <v>41291</v>
      </c>
      <c r="M2312" s="73" t="s">
        <v>729</v>
      </c>
      <c r="N2312" s="74">
        <v>41306</v>
      </c>
      <c r="O2312" s="75">
        <f t="shared" si="534"/>
        <v>41306</v>
      </c>
      <c r="P2312" s="2765" t="s">
        <v>1713</v>
      </c>
      <c r="Q2312" s="2954">
        <v>104.24</v>
      </c>
      <c r="R2312" s="76"/>
      <c r="S2312" s="1945" t="s">
        <v>731</v>
      </c>
      <c r="T2312" s="77"/>
      <c r="U2312" s="1893"/>
      <c r="V2312" s="2079">
        <f t="shared" si="536"/>
        <v>123.00319999999999</v>
      </c>
      <c r="W2312" s="78">
        <f t="shared" si="537"/>
        <v>0</v>
      </c>
      <c r="X2312" s="1878" t="str">
        <f t="shared" si="535"/>
        <v xml:space="preserve">30.- C Lima Caucho 0310508-OT_177638  Reencauche 030-0024579 </v>
      </c>
      <c r="Z2312" s="19" t="str">
        <f t="shared" si="533"/>
        <v>ReencaucheReencauchadora RENOVA</v>
      </c>
    </row>
    <row r="2313" spans="2:26" outlineLevel="1">
      <c r="B2313" s="3275"/>
      <c r="C2313" s="2">
        <f t="shared" si="540"/>
        <v>16</v>
      </c>
      <c r="D2313" s="3">
        <f t="shared" si="541"/>
        <v>5</v>
      </c>
      <c r="E2313" s="66">
        <v>31</v>
      </c>
      <c r="F2313" s="67" t="s">
        <v>732</v>
      </c>
      <c r="G2313" s="68" t="s">
        <v>733</v>
      </c>
      <c r="H2313" s="69" t="s">
        <v>855</v>
      </c>
      <c r="I2313" s="68" t="s">
        <v>726</v>
      </c>
      <c r="J2313" s="70" t="s">
        <v>760</v>
      </c>
      <c r="K2313" s="71" t="s">
        <v>1703</v>
      </c>
      <c r="L2313" s="72">
        <v>41291</v>
      </c>
      <c r="M2313" s="73" t="s">
        <v>729</v>
      </c>
      <c r="N2313" s="74">
        <v>41306</v>
      </c>
      <c r="O2313" s="75">
        <f t="shared" si="534"/>
        <v>41306</v>
      </c>
      <c r="P2313" s="2765" t="s">
        <v>1713</v>
      </c>
      <c r="Q2313" s="2954">
        <v>104.24</v>
      </c>
      <c r="R2313" s="76"/>
      <c r="S2313" s="1945" t="s">
        <v>731</v>
      </c>
      <c r="T2313" s="77"/>
      <c r="U2313" s="1893"/>
      <c r="V2313" s="2079">
        <f t="shared" si="536"/>
        <v>123.00319999999999</v>
      </c>
      <c r="W2313" s="78">
        <f t="shared" si="537"/>
        <v>0</v>
      </c>
      <c r="X2313" s="1878" t="str">
        <f t="shared" si="535"/>
        <v xml:space="preserve">31.- C Lima Caucho 0660808-OT_177639  Reencauche 030-0024579 </v>
      </c>
      <c r="Z2313" s="19" t="str">
        <f t="shared" si="533"/>
        <v>ReencaucheReencauchadora RENOVA</v>
      </c>
    </row>
    <row r="2314" spans="2:26" outlineLevel="1">
      <c r="B2314" s="3275"/>
      <c r="C2314" s="2">
        <f t="shared" si="540"/>
        <v>15</v>
      </c>
      <c r="D2314" s="3">
        <f t="shared" si="541"/>
        <v>4</v>
      </c>
      <c r="E2314" s="66">
        <v>32</v>
      </c>
      <c r="F2314" s="67" t="s">
        <v>732</v>
      </c>
      <c r="G2314" s="68" t="s">
        <v>737</v>
      </c>
      <c r="H2314" s="69" t="s">
        <v>1329</v>
      </c>
      <c r="I2314" s="68" t="s">
        <v>726</v>
      </c>
      <c r="J2314" s="70" t="s">
        <v>760</v>
      </c>
      <c r="K2314" s="71" t="s">
        <v>1703</v>
      </c>
      <c r="L2314" s="72">
        <v>41291</v>
      </c>
      <c r="M2314" s="73" t="s">
        <v>729</v>
      </c>
      <c r="N2314" s="74">
        <v>41306</v>
      </c>
      <c r="O2314" s="75">
        <f t="shared" si="534"/>
        <v>41306</v>
      </c>
      <c r="P2314" s="2765" t="s">
        <v>1713</v>
      </c>
      <c r="Q2314" s="2954">
        <v>104.24</v>
      </c>
      <c r="R2314" s="76"/>
      <c r="S2314" s="1945" t="s">
        <v>731</v>
      </c>
      <c r="T2314" s="77"/>
      <c r="U2314" s="1893"/>
      <c r="V2314" s="2079">
        <f t="shared" si="536"/>
        <v>123.00319999999999</v>
      </c>
      <c r="W2314" s="78">
        <f t="shared" si="537"/>
        <v>0</v>
      </c>
      <c r="X2314" s="1878" t="str">
        <f t="shared" si="535"/>
        <v xml:space="preserve">32.- C Vikrant 0080111-OT_177639  Reencauche 030-0024579 </v>
      </c>
      <c r="Z2314" s="19" t="str">
        <f t="shared" si="533"/>
        <v>ReencaucheReencauchadora RENOVA</v>
      </c>
    </row>
    <row r="2315" spans="2:26">
      <c r="B2315" s="3275"/>
      <c r="C2315" s="2">
        <f t="shared" si="540"/>
        <v>14</v>
      </c>
      <c r="D2315" s="3">
        <f t="shared" si="541"/>
        <v>3</v>
      </c>
      <c r="E2315" s="66">
        <v>33</v>
      </c>
      <c r="F2315" s="67" t="s">
        <v>732</v>
      </c>
      <c r="G2315" s="68" t="s">
        <v>733</v>
      </c>
      <c r="H2315" s="69" t="s">
        <v>1416</v>
      </c>
      <c r="I2315" s="68" t="s">
        <v>726</v>
      </c>
      <c r="J2315" s="70" t="s">
        <v>760</v>
      </c>
      <c r="K2315" s="71" t="s">
        <v>1704</v>
      </c>
      <c r="L2315" s="72">
        <v>41291</v>
      </c>
      <c r="M2315" s="73" t="s">
        <v>729</v>
      </c>
      <c r="N2315" s="74">
        <v>41306</v>
      </c>
      <c r="O2315" s="75">
        <f t="shared" si="534"/>
        <v>41306</v>
      </c>
      <c r="P2315" s="2765" t="s">
        <v>1713</v>
      </c>
      <c r="Q2315" s="2954">
        <v>104.24</v>
      </c>
      <c r="R2315" s="76"/>
      <c r="S2315" s="1945" t="s">
        <v>731</v>
      </c>
      <c r="T2315" s="77"/>
      <c r="U2315" s="1893"/>
      <c r="V2315" s="2079">
        <f t="shared" si="536"/>
        <v>123.00319999999999</v>
      </c>
      <c r="W2315" s="78">
        <f t="shared" si="537"/>
        <v>0</v>
      </c>
      <c r="X2315" s="1878" t="str">
        <f t="shared" si="535"/>
        <v xml:space="preserve">33.- C Lima Caucho 0780910-OT_177638  Reencauche 030-0024579 </v>
      </c>
    </row>
    <row r="2316" spans="2:26" outlineLevel="1">
      <c r="B2316" s="3275"/>
      <c r="C2316" s="2">
        <f t="shared" si="540"/>
        <v>13</v>
      </c>
      <c r="D2316" s="3">
        <f t="shared" si="541"/>
        <v>2</v>
      </c>
      <c r="E2316" s="66">
        <v>34</v>
      </c>
      <c r="F2316" s="67" t="s">
        <v>732</v>
      </c>
      <c r="G2316" s="68" t="s">
        <v>737</v>
      </c>
      <c r="H2316" s="69" t="s">
        <v>892</v>
      </c>
      <c r="I2316" s="68" t="s">
        <v>726</v>
      </c>
      <c r="J2316" s="70" t="s">
        <v>760</v>
      </c>
      <c r="K2316" s="71" t="s">
        <v>1703</v>
      </c>
      <c r="L2316" s="72">
        <v>41291</v>
      </c>
      <c r="M2316" s="73" t="s">
        <v>729</v>
      </c>
      <c r="N2316" s="74">
        <v>41306</v>
      </c>
      <c r="O2316" s="75">
        <f t="shared" si="534"/>
        <v>41306</v>
      </c>
      <c r="P2316" s="2765" t="s">
        <v>1713</v>
      </c>
      <c r="Q2316" s="2954">
        <v>104.24</v>
      </c>
      <c r="R2316" s="76"/>
      <c r="S2316" s="1945" t="s">
        <v>731</v>
      </c>
      <c r="T2316" s="77"/>
      <c r="U2316" s="1893"/>
      <c r="V2316" s="2079">
        <f t="shared" si="536"/>
        <v>123.00319999999999</v>
      </c>
      <c r="W2316" s="78">
        <f t="shared" si="537"/>
        <v>0</v>
      </c>
      <c r="X2316" s="1878" t="str">
        <f t="shared" si="535"/>
        <v xml:space="preserve">34.- C Vikrant 0190310-OT_177639  Reencauche 030-0024579 </v>
      </c>
      <c r="Z2316" s="19" t="str">
        <f t="shared" ref="Z2316:Z2332" si="542">CONCATENATE(I2319,J2319)</f>
        <v>ReencaucheReencauchadora Espinoza</v>
      </c>
    </row>
    <row r="2317" spans="2:26" ht="15.75" outlineLevel="1" thickBot="1">
      <c r="B2317" s="3276"/>
      <c r="C2317" s="2">
        <f>1+C2319</f>
        <v>12</v>
      </c>
      <c r="D2317" s="3">
        <v>1</v>
      </c>
      <c r="E2317" s="79">
        <v>35</v>
      </c>
      <c r="F2317" s="80" t="s">
        <v>732</v>
      </c>
      <c r="G2317" s="81" t="s">
        <v>733</v>
      </c>
      <c r="H2317" s="82" t="s">
        <v>1715</v>
      </c>
      <c r="I2317" s="81" t="s">
        <v>726</v>
      </c>
      <c r="J2317" s="83" t="s">
        <v>760</v>
      </c>
      <c r="K2317" s="84" t="s">
        <v>1703</v>
      </c>
      <c r="L2317" s="85">
        <v>41291</v>
      </c>
      <c r="M2317" s="86" t="s">
        <v>729</v>
      </c>
      <c r="N2317" s="87">
        <v>41306</v>
      </c>
      <c r="O2317" s="88">
        <f t="shared" si="534"/>
        <v>41306</v>
      </c>
      <c r="P2317" s="2766" t="s">
        <v>1713</v>
      </c>
      <c r="Q2317" s="2955">
        <v>104.24</v>
      </c>
      <c r="R2317" s="89"/>
      <c r="S2317" s="1946" t="s">
        <v>731</v>
      </c>
      <c r="T2317" s="77"/>
      <c r="U2317" s="1893"/>
      <c r="V2317" s="2079">
        <f t="shared" si="536"/>
        <v>123.00319999999999</v>
      </c>
      <c r="W2317" s="78">
        <f t="shared" si="537"/>
        <v>0</v>
      </c>
      <c r="X2317" s="1878" t="str">
        <f t="shared" si="535"/>
        <v xml:space="preserve">35.- C Lima Caucho 0700808-OT_177639  Reencauche 030-0024579 </v>
      </c>
      <c r="Z2317" s="19" t="str">
        <f t="shared" si="542"/>
        <v>ReencaucheReencauchadora Espinoza</v>
      </c>
    </row>
    <row r="2318" spans="2:26" ht="15.75" outlineLevel="1" thickBot="1">
      <c r="B2318" s="3306">
        <v>41275</v>
      </c>
      <c r="C2318" s="3306"/>
      <c r="D2318" s="258">
        <f>+D2319</f>
        <v>11</v>
      </c>
      <c r="E2318" s="66"/>
      <c r="F2318" s="67"/>
      <c r="G2318" s="68"/>
      <c r="H2318" s="69"/>
      <c r="I2318" s="68"/>
      <c r="J2318" s="70"/>
      <c r="K2318" s="71"/>
      <c r="L2318" s="72"/>
      <c r="M2318" s="73"/>
      <c r="N2318" s="74"/>
      <c r="O2318" s="75"/>
      <c r="P2318" s="2765"/>
      <c r="Q2318" s="2954"/>
      <c r="R2318" s="76"/>
      <c r="S2318" s="1945"/>
      <c r="T2318" s="77"/>
      <c r="U2318" s="1893"/>
      <c r="V2318" s="2079">
        <f t="shared" si="536"/>
        <v>0</v>
      </c>
      <c r="W2318" s="78">
        <f t="shared" si="537"/>
        <v>0</v>
      </c>
      <c r="X2318" s="1878" t="str">
        <f t="shared" si="535"/>
        <v xml:space="preserve">.-   -OT_    </v>
      </c>
      <c r="Z2318" s="19" t="str">
        <f t="shared" si="542"/>
        <v>Banda de 2ª usadaReencauchadora Espinoza</v>
      </c>
    </row>
    <row r="2319" spans="2:26" outlineLevel="1">
      <c r="B2319" s="3311">
        <v>41275</v>
      </c>
      <c r="C2319" s="2">
        <f t="shared" ref="C2319:C2326" si="543">1+C2320</f>
        <v>11</v>
      </c>
      <c r="D2319" s="3">
        <v>11</v>
      </c>
      <c r="E2319" s="66">
        <v>1</v>
      </c>
      <c r="F2319" s="67" t="s">
        <v>732</v>
      </c>
      <c r="G2319" s="68" t="s">
        <v>733</v>
      </c>
      <c r="H2319" s="69" t="s">
        <v>1093</v>
      </c>
      <c r="I2319" s="68" t="s">
        <v>726</v>
      </c>
      <c r="J2319" s="70" t="s">
        <v>1543</v>
      </c>
      <c r="K2319" s="71" t="s">
        <v>1716</v>
      </c>
      <c r="L2319" s="72">
        <v>41288</v>
      </c>
      <c r="M2319" s="73" t="s">
        <v>729</v>
      </c>
      <c r="N2319" s="74">
        <v>41300</v>
      </c>
      <c r="O2319" s="75">
        <f t="shared" ref="O2319:O2334" si="544">+N2319</f>
        <v>41300</v>
      </c>
      <c r="P2319" s="2765" t="s">
        <v>1718</v>
      </c>
      <c r="Q2319" s="2954"/>
      <c r="R2319" s="76">
        <f>300/(1.18)</f>
        <v>254.23728813559325</v>
      </c>
      <c r="S2319" s="1945" t="s">
        <v>731</v>
      </c>
      <c r="T2319" s="77"/>
      <c r="U2319" s="1893"/>
      <c r="V2319" s="2079">
        <f t="shared" si="536"/>
        <v>0</v>
      </c>
      <c r="W2319" s="78">
        <f t="shared" si="537"/>
        <v>300</v>
      </c>
      <c r="X2319" s="1878" t="str">
        <f t="shared" si="535"/>
        <v xml:space="preserve">1.- C Lima Caucho 1021210-OT_000155  Reencauche 001-000318 </v>
      </c>
      <c r="Z2319" s="19" t="str">
        <f t="shared" si="542"/>
        <v>Banda de 2ª usadaReencauchadora Espinoza</v>
      </c>
    </row>
    <row r="2320" spans="2:26" outlineLevel="1">
      <c r="B2320" s="3312"/>
      <c r="C2320" s="2">
        <f t="shared" si="543"/>
        <v>10</v>
      </c>
      <c r="D2320" s="3">
        <v>10</v>
      </c>
      <c r="E2320" s="66">
        <v>2</v>
      </c>
      <c r="F2320" s="67" t="s">
        <v>732</v>
      </c>
      <c r="G2320" s="68" t="s">
        <v>733</v>
      </c>
      <c r="H2320" s="69" t="s">
        <v>1446</v>
      </c>
      <c r="I2320" s="68" t="s">
        <v>726</v>
      </c>
      <c r="J2320" s="70" t="s">
        <v>1543</v>
      </c>
      <c r="K2320" s="71" t="s">
        <v>1716</v>
      </c>
      <c r="L2320" s="72">
        <v>41288</v>
      </c>
      <c r="M2320" s="73" t="s">
        <v>729</v>
      </c>
      <c r="N2320" s="74">
        <v>41300</v>
      </c>
      <c r="O2320" s="75">
        <f t="shared" si="544"/>
        <v>41300</v>
      </c>
      <c r="P2320" s="2765" t="s">
        <v>1718</v>
      </c>
      <c r="Q2320" s="2954"/>
      <c r="R2320" s="76">
        <v>254.24</v>
      </c>
      <c r="S2320" s="1945" t="s">
        <v>731</v>
      </c>
      <c r="T2320" s="77"/>
      <c r="U2320" s="1893"/>
      <c r="V2320" s="2079">
        <f t="shared" si="536"/>
        <v>0</v>
      </c>
      <c r="W2320" s="78">
        <f t="shared" si="537"/>
        <v>300.00319999999999</v>
      </c>
      <c r="X2320" s="1878" t="str">
        <f t="shared" si="535"/>
        <v xml:space="preserve">2.- C Lima Caucho 1231207-OT_000155  Reencauche 001-000318 </v>
      </c>
      <c r="Z2320" s="19" t="str">
        <f t="shared" si="542"/>
        <v>Transpl BandaReencauchadora Espinoza</v>
      </c>
    </row>
    <row r="2321" spans="1:26" outlineLevel="1">
      <c r="B2321" s="3312"/>
      <c r="C2321" s="2">
        <f t="shared" si="543"/>
        <v>9</v>
      </c>
      <c r="D2321" s="3">
        <v>9</v>
      </c>
      <c r="E2321" s="66">
        <v>3</v>
      </c>
      <c r="F2321" s="67" t="s">
        <v>732</v>
      </c>
      <c r="G2321" s="68" t="s">
        <v>733</v>
      </c>
      <c r="H2321" s="69" t="s">
        <v>1719</v>
      </c>
      <c r="I2321" s="90" t="s">
        <v>742</v>
      </c>
      <c r="J2321" s="92" t="s">
        <v>1543</v>
      </c>
      <c r="K2321" s="71" t="s">
        <v>1716</v>
      </c>
      <c r="L2321" s="72">
        <v>41288</v>
      </c>
      <c r="M2321" s="73" t="s">
        <v>729</v>
      </c>
      <c r="N2321" s="74">
        <v>41300</v>
      </c>
      <c r="O2321" s="75">
        <f t="shared" si="544"/>
        <v>41300</v>
      </c>
      <c r="P2321" s="2765" t="s">
        <v>1718</v>
      </c>
      <c r="Q2321" s="2954"/>
      <c r="R2321" s="76">
        <v>211.86</v>
      </c>
      <c r="S2321" s="1945" t="s">
        <v>731</v>
      </c>
      <c r="T2321" s="77"/>
      <c r="U2321" s="1893"/>
      <c r="V2321" s="2079">
        <f t="shared" si="536"/>
        <v>0</v>
      </c>
      <c r="W2321" s="78">
        <f t="shared" si="537"/>
        <v>249.9948</v>
      </c>
      <c r="X2321" s="1878" t="str">
        <f t="shared" si="535"/>
        <v xml:space="preserve">3.- C Lima Caucho 0330507-OT_000155  Banda de 2ª usada 001-000318 </v>
      </c>
      <c r="Z2321" s="19" t="str">
        <f t="shared" si="542"/>
        <v>Transpl BandaReencauchadora Espinoza</v>
      </c>
    </row>
    <row r="2322" spans="1:26" outlineLevel="1">
      <c r="B2322" s="3312"/>
      <c r="C2322" s="2">
        <f t="shared" si="543"/>
        <v>8</v>
      </c>
      <c r="D2322" s="3">
        <v>8</v>
      </c>
      <c r="E2322" s="79">
        <v>4</v>
      </c>
      <c r="F2322" s="80" t="s">
        <v>732</v>
      </c>
      <c r="G2322" s="81" t="s">
        <v>733</v>
      </c>
      <c r="H2322" s="82" t="s">
        <v>850</v>
      </c>
      <c r="I2322" s="114" t="s">
        <v>742</v>
      </c>
      <c r="J2322" s="93" t="s">
        <v>1543</v>
      </c>
      <c r="K2322" s="84" t="s">
        <v>1716</v>
      </c>
      <c r="L2322" s="85">
        <v>41288</v>
      </c>
      <c r="M2322" s="86" t="s">
        <v>729</v>
      </c>
      <c r="N2322" s="87">
        <v>41300</v>
      </c>
      <c r="O2322" s="88">
        <f t="shared" si="544"/>
        <v>41300</v>
      </c>
      <c r="P2322" s="2766" t="s">
        <v>1718</v>
      </c>
      <c r="Q2322" s="2955"/>
      <c r="R2322" s="89">
        <v>211.86</v>
      </c>
      <c r="S2322" s="1946" t="s">
        <v>731</v>
      </c>
      <c r="T2322" s="77"/>
      <c r="U2322" s="1893"/>
      <c r="V2322" s="2079">
        <f t="shared" si="536"/>
        <v>0</v>
      </c>
      <c r="W2322" s="78">
        <f t="shared" si="537"/>
        <v>249.9948</v>
      </c>
      <c r="X2322" s="1878" t="str">
        <f t="shared" si="535"/>
        <v xml:space="preserve">4.- C Lima Caucho 0710808-OT_000155  Banda de 2ª usada 001-000318 </v>
      </c>
      <c r="Z2322" s="19" t="str">
        <f t="shared" si="542"/>
        <v>Transpl BandaReencauchadora Espinoza</v>
      </c>
    </row>
    <row r="2323" spans="1:26" outlineLevel="1">
      <c r="B2323" s="3312"/>
      <c r="C2323" s="2">
        <f t="shared" si="543"/>
        <v>7</v>
      </c>
      <c r="D2323" s="3">
        <v>7</v>
      </c>
      <c r="E2323" s="66">
        <v>1</v>
      </c>
      <c r="F2323" s="67" t="s">
        <v>732</v>
      </c>
      <c r="G2323" s="68" t="s">
        <v>733</v>
      </c>
      <c r="H2323" s="69" t="s">
        <v>1720</v>
      </c>
      <c r="I2323" s="257" t="s">
        <v>740</v>
      </c>
      <c r="J2323" s="92" t="s">
        <v>1543</v>
      </c>
      <c r="K2323" s="71" t="s">
        <v>1721</v>
      </c>
      <c r="L2323" s="72">
        <v>41283</v>
      </c>
      <c r="M2323" s="73" t="s">
        <v>729</v>
      </c>
      <c r="N2323" s="74">
        <v>41288</v>
      </c>
      <c r="O2323" s="75">
        <f t="shared" si="544"/>
        <v>41288</v>
      </c>
      <c r="P2323" s="2765" t="s">
        <v>1722</v>
      </c>
      <c r="Q2323" s="2954"/>
      <c r="R2323" s="76">
        <v>127.12</v>
      </c>
      <c r="S2323" s="1945" t="s">
        <v>731</v>
      </c>
      <c r="T2323" s="77"/>
      <c r="U2323" s="1893"/>
      <c r="V2323" s="2079">
        <f t="shared" si="536"/>
        <v>0</v>
      </c>
      <c r="W2323" s="78">
        <f t="shared" si="537"/>
        <v>150.0016</v>
      </c>
      <c r="X2323" s="1878" t="str">
        <f t="shared" si="535"/>
        <v xml:space="preserve">1.- C Lima Caucho 0880908-OT_000149  Transpl Banda 001-003260 </v>
      </c>
      <c r="Z2323" s="19" t="str">
        <f t="shared" si="542"/>
        <v>Transpl BandaReencauchadora Espinoza</v>
      </c>
    </row>
    <row r="2324" spans="1:26" outlineLevel="1">
      <c r="B2324" s="3312"/>
      <c r="C2324" s="2">
        <f t="shared" si="543"/>
        <v>6</v>
      </c>
      <c r="D2324" s="3">
        <v>6</v>
      </c>
      <c r="E2324" s="66">
        <v>2</v>
      </c>
      <c r="F2324" s="67" t="s">
        <v>732</v>
      </c>
      <c r="G2324" s="68" t="s">
        <v>737</v>
      </c>
      <c r="H2324" s="69" t="s">
        <v>893</v>
      </c>
      <c r="I2324" s="257" t="s">
        <v>740</v>
      </c>
      <c r="J2324" s="92" t="s">
        <v>1543</v>
      </c>
      <c r="K2324" s="71" t="s">
        <v>1721</v>
      </c>
      <c r="L2324" s="72">
        <v>41283</v>
      </c>
      <c r="M2324" s="73" t="s">
        <v>729</v>
      </c>
      <c r="N2324" s="74">
        <v>41288</v>
      </c>
      <c r="O2324" s="75">
        <f t="shared" si="544"/>
        <v>41288</v>
      </c>
      <c r="P2324" s="2765" t="s">
        <v>1722</v>
      </c>
      <c r="Q2324" s="2954"/>
      <c r="R2324" s="76">
        <v>127.12</v>
      </c>
      <c r="S2324" s="1945" t="s">
        <v>731</v>
      </c>
      <c r="T2324" s="77"/>
      <c r="U2324" s="1893"/>
      <c r="V2324" s="2079">
        <f t="shared" si="536"/>
        <v>0</v>
      </c>
      <c r="W2324" s="78">
        <f t="shared" si="537"/>
        <v>150.0016</v>
      </c>
      <c r="X2324" s="1878" t="str">
        <f t="shared" si="535"/>
        <v xml:space="preserve">2.- C Vikrant 011022010-OT_000149  Transpl Banda 001-003260 </v>
      </c>
      <c r="Z2324" s="19" t="str">
        <f t="shared" si="542"/>
        <v>Transpl BandaReencauchadora Espinoza</v>
      </c>
    </row>
    <row r="2325" spans="1:26" outlineLevel="1">
      <c r="B2325" s="3312"/>
      <c r="C2325" s="2">
        <f t="shared" si="543"/>
        <v>5</v>
      </c>
      <c r="D2325" s="3">
        <v>5</v>
      </c>
      <c r="E2325" s="66">
        <v>3</v>
      </c>
      <c r="F2325" s="67" t="s">
        <v>732</v>
      </c>
      <c r="G2325" s="68" t="s">
        <v>733</v>
      </c>
      <c r="H2325" s="69" t="s">
        <v>1699</v>
      </c>
      <c r="I2325" s="257" t="s">
        <v>740</v>
      </c>
      <c r="J2325" s="92" t="s">
        <v>1543</v>
      </c>
      <c r="K2325" s="71" t="s">
        <v>1721</v>
      </c>
      <c r="L2325" s="72">
        <v>41283</v>
      </c>
      <c r="M2325" s="73" t="s">
        <v>729</v>
      </c>
      <c r="N2325" s="74">
        <v>41288</v>
      </c>
      <c r="O2325" s="75">
        <f t="shared" si="544"/>
        <v>41288</v>
      </c>
      <c r="P2325" s="2765" t="s">
        <v>1722</v>
      </c>
      <c r="Q2325" s="2954"/>
      <c r="R2325" s="76">
        <v>127.12</v>
      </c>
      <c r="S2325" s="1945" t="s">
        <v>731</v>
      </c>
      <c r="T2325" s="77"/>
      <c r="U2325" s="1893"/>
      <c r="V2325" s="2079">
        <f t="shared" si="536"/>
        <v>0</v>
      </c>
      <c r="W2325" s="78">
        <f t="shared" si="537"/>
        <v>150.0016</v>
      </c>
      <c r="X2325" s="1878" t="str">
        <f t="shared" si="535"/>
        <v xml:space="preserve">3.- C Lima Caucho 0560610-OT_000149  Transpl Banda 001-003260 </v>
      </c>
      <c r="Z2325" s="19" t="str">
        <f t="shared" si="542"/>
        <v>Sacar_BandaReencauchadora Espinoza</v>
      </c>
    </row>
    <row r="2326" spans="1:26" outlineLevel="1">
      <c r="B2326" s="3312"/>
      <c r="C2326" s="2">
        <f t="shared" si="543"/>
        <v>4</v>
      </c>
      <c r="D2326" s="3">
        <v>4</v>
      </c>
      <c r="E2326" s="66">
        <v>4</v>
      </c>
      <c r="F2326" s="67" t="s">
        <v>732</v>
      </c>
      <c r="G2326" s="68" t="s">
        <v>737</v>
      </c>
      <c r="H2326" s="69" t="s">
        <v>1280</v>
      </c>
      <c r="I2326" s="257" t="s">
        <v>740</v>
      </c>
      <c r="J2326" s="92" t="s">
        <v>1543</v>
      </c>
      <c r="K2326" s="71" t="s">
        <v>1721</v>
      </c>
      <c r="L2326" s="72">
        <v>41283</v>
      </c>
      <c r="M2326" s="73" t="s">
        <v>729</v>
      </c>
      <c r="N2326" s="74">
        <v>41288</v>
      </c>
      <c r="O2326" s="75">
        <f t="shared" si="544"/>
        <v>41288</v>
      </c>
      <c r="P2326" s="2765" t="s">
        <v>1722</v>
      </c>
      <c r="Q2326" s="2954"/>
      <c r="R2326" s="76">
        <v>127.12</v>
      </c>
      <c r="S2326" s="1945" t="s">
        <v>731</v>
      </c>
      <c r="T2326" s="77"/>
      <c r="U2326" s="1893"/>
      <c r="V2326" s="2079">
        <f t="shared" si="536"/>
        <v>0</v>
      </c>
      <c r="W2326" s="78">
        <f t="shared" si="537"/>
        <v>150.0016</v>
      </c>
      <c r="X2326" s="1878" t="str">
        <f t="shared" si="535"/>
        <v xml:space="preserve">4.- C Vikrant 0410506-OT_000149  Transpl Banda 001-003260 </v>
      </c>
      <c r="Z2326" s="19" t="str">
        <f t="shared" si="542"/>
        <v>Sacar_BandaReencauchadora Espinoza</v>
      </c>
    </row>
    <row r="2327" spans="1:26" outlineLevel="1">
      <c r="B2327" s="3312"/>
      <c r="C2327" s="2">
        <f>+C2333+1</f>
        <v>3</v>
      </c>
      <c r="D2327" s="3">
        <v>3</v>
      </c>
      <c r="E2327" s="66">
        <v>5</v>
      </c>
      <c r="F2327" s="67" t="s">
        <v>732</v>
      </c>
      <c r="G2327" s="68" t="s">
        <v>757</v>
      </c>
      <c r="H2327" s="69" t="s">
        <v>1535</v>
      </c>
      <c r="I2327" s="257" t="s">
        <v>740</v>
      </c>
      <c r="J2327" s="92" t="s">
        <v>1543</v>
      </c>
      <c r="K2327" s="71" t="s">
        <v>1721</v>
      </c>
      <c r="L2327" s="72">
        <v>41283</v>
      </c>
      <c r="M2327" s="73" t="s">
        <v>729</v>
      </c>
      <c r="N2327" s="74">
        <v>41288</v>
      </c>
      <c r="O2327" s="75">
        <f t="shared" si="544"/>
        <v>41288</v>
      </c>
      <c r="P2327" s="2765" t="s">
        <v>1722</v>
      </c>
      <c r="Q2327" s="2954"/>
      <c r="R2327" s="76">
        <v>127.12</v>
      </c>
      <c r="S2327" s="1945" t="s">
        <v>731</v>
      </c>
      <c r="T2327" s="77"/>
      <c r="U2327" s="1893"/>
      <c r="V2327" s="2079">
        <f t="shared" si="536"/>
        <v>0</v>
      </c>
      <c r="W2327" s="78">
        <f t="shared" si="537"/>
        <v>150.0016</v>
      </c>
      <c r="X2327" s="1878" t="str">
        <f t="shared" si="535"/>
        <v xml:space="preserve">5.- C Goodyear 002032003-OT_000149  Transpl Banda 001-003260 </v>
      </c>
      <c r="Z2327" s="19" t="str">
        <f t="shared" si="542"/>
        <v>Sacar_BandaReencauchadora Espinoza</v>
      </c>
    </row>
    <row r="2328" spans="1:26" outlineLevel="1">
      <c r="B2328" s="3312"/>
      <c r="E2328" s="66">
        <v>6</v>
      </c>
      <c r="F2328" s="67" t="s">
        <v>732</v>
      </c>
      <c r="G2328" s="68" t="s">
        <v>733</v>
      </c>
      <c r="H2328" s="69" t="s">
        <v>1723</v>
      </c>
      <c r="I2328" s="257" t="s">
        <v>744</v>
      </c>
      <c r="J2328" s="92" t="s">
        <v>1543</v>
      </c>
      <c r="K2328" s="71" t="s">
        <v>1724</v>
      </c>
      <c r="L2328" s="72">
        <v>41283</v>
      </c>
      <c r="M2328" s="73" t="s">
        <v>729</v>
      </c>
      <c r="N2328" s="74">
        <v>41288</v>
      </c>
      <c r="O2328" s="75">
        <f t="shared" si="544"/>
        <v>41288</v>
      </c>
      <c r="P2328" s="2765" t="s">
        <v>1722</v>
      </c>
      <c r="Q2328" s="2954"/>
      <c r="R2328" s="76">
        <v>0</v>
      </c>
      <c r="S2328" s="1945" t="s">
        <v>731</v>
      </c>
      <c r="T2328" s="77"/>
      <c r="U2328" s="1893"/>
      <c r="V2328" s="2079">
        <f t="shared" si="536"/>
        <v>0</v>
      </c>
      <c r="W2328" s="78">
        <f t="shared" si="537"/>
        <v>0</v>
      </c>
      <c r="X2328" s="1878" t="str">
        <f t="shared" si="535"/>
        <v xml:space="preserve">6.- C Lima Caucho 1021208-OT_000147  Sacar_Banda 001-003260 </v>
      </c>
      <c r="Z2328" s="19" t="str">
        <f t="shared" si="542"/>
        <v>Sacar_BandaReencauchadora Espinoza</v>
      </c>
    </row>
    <row r="2329" spans="1:26" outlineLevel="1">
      <c r="B2329" s="3312"/>
      <c r="E2329" s="66">
        <v>7</v>
      </c>
      <c r="F2329" s="67" t="s">
        <v>732</v>
      </c>
      <c r="G2329" s="68" t="s">
        <v>733</v>
      </c>
      <c r="H2329" s="69" t="s">
        <v>790</v>
      </c>
      <c r="I2329" s="257" t="s">
        <v>744</v>
      </c>
      <c r="J2329" s="92" t="s">
        <v>1543</v>
      </c>
      <c r="K2329" s="71" t="s">
        <v>1724</v>
      </c>
      <c r="L2329" s="72">
        <v>41283</v>
      </c>
      <c r="M2329" s="73" t="s">
        <v>729</v>
      </c>
      <c r="N2329" s="74">
        <v>41288</v>
      </c>
      <c r="O2329" s="75">
        <f t="shared" si="544"/>
        <v>41288</v>
      </c>
      <c r="P2329" s="2765" t="s">
        <v>1722</v>
      </c>
      <c r="Q2329" s="2954"/>
      <c r="R2329" s="76">
        <v>0</v>
      </c>
      <c r="S2329" s="1945" t="s">
        <v>731</v>
      </c>
      <c r="T2329" s="77"/>
      <c r="U2329" s="1893"/>
      <c r="V2329" s="2079">
        <f t="shared" si="536"/>
        <v>0</v>
      </c>
      <c r="W2329" s="78">
        <f t="shared" si="537"/>
        <v>0</v>
      </c>
      <c r="X2329" s="1878" t="str">
        <f t="shared" si="535"/>
        <v xml:space="preserve">7.- C Lima Caucho 1011107-OT_000147  Sacar_Banda 001-003260 </v>
      </c>
      <c r="Z2329" s="19" t="str">
        <f t="shared" si="542"/>
        <v>Sacar_BandaReencauchadora Espinoza</v>
      </c>
    </row>
    <row r="2330" spans="1:26" outlineLevel="1">
      <c r="B2330" s="3312"/>
      <c r="E2330" s="66">
        <v>8</v>
      </c>
      <c r="F2330" s="67" t="s">
        <v>732</v>
      </c>
      <c r="G2330" s="68" t="s">
        <v>737</v>
      </c>
      <c r="H2330" s="69" t="s">
        <v>1725</v>
      </c>
      <c r="I2330" s="257" t="s">
        <v>744</v>
      </c>
      <c r="J2330" s="92" t="s">
        <v>1543</v>
      </c>
      <c r="K2330" s="71" t="s">
        <v>1724</v>
      </c>
      <c r="L2330" s="72">
        <v>41283</v>
      </c>
      <c r="M2330" s="73" t="s">
        <v>729</v>
      </c>
      <c r="N2330" s="74">
        <v>41288</v>
      </c>
      <c r="O2330" s="75">
        <f t="shared" si="544"/>
        <v>41288</v>
      </c>
      <c r="P2330" s="2765" t="s">
        <v>1722</v>
      </c>
      <c r="Q2330" s="2954"/>
      <c r="R2330" s="76">
        <v>0</v>
      </c>
      <c r="S2330" s="1945" t="s">
        <v>731</v>
      </c>
      <c r="T2330" s="77"/>
      <c r="U2330" s="1893"/>
      <c r="V2330" s="2079">
        <f t="shared" si="536"/>
        <v>0</v>
      </c>
      <c r="W2330" s="78">
        <f t="shared" si="537"/>
        <v>0</v>
      </c>
      <c r="X2330" s="1878" t="str">
        <f t="shared" si="535"/>
        <v xml:space="preserve">8.- C Vikrant 0820505-OT_000147  Sacar_Banda 001-003260 </v>
      </c>
      <c r="Z2330" s="19" t="str">
        <f t="shared" si="542"/>
        <v>ReencaucheReencauchadora Espinoza</v>
      </c>
    </row>
    <row r="2331" spans="1:26" ht="15.75" outlineLevel="1" thickBot="1">
      <c r="B2331" s="3312"/>
      <c r="E2331" s="66">
        <v>9</v>
      </c>
      <c r="F2331" s="67" t="s">
        <v>732</v>
      </c>
      <c r="G2331" s="68" t="s">
        <v>733</v>
      </c>
      <c r="H2331" s="69" t="s">
        <v>1726</v>
      </c>
      <c r="I2331" s="257" t="s">
        <v>744</v>
      </c>
      <c r="J2331" s="92" t="s">
        <v>1543</v>
      </c>
      <c r="K2331" s="71" t="s">
        <v>1724</v>
      </c>
      <c r="L2331" s="72">
        <v>41283</v>
      </c>
      <c r="M2331" s="73" t="s">
        <v>729</v>
      </c>
      <c r="N2331" s="74">
        <v>41288</v>
      </c>
      <c r="O2331" s="75">
        <f t="shared" si="544"/>
        <v>41288</v>
      </c>
      <c r="P2331" s="2765" t="s">
        <v>1722</v>
      </c>
      <c r="Q2331" s="2954"/>
      <c r="R2331" s="76">
        <v>0</v>
      </c>
      <c r="S2331" s="1945" t="s">
        <v>731</v>
      </c>
      <c r="T2331" s="77"/>
      <c r="U2331" s="1893"/>
      <c r="V2331" s="2079">
        <f t="shared" si="536"/>
        <v>0</v>
      </c>
      <c r="W2331" s="78">
        <f t="shared" si="537"/>
        <v>0</v>
      </c>
      <c r="X2331" s="1878" t="str">
        <f t="shared" si="535"/>
        <v xml:space="preserve">9.- C Lima Caucho 0690907-OT_000147  Sacar_Banda 001-003260 </v>
      </c>
      <c r="Z2331" s="19" t="str">
        <f t="shared" si="542"/>
        <v>ReencaucheReencauchadora Espinoza</v>
      </c>
    </row>
    <row r="2332" spans="1:26" s="65" customFormat="1">
      <c r="A2332"/>
      <c r="B2332" s="3312"/>
      <c r="C2332" s="2"/>
      <c r="D2332" s="3"/>
      <c r="E2332" s="66">
        <v>10</v>
      </c>
      <c r="F2332" s="67" t="s">
        <v>732</v>
      </c>
      <c r="G2332" s="68" t="s">
        <v>737</v>
      </c>
      <c r="H2332" s="69" t="s">
        <v>1727</v>
      </c>
      <c r="I2332" s="257" t="s">
        <v>744</v>
      </c>
      <c r="J2332" s="92" t="s">
        <v>1543</v>
      </c>
      <c r="K2332" s="71" t="s">
        <v>1724</v>
      </c>
      <c r="L2332" s="72">
        <v>41283</v>
      </c>
      <c r="M2332" s="73" t="s">
        <v>729</v>
      </c>
      <c r="N2332" s="74">
        <v>41288</v>
      </c>
      <c r="O2332" s="75">
        <f t="shared" si="544"/>
        <v>41288</v>
      </c>
      <c r="P2332" s="2765" t="s">
        <v>1722</v>
      </c>
      <c r="Q2332" s="2954"/>
      <c r="R2332" s="76">
        <v>0</v>
      </c>
      <c r="S2332" s="1945" t="s">
        <v>731</v>
      </c>
      <c r="T2332" s="77"/>
      <c r="U2332" s="1893"/>
      <c r="V2332" s="2079">
        <f t="shared" si="536"/>
        <v>0</v>
      </c>
      <c r="W2332" s="78">
        <f t="shared" si="537"/>
        <v>0</v>
      </c>
      <c r="X2332" s="1881" t="str">
        <f t="shared" si="535"/>
        <v xml:space="preserve">10.- C Vikrant 02022010-OT_000147  Sacar_Banda 001-003260 </v>
      </c>
      <c r="Y2332" s="63"/>
      <c r="Z2332" s="64" t="str">
        <f t="shared" si="542"/>
        <v/>
      </c>
    </row>
    <row r="2333" spans="1:26" s="304" customFormat="1">
      <c r="A2333"/>
      <c r="B2333" s="3312"/>
      <c r="C2333" s="2">
        <f>+C2334+1</f>
        <v>2</v>
      </c>
      <c r="D2333" s="3">
        <v>2</v>
      </c>
      <c r="E2333" s="66">
        <v>11</v>
      </c>
      <c r="F2333" s="67" t="s">
        <v>732</v>
      </c>
      <c r="G2333" s="68" t="s">
        <v>737</v>
      </c>
      <c r="H2333" s="69" t="s">
        <v>812</v>
      </c>
      <c r="I2333" s="68" t="s">
        <v>726</v>
      </c>
      <c r="J2333" s="70" t="s">
        <v>1543</v>
      </c>
      <c r="K2333" s="71" t="s">
        <v>1728</v>
      </c>
      <c r="L2333" s="72">
        <v>41283</v>
      </c>
      <c r="M2333" s="73" t="s">
        <v>729</v>
      </c>
      <c r="N2333" s="74">
        <v>41288</v>
      </c>
      <c r="O2333" s="75">
        <f t="shared" si="544"/>
        <v>41288</v>
      </c>
      <c r="P2333" s="2765" t="s">
        <v>1729</v>
      </c>
      <c r="Q2333" s="2954"/>
      <c r="R2333" s="76">
        <v>254.24</v>
      </c>
      <c r="S2333" s="1945" t="s">
        <v>731</v>
      </c>
      <c r="T2333" s="77"/>
      <c r="U2333" s="1893"/>
      <c r="V2333" s="2079">
        <f t="shared" si="536"/>
        <v>0</v>
      </c>
      <c r="W2333" s="78">
        <f t="shared" si="537"/>
        <v>300.00319999999999</v>
      </c>
      <c r="X2333" s="1878" t="str">
        <f t="shared" si="535"/>
        <v xml:space="preserve">11.- C Vikrant 0070111-OT_000148  Reencauche 001-003261 </v>
      </c>
      <c r="Y2333" s="16"/>
      <c r="Z2333" s="303"/>
    </row>
    <row r="2334" spans="1:26" ht="15.75" thickBot="1">
      <c r="B2334" s="3313"/>
      <c r="C2334" s="2">
        <v>1</v>
      </c>
      <c r="D2334" s="3">
        <v>1</v>
      </c>
      <c r="E2334" s="66">
        <v>12</v>
      </c>
      <c r="F2334" s="67" t="s">
        <v>732</v>
      </c>
      <c r="G2334" s="68" t="s">
        <v>737</v>
      </c>
      <c r="H2334" s="69" t="s">
        <v>1487</v>
      </c>
      <c r="I2334" s="68" t="s">
        <v>726</v>
      </c>
      <c r="J2334" s="70" t="s">
        <v>1543</v>
      </c>
      <c r="K2334" s="71" t="s">
        <v>1728</v>
      </c>
      <c r="L2334" s="72">
        <v>41283</v>
      </c>
      <c r="M2334" s="73" t="s">
        <v>729</v>
      </c>
      <c r="N2334" s="74">
        <v>41288</v>
      </c>
      <c r="O2334" s="75">
        <f t="shared" si="544"/>
        <v>41288</v>
      </c>
      <c r="P2334" s="2765" t="s">
        <v>1729</v>
      </c>
      <c r="Q2334" s="2954"/>
      <c r="R2334" s="76">
        <v>254.24</v>
      </c>
      <c r="S2334" s="1945" t="s">
        <v>731</v>
      </c>
      <c r="T2334" s="77"/>
      <c r="U2334" s="1893"/>
      <c r="V2334" s="2079">
        <f t="shared" si="536"/>
        <v>0</v>
      </c>
      <c r="W2334" s="78">
        <f t="shared" si="537"/>
        <v>300.00319999999999</v>
      </c>
      <c r="X2334" s="1878" t="str">
        <f t="shared" si="535"/>
        <v xml:space="preserve">12.- C Vikrant 1571105-OT_000148  Reencauche 001-003261 </v>
      </c>
    </row>
    <row r="2335" spans="1:26" outlineLevel="1">
      <c r="A2335" s="3307" t="s">
        <v>1730</v>
      </c>
      <c r="B2335" s="3308"/>
      <c r="C2335" s="3307"/>
      <c r="D2335" s="3309"/>
      <c r="E2335" s="51">
        <f>+D2577+D2547+D2517+D2492+D2456+D2428+D2401+D2376+D2358+D2337</f>
        <v>225</v>
      </c>
      <c r="F2335" s="2048"/>
      <c r="G2335" s="52"/>
      <c r="H2335" s="53"/>
      <c r="I2335" s="52"/>
      <c r="J2335" s="54"/>
      <c r="K2335" s="55"/>
      <c r="L2335" s="56"/>
      <c r="M2335" s="57"/>
      <c r="N2335" s="58"/>
      <c r="O2335" s="59">
        <f>+N2338</f>
        <v>41222</v>
      </c>
      <c r="P2335" s="2764"/>
      <c r="Q2335" s="2953"/>
      <c r="R2335" s="60"/>
      <c r="S2335" s="1944"/>
      <c r="T2335" s="61"/>
      <c r="U2335" s="1892"/>
      <c r="V2335" s="2079">
        <f t="shared" si="536"/>
        <v>0</v>
      </c>
      <c r="W2335" s="78">
        <f t="shared" si="537"/>
        <v>0</v>
      </c>
      <c r="X2335" s="1878" t="str">
        <f t="shared" si="535"/>
        <v xml:space="preserve">225.-   -OT_    </v>
      </c>
      <c r="Z2335" s="19" t="str">
        <f t="shared" ref="Z2335:Z2354" si="545">CONCATENATE(I2338,J2338)</f>
        <v>ReencaucheReencauchadora RENOVA</v>
      </c>
    </row>
    <row r="2336" spans="1:26" outlineLevel="1">
      <c r="A2336" s="297"/>
      <c r="B2336" s="3310">
        <v>41244</v>
      </c>
      <c r="C2336" s="3310"/>
      <c r="D2336" s="283">
        <v>0</v>
      </c>
      <c r="E2336" s="298"/>
      <c r="F2336" s="2050"/>
      <c r="G2336" s="299"/>
      <c r="H2336" s="300"/>
      <c r="I2336" s="299"/>
      <c r="J2336" s="301"/>
      <c r="K2336" s="98"/>
      <c r="L2336" s="99"/>
      <c r="M2336" s="100"/>
      <c r="N2336" s="153"/>
      <c r="O2336" s="154"/>
      <c r="P2336" s="344"/>
      <c r="Q2336" s="2959"/>
      <c r="R2336" s="103"/>
      <c r="S2336" s="1945"/>
      <c r="T2336" s="302"/>
      <c r="U2336" s="1894"/>
      <c r="V2336" s="2079">
        <f t="shared" si="536"/>
        <v>0</v>
      </c>
      <c r="W2336" s="78">
        <f t="shared" si="537"/>
        <v>0</v>
      </c>
      <c r="X2336" s="1878" t="str">
        <f t="shared" si="535"/>
        <v xml:space="preserve">.-   -OT_    </v>
      </c>
      <c r="Z2336" s="19" t="str">
        <f t="shared" si="545"/>
        <v>ReencaucheReencauchadora RENOVA</v>
      </c>
    </row>
    <row r="2337" spans="2:26" ht="15.75" outlineLevel="1" thickBot="1">
      <c r="B2337" s="3310">
        <v>41214</v>
      </c>
      <c r="C2337" s="3310"/>
      <c r="D2337" s="258">
        <f>+D2338</f>
        <v>20</v>
      </c>
      <c r="E2337" s="66"/>
      <c r="F2337" s="67"/>
      <c r="G2337" s="68"/>
      <c r="H2337" s="69"/>
      <c r="I2337" s="68"/>
      <c r="J2337" s="70"/>
      <c r="K2337" s="71"/>
      <c r="L2337" s="72"/>
      <c r="M2337" s="73"/>
      <c r="N2337" s="74"/>
      <c r="O2337" s="75"/>
      <c r="P2337" s="2765"/>
      <c r="Q2337" s="2954"/>
      <c r="R2337" s="76"/>
      <c r="S2337" s="1945"/>
      <c r="T2337" s="77"/>
      <c r="U2337" s="1893"/>
      <c r="V2337" s="2079">
        <f t="shared" si="536"/>
        <v>0</v>
      </c>
      <c r="W2337" s="78">
        <f t="shared" si="537"/>
        <v>0</v>
      </c>
      <c r="X2337" s="1878" t="str">
        <f t="shared" si="535"/>
        <v xml:space="preserve">.-   -OT_    </v>
      </c>
      <c r="Z2337" s="19" t="str">
        <f t="shared" si="545"/>
        <v>ReencaucheReencauchadora RENOVA</v>
      </c>
    </row>
    <row r="2338" spans="2:26" outlineLevel="1">
      <c r="B2338" s="3311">
        <v>41214</v>
      </c>
      <c r="C2338" s="2">
        <f t="shared" ref="C2338:C2356" si="546">1+C2339</f>
        <v>225</v>
      </c>
      <c r="D2338" s="3">
        <f t="shared" ref="D2338:D2356" si="547">1+D2339</f>
        <v>20</v>
      </c>
      <c r="E2338" s="66">
        <v>1</v>
      </c>
      <c r="F2338" s="67" t="s">
        <v>732</v>
      </c>
      <c r="G2338" s="68" t="s">
        <v>733</v>
      </c>
      <c r="H2338" s="69" t="s">
        <v>1484</v>
      </c>
      <c r="I2338" s="68" t="s">
        <v>726</v>
      </c>
      <c r="J2338" s="70" t="s">
        <v>760</v>
      </c>
      <c r="K2338" s="71" t="s">
        <v>1731</v>
      </c>
      <c r="L2338" s="72">
        <v>41215</v>
      </c>
      <c r="M2338" s="73" t="s">
        <v>729</v>
      </c>
      <c r="N2338" s="74">
        <v>41222</v>
      </c>
      <c r="O2338" s="75">
        <f t="shared" ref="O2338:O2357" si="548">+N2338</f>
        <v>41222</v>
      </c>
      <c r="P2338" s="2765" t="s">
        <v>1732</v>
      </c>
      <c r="Q2338" s="2954">
        <v>104.24</v>
      </c>
      <c r="R2338" s="76"/>
      <c r="S2338" s="1945" t="s">
        <v>731</v>
      </c>
      <c r="T2338" s="77"/>
      <c r="U2338" s="1893"/>
      <c r="V2338" s="2079">
        <f t="shared" si="536"/>
        <v>123.00319999999999</v>
      </c>
      <c r="W2338" s="78">
        <f t="shared" si="537"/>
        <v>0</v>
      </c>
      <c r="X2338" s="1878" t="str">
        <f t="shared" ref="X2338:X2401" si="549">CONCATENATE(E2338,".- ",F2338," ",G2338," ",H2338,"-OT_",K2338," "," ",I2338," ",P2338," ",T2338)</f>
        <v xml:space="preserve">1.- C Lima Caucho 1261207-OT_174828  Reencauche 030-0022517 </v>
      </c>
      <c r="Z2338" s="19" t="str">
        <f t="shared" si="545"/>
        <v>ReencaucheReencauchadora RENOVA</v>
      </c>
    </row>
    <row r="2339" spans="2:26" outlineLevel="1">
      <c r="B2339" s="3312"/>
      <c r="C2339" s="2">
        <f t="shared" si="546"/>
        <v>224</v>
      </c>
      <c r="D2339" s="3">
        <f t="shared" si="547"/>
        <v>19</v>
      </c>
      <c r="E2339" s="66">
        <v>2</v>
      </c>
      <c r="F2339" s="67" t="s">
        <v>732</v>
      </c>
      <c r="G2339" s="68" t="s">
        <v>733</v>
      </c>
      <c r="H2339" s="69" t="s">
        <v>751</v>
      </c>
      <c r="I2339" s="68" t="s">
        <v>726</v>
      </c>
      <c r="J2339" s="70" t="s">
        <v>760</v>
      </c>
      <c r="K2339" s="71" t="s">
        <v>1731</v>
      </c>
      <c r="L2339" s="72">
        <v>41215</v>
      </c>
      <c r="M2339" s="73" t="s">
        <v>729</v>
      </c>
      <c r="N2339" s="74">
        <v>41222</v>
      </c>
      <c r="O2339" s="75">
        <f t="shared" si="548"/>
        <v>41222</v>
      </c>
      <c r="P2339" s="2765" t="s">
        <v>1732</v>
      </c>
      <c r="Q2339" s="2954">
        <v>104.24</v>
      </c>
      <c r="R2339" s="76"/>
      <c r="S2339" s="1945" t="s">
        <v>731</v>
      </c>
      <c r="T2339" s="77"/>
      <c r="U2339" s="1893"/>
      <c r="V2339" s="2079">
        <f t="shared" ref="V2339:V2402" si="550">+Q2339*(1.18)</f>
        <v>123.00319999999999</v>
      </c>
      <c r="W2339" s="78">
        <f t="shared" ref="W2339:W2402" si="551">+R2339*(1.18)</f>
        <v>0</v>
      </c>
      <c r="X2339" s="1878" t="str">
        <f t="shared" si="549"/>
        <v xml:space="preserve">2.- C Lima Caucho 0870908-OT_174828  Reencauche 030-0022517 </v>
      </c>
      <c r="Z2339" s="19" t="str">
        <f t="shared" si="545"/>
        <v>ReencaucheReencauchadora RENOVA</v>
      </c>
    </row>
    <row r="2340" spans="2:26" outlineLevel="1">
      <c r="B2340" s="3312"/>
      <c r="C2340" s="2">
        <f t="shared" si="546"/>
        <v>223</v>
      </c>
      <c r="D2340" s="3">
        <f t="shared" si="547"/>
        <v>18</v>
      </c>
      <c r="E2340" s="66">
        <v>3</v>
      </c>
      <c r="F2340" s="67" t="s">
        <v>732</v>
      </c>
      <c r="G2340" s="68" t="s">
        <v>733</v>
      </c>
      <c r="H2340" s="69" t="s">
        <v>911</v>
      </c>
      <c r="I2340" s="68" t="s">
        <v>726</v>
      </c>
      <c r="J2340" s="70" t="s">
        <v>760</v>
      </c>
      <c r="K2340" s="71" t="s">
        <v>1731</v>
      </c>
      <c r="L2340" s="72">
        <v>41215</v>
      </c>
      <c r="M2340" s="73" t="s">
        <v>729</v>
      </c>
      <c r="N2340" s="74">
        <v>41222</v>
      </c>
      <c r="O2340" s="75">
        <f t="shared" si="548"/>
        <v>41222</v>
      </c>
      <c r="P2340" s="2765" t="s">
        <v>1732</v>
      </c>
      <c r="Q2340" s="2954">
        <v>104.24</v>
      </c>
      <c r="R2340" s="76"/>
      <c r="S2340" s="1945" t="s">
        <v>731</v>
      </c>
      <c r="T2340" s="77"/>
      <c r="U2340" s="1893"/>
      <c r="V2340" s="2079">
        <f t="shared" si="550"/>
        <v>123.00319999999999</v>
      </c>
      <c r="W2340" s="78">
        <f t="shared" si="551"/>
        <v>0</v>
      </c>
      <c r="X2340" s="1878" t="str">
        <f t="shared" si="549"/>
        <v xml:space="preserve">3.- C Lima Caucho 0630808-OT_174828  Reencauche 030-0022517 </v>
      </c>
      <c r="Z2340" s="19" t="str">
        <f t="shared" si="545"/>
        <v>ReencaucheReencauchadora RENOVA</v>
      </c>
    </row>
    <row r="2341" spans="2:26" outlineLevel="1">
      <c r="B2341" s="3312"/>
      <c r="C2341" s="2">
        <f t="shared" si="546"/>
        <v>222</v>
      </c>
      <c r="D2341" s="3">
        <f t="shared" si="547"/>
        <v>17</v>
      </c>
      <c r="E2341" s="66">
        <v>4</v>
      </c>
      <c r="F2341" s="67" t="s">
        <v>732</v>
      </c>
      <c r="G2341" s="68" t="s">
        <v>733</v>
      </c>
      <c r="H2341" s="69" t="s">
        <v>1733</v>
      </c>
      <c r="I2341" s="68" t="s">
        <v>726</v>
      </c>
      <c r="J2341" s="70" t="s">
        <v>760</v>
      </c>
      <c r="K2341" s="71" t="s">
        <v>1731</v>
      </c>
      <c r="L2341" s="72">
        <v>41215</v>
      </c>
      <c r="M2341" s="73" t="s">
        <v>729</v>
      </c>
      <c r="N2341" s="74">
        <v>41222</v>
      </c>
      <c r="O2341" s="75">
        <f t="shared" si="548"/>
        <v>41222</v>
      </c>
      <c r="P2341" s="2765" t="s">
        <v>1732</v>
      </c>
      <c r="Q2341" s="2954">
        <v>104.24</v>
      </c>
      <c r="R2341" s="76"/>
      <c r="S2341" s="1945" t="s">
        <v>731</v>
      </c>
      <c r="T2341" s="77"/>
      <c r="U2341" s="1893"/>
      <c r="V2341" s="2079">
        <f t="shared" si="550"/>
        <v>123.00319999999999</v>
      </c>
      <c r="W2341" s="78">
        <f t="shared" si="551"/>
        <v>0</v>
      </c>
      <c r="X2341" s="1878" t="str">
        <f t="shared" si="549"/>
        <v xml:space="preserve">4.- C Lima Caucho 1101208-OT_174828  Reencauche 030-0022517 </v>
      </c>
      <c r="Z2341" s="19" t="str">
        <f t="shared" si="545"/>
        <v>ReencaucheReencauchadora RENOVA</v>
      </c>
    </row>
    <row r="2342" spans="2:26" outlineLevel="1">
      <c r="B2342" s="3312"/>
      <c r="C2342" s="2">
        <f t="shared" si="546"/>
        <v>221</v>
      </c>
      <c r="D2342" s="3">
        <f t="shared" si="547"/>
        <v>16</v>
      </c>
      <c r="E2342" s="66">
        <v>5</v>
      </c>
      <c r="F2342" s="67" t="s">
        <v>732</v>
      </c>
      <c r="G2342" s="68" t="s">
        <v>733</v>
      </c>
      <c r="H2342" s="69" t="s">
        <v>1734</v>
      </c>
      <c r="I2342" s="68" t="s">
        <v>726</v>
      </c>
      <c r="J2342" s="70" t="s">
        <v>760</v>
      </c>
      <c r="K2342" s="71" t="s">
        <v>1731</v>
      </c>
      <c r="L2342" s="72">
        <v>41215</v>
      </c>
      <c r="M2342" s="73" t="s">
        <v>729</v>
      </c>
      <c r="N2342" s="74">
        <v>41222</v>
      </c>
      <c r="O2342" s="75">
        <f t="shared" si="548"/>
        <v>41222</v>
      </c>
      <c r="P2342" s="2765" t="s">
        <v>1732</v>
      </c>
      <c r="Q2342" s="2954">
        <v>104.24</v>
      </c>
      <c r="R2342" s="76"/>
      <c r="S2342" s="1945" t="s">
        <v>731</v>
      </c>
      <c r="T2342" s="77"/>
      <c r="U2342" s="1893"/>
      <c r="V2342" s="2079">
        <f t="shared" si="550"/>
        <v>123.00319999999999</v>
      </c>
      <c r="W2342" s="78">
        <f t="shared" si="551"/>
        <v>0</v>
      </c>
      <c r="X2342" s="1878" t="str">
        <f t="shared" si="549"/>
        <v xml:space="preserve">5.- C Lima Caucho 0720808-OT_174828  Reencauche 030-0022517 </v>
      </c>
      <c r="Z2342" s="19" t="str">
        <f t="shared" si="545"/>
        <v>ReencaucheReencauchadora RENOVA</v>
      </c>
    </row>
    <row r="2343" spans="2:26" outlineLevel="1">
      <c r="B2343" s="3312"/>
      <c r="C2343" s="2">
        <f t="shared" si="546"/>
        <v>220</v>
      </c>
      <c r="D2343" s="3">
        <f t="shared" si="547"/>
        <v>15</v>
      </c>
      <c r="E2343" s="66">
        <v>6</v>
      </c>
      <c r="F2343" s="67" t="s">
        <v>732</v>
      </c>
      <c r="G2343" s="68" t="s">
        <v>757</v>
      </c>
      <c r="H2343" s="69" t="s">
        <v>1288</v>
      </c>
      <c r="I2343" s="68" t="s">
        <v>726</v>
      </c>
      <c r="J2343" s="70" t="s">
        <v>760</v>
      </c>
      <c r="K2343" s="71" t="s">
        <v>1735</v>
      </c>
      <c r="L2343" s="72">
        <v>41215</v>
      </c>
      <c r="M2343" s="73" t="s">
        <v>729</v>
      </c>
      <c r="N2343" s="74">
        <v>41222</v>
      </c>
      <c r="O2343" s="75">
        <f t="shared" si="548"/>
        <v>41222</v>
      </c>
      <c r="P2343" s="2765" t="s">
        <v>1732</v>
      </c>
      <c r="Q2343" s="2954">
        <v>104.24</v>
      </c>
      <c r="R2343" s="76"/>
      <c r="S2343" s="1945" t="s">
        <v>731</v>
      </c>
      <c r="T2343" s="77"/>
      <c r="U2343" s="1893"/>
      <c r="V2343" s="2079">
        <f t="shared" si="550"/>
        <v>123.00319999999999</v>
      </c>
      <c r="W2343" s="78">
        <f t="shared" si="551"/>
        <v>0</v>
      </c>
      <c r="X2343" s="1878" t="str">
        <f t="shared" si="549"/>
        <v xml:space="preserve">6.- C Goodyear 0200205-OT_174829  Reencauche 030-0022517 </v>
      </c>
      <c r="Z2343" s="19" t="str">
        <f t="shared" si="545"/>
        <v>ReencaucheReencauchadora RENOVA</v>
      </c>
    </row>
    <row r="2344" spans="2:26" outlineLevel="1">
      <c r="B2344" s="3312"/>
      <c r="C2344" s="2">
        <f t="shared" si="546"/>
        <v>219</v>
      </c>
      <c r="D2344" s="3">
        <f t="shared" si="547"/>
        <v>14</v>
      </c>
      <c r="E2344" s="66">
        <v>7</v>
      </c>
      <c r="F2344" s="67" t="s">
        <v>732</v>
      </c>
      <c r="G2344" s="68" t="s">
        <v>757</v>
      </c>
      <c r="H2344" s="69" t="s">
        <v>1080</v>
      </c>
      <c r="I2344" s="68" t="s">
        <v>726</v>
      </c>
      <c r="J2344" s="70" t="s">
        <v>760</v>
      </c>
      <c r="K2344" s="71" t="s">
        <v>1735</v>
      </c>
      <c r="L2344" s="72">
        <v>41215</v>
      </c>
      <c r="M2344" s="73" t="s">
        <v>729</v>
      </c>
      <c r="N2344" s="74">
        <v>41222</v>
      </c>
      <c r="O2344" s="75">
        <f t="shared" si="548"/>
        <v>41222</v>
      </c>
      <c r="P2344" s="2765" t="s">
        <v>1732</v>
      </c>
      <c r="Q2344" s="2954">
        <v>104.24</v>
      </c>
      <c r="R2344" s="76"/>
      <c r="S2344" s="1945" t="s">
        <v>731</v>
      </c>
      <c r="T2344" s="77"/>
      <c r="U2344" s="1893"/>
      <c r="V2344" s="2079">
        <f t="shared" si="550"/>
        <v>123.00319999999999</v>
      </c>
      <c r="W2344" s="78">
        <f t="shared" si="551"/>
        <v>0</v>
      </c>
      <c r="X2344" s="1878" t="str">
        <f t="shared" si="549"/>
        <v xml:space="preserve">7.- C Goodyear 1180704-OT_174829  Reencauche 030-0022517 </v>
      </c>
      <c r="Z2344" s="19" t="str">
        <f t="shared" si="545"/>
        <v>ReencaucheReencauchadora RENOVA</v>
      </c>
    </row>
    <row r="2345" spans="2:26" outlineLevel="1">
      <c r="B2345" s="3312"/>
      <c r="C2345" s="2">
        <f t="shared" si="546"/>
        <v>218</v>
      </c>
      <c r="D2345" s="3">
        <f t="shared" si="547"/>
        <v>13</v>
      </c>
      <c r="E2345" s="66">
        <v>8</v>
      </c>
      <c r="F2345" s="67" t="s">
        <v>732</v>
      </c>
      <c r="G2345" s="68" t="s">
        <v>769</v>
      </c>
      <c r="H2345" s="69" t="s">
        <v>966</v>
      </c>
      <c r="I2345" s="68" t="s">
        <v>726</v>
      </c>
      <c r="J2345" s="70" t="s">
        <v>760</v>
      </c>
      <c r="K2345" s="71" t="s">
        <v>1735</v>
      </c>
      <c r="L2345" s="72">
        <v>41215</v>
      </c>
      <c r="M2345" s="73" t="s">
        <v>729</v>
      </c>
      <c r="N2345" s="74">
        <v>41222</v>
      </c>
      <c r="O2345" s="75">
        <f t="shared" si="548"/>
        <v>41222</v>
      </c>
      <c r="P2345" s="2765" t="s">
        <v>1732</v>
      </c>
      <c r="Q2345" s="2954">
        <v>104.24</v>
      </c>
      <c r="R2345" s="76"/>
      <c r="S2345" s="1945" t="s">
        <v>731</v>
      </c>
      <c r="T2345" s="77"/>
      <c r="U2345" s="1893"/>
      <c r="V2345" s="2079">
        <f t="shared" si="550"/>
        <v>123.00319999999999</v>
      </c>
      <c r="W2345" s="78">
        <f t="shared" si="551"/>
        <v>0</v>
      </c>
      <c r="X2345" s="1878" t="str">
        <f t="shared" si="549"/>
        <v xml:space="preserve">8.- C Lu He 0390509-OT_174829  Reencauche 030-0022517 </v>
      </c>
      <c r="Z2345" s="19" t="str">
        <f t="shared" si="545"/>
        <v>ReencaucheReencauchadora RENOVA</v>
      </c>
    </row>
    <row r="2346" spans="2:26" outlineLevel="1">
      <c r="B2346" s="3312"/>
      <c r="C2346" s="2">
        <f t="shared" si="546"/>
        <v>217</v>
      </c>
      <c r="D2346" s="3">
        <f t="shared" si="547"/>
        <v>12</v>
      </c>
      <c r="E2346" s="66">
        <v>9</v>
      </c>
      <c r="F2346" s="67" t="s">
        <v>732</v>
      </c>
      <c r="G2346" s="68" t="s">
        <v>737</v>
      </c>
      <c r="H2346" s="69" t="s">
        <v>1475</v>
      </c>
      <c r="I2346" s="68" t="s">
        <v>726</v>
      </c>
      <c r="J2346" s="70" t="s">
        <v>760</v>
      </c>
      <c r="K2346" s="71" t="s">
        <v>1735</v>
      </c>
      <c r="L2346" s="72">
        <v>41215</v>
      </c>
      <c r="M2346" s="73" t="s">
        <v>729</v>
      </c>
      <c r="N2346" s="74">
        <v>41222</v>
      </c>
      <c r="O2346" s="75">
        <f t="shared" si="548"/>
        <v>41222</v>
      </c>
      <c r="P2346" s="2765" t="s">
        <v>1732</v>
      </c>
      <c r="Q2346" s="2954">
        <v>104.24</v>
      </c>
      <c r="R2346" s="76"/>
      <c r="S2346" s="1945" t="s">
        <v>731</v>
      </c>
      <c r="T2346" s="77"/>
      <c r="U2346" s="1893"/>
      <c r="V2346" s="2079">
        <f t="shared" si="550"/>
        <v>123.00319999999999</v>
      </c>
      <c r="W2346" s="78">
        <f t="shared" si="551"/>
        <v>0</v>
      </c>
      <c r="X2346" s="1878" t="str">
        <f t="shared" si="549"/>
        <v xml:space="preserve">9.- C Vikrant 0100109-OT_174829  Reencauche 030-0022517 </v>
      </c>
      <c r="Z2346" s="19" t="str">
        <f t="shared" si="545"/>
        <v>ReencaucheReencauchadora RENOVA</v>
      </c>
    </row>
    <row r="2347" spans="2:26" outlineLevel="1">
      <c r="B2347" s="3312"/>
      <c r="C2347" s="2">
        <f t="shared" si="546"/>
        <v>216</v>
      </c>
      <c r="D2347" s="3">
        <f t="shared" si="547"/>
        <v>11</v>
      </c>
      <c r="E2347" s="66">
        <v>10</v>
      </c>
      <c r="F2347" s="67" t="s">
        <v>732</v>
      </c>
      <c r="G2347" s="68" t="s">
        <v>737</v>
      </c>
      <c r="H2347" s="69" t="s">
        <v>1165</v>
      </c>
      <c r="I2347" s="68" t="s">
        <v>726</v>
      </c>
      <c r="J2347" s="70" t="s">
        <v>760</v>
      </c>
      <c r="K2347" s="71" t="s">
        <v>1735</v>
      </c>
      <c r="L2347" s="72">
        <v>41215</v>
      </c>
      <c r="M2347" s="73" t="s">
        <v>729</v>
      </c>
      <c r="N2347" s="74">
        <v>41222</v>
      </c>
      <c r="O2347" s="75">
        <f t="shared" si="548"/>
        <v>41222</v>
      </c>
      <c r="P2347" s="2765" t="s">
        <v>1732</v>
      </c>
      <c r="Q2347" s="2954">
        <v>104.24</v>
      </c>
      <c r="R2347" s="76"/>
      <c r="S2347" s="1945" t="s">
        <v>731</v>
      </c>
      <c r="T2347" s="77"/>
      <c r="U2347" s="1893"/>
      <c r="V2347" s="2079">
        <f t="shared" si="550"/>
        <v>123.00319999999999</v>
      </c>
      <c r="W2347" s="78">
        <f t="shared" si="551"/>
        <v>0</v>
      </c>
      <c r="X2347" s="1878" t="str">
        <f t="shared" si="549"/>
        <v xml:space="preserve">10.- C Vikrant 0831009-OT_174829  Reencauche 030-0022517 </v>
      </c>
      <c r="Z2347" s="19" t="str">
        <f t="shared" si="545"/>
        <v>ReencaucheReencauchadora RENOVA</v>
      </c>
    </row>
    <row r="2348" spans="2:26" outlineLevel="1">
      <c r="B2348" s="3312"/>
      <c r="C2348" s="2">
        <f t="shared" si="546"/>
        <v>215</v>
      </c>
      <c r="D2348" s="3">
        <f t="shared" si="547"/>
        <v>10</v>
      </c>
      <c r="E2348" s="66">
        <v>11</v>
      </c>
      <c r="F2348" s="67" t="s">
        <v>732</v>
      </c>
      <c r="G2348" s="68" t="s">
        <v>737</v>
      </c>
      <c r="H2348" s="69" t="s">
        <v>1404</v>
      </c>
      <c r="I2348" s="68" t="s">
        <v>726</v>
      </c>
      <c r="J2348" s="70" t="s">
        <v>760</v>
      </c>
      <c r="K2348" s="71" t="s">
        <v>1735</v>
      </c>
      <c r="L2348" s="72">
        <v>41215</v>
      </c>
      <c r="M2348" s="73" t="s">
        <v>729</v>
      </c>
      <c r="N2348" s="74">
        <v>41222</v>
      </c>
      <c r="O2348" s="75">
        <f t="shared" si="548"/>
        <v>41222</v>
      </c>
      <c r="P2348" s="2765" t="s">
        <v>1732</v>
      </c>
      <c r="Q2348" s="2954">
        <v>104.24</v>
      </c>
      <c r="R2348" s="76"/>
      <c r="S2348" s="1945" t="s">
        <v>731</v>
      </c>
      <c r="T2348" s="77"/>
      <c r="U2348" s="1893"/>
      <c r="V2348" s="2079">
        <f t="shared" si="550"/>
        <v>123.00319999999999</v>
      </c>
      <c r="W2348" s="78">
        <f t="shared" si="551"/>
        <v>0</v>
      </c>
      <c r="X2348" s="1878" t="str">
        <f t="shared" si="549"/>
        <v xml:space="preserve">11.- C Vikrant 0871009-OT_174829  Reencauche 030-0022517 </v>
      </c>
      <c r="Z2348" s="19" t="str">
        <f t="shared" si="545"/>
        <v>ReencaucheReencauchadora RENOVA</v>
      </c>
    </row>
    <row r="2349" spans="2:26" outlineLevel="1">
      <c r="B2349" s="3312"/>
      <c r="C2349" s="2">
        <f t="shared" si="546"/>
        <v>214</v>
      </c>
      <c r="D2349" s="3">
        <f t="shared" si="547"/>
        <v>9</v>
      </c>
      <c r="E2349" s="66">
        <v>12</v>
      </c>
      <c r="F2349" s="67" t="s">
        <v>732</v>
      </c>
      <c r="G2349" s="68" t="s">
        <v>737</v>
      </c>
      <c r="H2349" s="69" t="s">
        <v>1462</v>
      </c>
      <c r="I2349" s="68" t="s">
        <v>726</v>
      </c>
      <c r="J2349" s="70" t="s">
        <v>760</v>
      </c>
      <c r="K2349" s="71" t="s">
        <v>1735</v>
      </c>
      <c r="L2349" s="72">
        <v>41215</v>
      </c>
      <c r="M2349" s="73" t="s">
        <v>729</v>
      </c>
      <c r="N2349" s="74">
        <v>41222</v>
      </c>
      <c r="O2349" s="75">
        <f t="shared" si="548"/>
        <v>41222</v>
      </c>
      <c r="P2349" s="2765" t="s">
        <v>1732</v>
      </c>
      <c r="Q2349" s="2954">
        <v>104.24</v>
      </c>
      <c r="R2349" s="76"/>
      <c r="S2349" s="1945" t="s">
        <v>731</v>
      </c>
      <c r="T2349" s="77"/>
      <c r="U2349" s="1893"/>
      <c r="V2349" s="2079">
        <f t="shared" si="550"/>
        <v>123.00319999999999</v>
      </c>
      <c r="W2349" s="78">
        <f t="shared" si="551"/>
        <v>0</v>
      </c>
      <c r="X2349" s="1878" t="str">
        <f t="shared" si="549"/>
        <v xml:space="preserve">12.- C Vikrant 0220310-OT_174829  Reencauche 030-0022517 </v>
      </c>
      <c r="Z2349" s="19" t="str">
        <f t="shared" si="545"/>
        <v>ReencaucheReencauchadora RENOVA</v>
      </c>
    </row>
    <row r="2350" spans="2:26" outlineLevel="1">
      <c r="B2350" s="3312"/>
      <c r="C2350" s="2">
        <f t="shared" si="546"/>
        <v>213</v>
      </c>
      <c r="D2350" s="3">
        <f t="shared" si="547"/>
        <v>8</v>
      </c>
      <c r="E2350" s="66">
        <v>13</v>
      </c>
      <c r="F2350" s="67" t="s">
        <v>732</v>
      </c>
      <c r="G2350" s="68" t="s">
        <v>733</v>
      </c>
      <c r="H2350" s="69" t="s">
        <v>1371</v>
      </c>
      <c r="I2350" s="68" t="s">
        <v>726</v>
      </c>
      <c r="J2350" s="70" t="s">
        <v>760</v>
      </c>
      <c r="K2350" s="71" t="s">
        <v>1731</v>
      </c>
      <c r="L2350" s="72">
        <v>41215</v>
      </c>
      <c r="M2350" s="73" t="s">
        <v>729</v>
      </c>
      <c r="N2350" s="74">
        <v>41222</v>
      </c>
      <c r="O2350" s="75">
        <f t="shared" si="548"/>
        <v>41222</v>
      </c>
      <c r="P2350" s="2765" t="s">
        <v>1736</v>
      </c>
      <c r="Q2350" s="2954">
        <v>104.24</v>
      </c>
      <c r="R2350" s="76"/>
      <c r="S2350" s="1945" t="s">
        <v>731</v>
      </c>
      <c r="T2350" s="77"/>
      <c r="U2350" s="1893"/>
      <c r="V2350" s="2079">
        <f t="shared" si="550"/>
        <v>123.00319999999999</v>
      </c>
      <c r="W2350" s="78">
        <f t="shared" si="551"/>
        <v>0</v>
      </c>
      <c r="X2350" s="1878" t="str">
        <f t="shared" si="549"/>
        <v xml:space="preserve">13.- C Lima Caucho 0740910-OT_174828  Reencauche 030-0022518 </v>
      </c>
      <c r="Z2350" s="19" t="str">
        <f t="shared" si="545"/>
        <v>ReencaucheReencauchadora RENOVA</v>
      </c>
    </row>
    <row r="2351" spans="2:26" outlineLevel="1">
      <c r="B2351" s="3312"/>
      <c r="C2351" s="2">
        <f t="shared" si="546"/>
        <v>212</v>
      </c>
      <c r="D2351" s="3">
        <f t="shared" si="547"/>
        <v>7</v>
      </c>
      <c r="E2351" s="66">
        <v>14</v>
      </c>
      <c r="F2351" s="67" t="s">
        <v>732</v>
      </c>
      <c r="G2351" s="68" t="s">
        <v>733</v>
      </c>
      <c r="H2351" s="69" t="s">
        <v>1737</v>
      </c>
      <c r="I2351" s="68" t="s">
        <v>726</v>
      </c>
      <c r="J2351" s="70" t="s">
        <v>760</v>
      </c>
      <c r="K2351" s="71" t="s">
        <v>1731</v>
      </c>
      <c r="L2351" s="72">
        <v>41215</v>
      </c>
      <c r="M2351" s="73" t="s">
        <v>729</v>
      </c>
      <c r="N2351" s="74">
        <v>41222</v>
      </c>
      <c r="O2351" s="75">
        <f t="shared" si="548"/>
        <v>41222</v>
      </c>
      <c r="P2351" s="2765" t="s">
        <v>1736</v>
      </c>
      <c r="Q2351" s="2954">
        <v>104.24</v>
      </c>
      <c r="R2351" s="76"/>
      <c r="S2351" s="1945" t="s">
        <v>731</v>
      </c>
      <c r="T2351" s="77"/>
      <c r="U2351" s="1893"/>
      <c r="V2351" s="2079">
        <f t="shared" si="550"/>
        <v>123.00319999999999</v>
      </c>
      <c r="W2351" s="78">
        <f t="shared" si="551"/>
        <v>0</v>
      </c>
      <c r="X2351" s="1878" t="str">
        <f t="shared" si="549"/>
        <v xml:space="preserve">14.- C Lima Caucho 0280507-OT_174828  Reencauche 030-0022518 </v>
      </c>
      <c r="Z2351" s="19" t="str">
        <f t="shared" si="545"/>
        <v>ReencaucheReencauchadora RENOVA</v>
      </c>
    </row>
    <row r="2352" spans="2:26" outlineLevel="1">
      <c r="B2352" s="3312"/>
      <c r="C2352" s="2">
        <f t="shared" si="546"/>
        <v>211</v>
      </c>
      <c r="D2352" s="3">
        <f t="shared" si="547"/>
        <v>6</v>
      </c>
      <c r="E2352" s="66">
        <v>15</v>
      </c>
      <c r="F2352" s="67" t="s">
        <v>732</v>
      </c>
      <c r="G2352" s="68" t="s">
        <v>733</v>
      </c>
      <c r="H2352" s="69" t="s">
        <v>1365</v>
      </c>
      <c r="I2352" s="68" t="s">
        <v>726</v>
      </c>
      <c r="J2352" s="70" t="s">
        <v>760</v>
      </c>
      <c r="K2352" s="71" t="s">
        <v>1731</v>
      </c>
      <c r="L2352" s="72">
        <v>41215</v>
      </c>
      <c r="M2352" s="73" t="s">
        <v>729</v>
      </c>
      <c r="N2352" s="74">
        <v>41222</v>
      </c>
      <c r="O2352" s="75">
        <f t="shared" si="548"/>
        <v>41222</v>
      </c>
      <c r="P2352" s="2765" t="s">
        <v>1736</v>
      </c>
      <c r="Q2352" s="2954">
        <v>104.24</v>
      </c>
      <c r="R2352" s="76"/>
      <c r="S2352" s="1945" t="s">
        <v>731</v>
      </c>
      <c r="T2352" s="77"/>
      <c r="U2352" s="1893"/>
      <c r="V2352" s="2079">
        <f t="shared" si="550"/>
        <v>123.00319999999999</v>
      </c>
      <c r="W2352" s="78">
        <f t="shared" si="551"/>
        <v>0</v>
      </c>
      <c r="X2352" s="1878" t="str">
        <f t="shared" si="549"/>
        <v xml:space="preserve">15.- C Lima Caucho 1131107-OT_174828  Reencauche 030-0022518 </v>
      </c>
      <c r="Z2352" s="19" t="str">
        <f t="shared" si="545"/>
        <v>ReencaucheReencauchadora RENOVA</v>
      </c>
    </row>
    <row r="2353" spans="2:26" outlineLevel="1">
      <c r="B2353" s="3312"/>
      <c r="C2353" s="2">
        <f t="shared" si="546"/>
        <v>210</v>
      </c>
      <c r="D2353" s="3">
        <f t="shared" si="547"/>
        <v>5</v>
      </c>
      <c r="E2353" s="66">
        <v>16</v>
      </c>
      <c r="F2353" s="67" t="s">
        <v>732</v>
      </c>
      <c r="G2353" s="68" t="s">
        <v>814</v>
      </c>
      <c r="H2353" s="69" t="s">
        <v>1045</v>
      </c>
      <c r="I2353" s="68" t="s">
        <v>726</v>
      </c>
      <c r="J2353" s="70" t="s">
        <v>760</v>
      </c>
      <c r="K2353" s="71" t="s">
        <v>1731</v>
      </c>
      <c r="L2353" s="72">
        <v>41215</v>
      </c>
      <c r="M2353" s="73" t="s">
        <v>729</v>
      </c>
      <c r="N2353" s="74">
        <v>41222</v>
      </c>
      <c r="O2353" s="75">
        <f t="shared" si="548"/>
        <v>41222</v>
      </c>
      <c r="P2353" s="2765" t="s">
        <v>1736</v>
      </c>
      <c r="Q2353" s="2954">
        <v>104.24</v>
      </c>
      <c r="R2353" s="76"/>
      <c r="S2353" s="1945" t="s">
        <v>731</v>
      </c>
      <c r="T2353" s="77"/>
      <c r="U2353" s="1893"/>
      <c r="V2353" s="2079">
        <f t="shared" si="550"/>
        <v>123.00319999999999</v>
      </c>
      <c r="W2353" s="78">
        <f t="shared" si="551"/>
        <v>0</v>
      </c>
      <c r="X2353" s="1878" t="str">
        <f t="shared" si="549"/>
        <v xml:space="preserve">16.- C Birla 0500706-OT_174828  Reencauche 030-0022518 </v>
      </c>
      <c r="Z2353" s="19" t="str">
        <f t="shared" si="545"/>
        <v>ReencaucheReencauchadora RENOVA</v>
      </c>
    </row>
    <row r="2354" spans="2:26" outlineLevel="1">
      <c r="B2354" s="3312"/>
      <c r="C2354" s="2">
        <f t="shared" si="546"/>
        <v>209</v>
      </c>
      <c r="D2354" s="3">
        <f t="shared" si="547"/>
        <v>4</v>
      </c>
      <c r="E2354" s="66">
        <v>17</v>
      </c>
      <c r="F2354" s="67" t="s">
        <v>732</v>
      </c>
      <c r="G2354" s="68" t="s">
        <v>733</v>
      </c>
      <c r="H2354" s="69" t="s">
        <v>1193</v>
      </c>
      <c r="I2354" s="68" t="s">
        <v>726</v>
      </c>
      <c r="J2354" s="70" t="s">
        <v>760</v>
      </c>
      <c r="K2354" s="71" t="s">
        <v>1731</v>
      </c>
      <c r="L2354" s="72">
        <v>41215</v>
      </c>
      <c r="M2354" s="73" t="s">
        <v>729</v>
      </c>
      <c r="N2354" s="74">
        <v>41222</v>
      </c>
      <c r="O2354" s="75">
        <f t="shared" si="548"/>
        <v>41222</v>
      </c>
      <c r="P2354" s="2765" t="s">
        <v>1736</v>
      </c>
      <c r="Q2354" s="2954">
        <v>104.24</v>
      </c>
      <c r="R2354" s="76"/>
      <c r="S2354" s="1945" t="s">
        <v>731</v>
      </c>
      <c r="T2354" s="77"/>
      <c r="U2354" s="1893"/>
      <c r="V2354" s="2079">
        <f t="shared" si="550"/>
        <v>123.00319999999999</v>
      </c>
      <c r="W2354" s="78">
        <f t="shared" si="551"/>
        <v>0</v>
      </c>
      <c r="X2354" s="1878" t="str">
        <f t="shared" si="549"/>
        <v xml:space="preserve">17.- C Lima Caucho 0981107-OT_174828  Reencauche 030-0022518 </v>
      </c>
      <c r="Z2354" s="19" t="str">
        <f t="shared" si="545"/>
        <v>ReencaucheReencauchadora RENOVA</v>
      </c>
    </row>
    <row r="2355" spans="2:26">
      <c r="B2355" s="3312"/>
      <c r="C2355" s="2">
        <f t="shared" si="546"/>
        <v>208</v>
      </c>
      <c r="D2355" s="3">
        <f t="shared" si="547"/>
        <v>3</v>
      </c>
      <c r="E2355" s="66">
        <v>18</v>
      </c>
      <c r="F2355" s="67" t="s">
        <v>732</v>
      </c>
      <c r="G2355" s="68" t="s">
        <v>733</v>
      </c>
      <c r="H2355" s="69" t="s">
        <v>1266</v>
      </c>
      <c r="I2355" s="68" t="s">
        <v>726</v>
      </c>
      <c r="J2355" s="70" t="s">
        <v>760</v>
      </c>
      <c r="K2355" s="71" t="s">
        <v>1735</v>
      </c>
      <c r="L2355" s="72">
        <v>41215</v>
      </c>
      <c r="M2355" s="73" t="s">
        <v>729</v>
      </c>
      <c r="N2355" s="74">
        <v>41222</v>
      </c>
      <c r="O2355" s="75">
        <f t="shared" si="548"/>
        <v>41222</v>
      </c>
      <c r="P2355" s="2765" t="s">
        <v>1736</v>
      </c>
      <c r="Q2355" s="2954">
        <v>104.24</v>
      </c>
      <c r="R2355" s="76"/>
      <c r="S2355" s="1945" t="s">
        <v>731</v>
      </c>
      <c r="T2355" s="77"/>
      <c r="U2355" s="1893"/>
      <c r="V2355" s="2079">
        <f t="shared" si="550"/>
        <v>123.00319999999999</v>
      </c>
      <c r="W2355" s="78">
        <f t="shared" si="551"/>
        <v>0</v>
      </c>
      <c r="X2355" s="1878" t="str">
        <f t="shared" si="549"/>
        <v xml:space="preserve">18.- C Lima Caucho 0990908-OT_174829  Reencauche 030-0022518 </v>
      </c>
    </row>
    <row r="2356" spans="2:26" outlineLevel="1">
      <c r="B2356" s="3312"/>
      <c r="C2356" s="2">
        <f t="shared" si="546"/>
        <v>207</v>
      </c>
      <c r="D2356" s="3">
        <f t="shared" si="547"/>
        <v>2</v>
      </c>
      <c r="E2356" s="66">
        <v>19</v>
      </c>
      <c r="F2356" s="67" t="s">
        <v>732</v>
      </c>
      <c r="G2356" s="68" t="s">
        <v>757</v>
      </c>
      <c r="H2356" s="69" t="s">
        <v>1572</v>
      </c>
      <c r="I2356" s="68" t="s">
        <v>726</v>
      </c>
      <c r="J2356" s="70" t="s">
        <v>760</v>
      </c>
      <c r="K2356" s="71" t="s">
        <v>1735</v>
      </c>
      <c r="L2356" s="72">
        <v>41215</v>
      </c>
      <c r="M2356" s="73" t="s">
        <v>729</v>
      </c>
      <c r="N2356" s="74">
        <v>41222</v>
      </c>
      <c r="O2356" s="75">
        <f t="shared" si="548"/>
        <v>41222</v>
      </c>
      <c r="P2356" s="2765" t="s">
        <v>1736</v>
      </c>
      <c r="Q2356" s="2954">
        <v>104.24</v>
      </c>
      <c r="R2356" s="76"/>
      <c r="S2356" s="1945" t="s">
        <v>731</v>
      </c>
      <c r="T2356" s="77"/>
      <c r="U2356" s="1893"/>
      <c r="V2356" s="2079">
        <f t="shared" si="550"/>
        <v>123.00319999999999</v>
      </c>
      <c r="W2356" s="78">
        <f t="shared" si="551"/>
        <v>0</v>
      </c>
      <c r="X2356" s="1878" t="str">
        <f t="shared" si="549"/>
        <v xml:space="preserve">19.- C Goodyear 0570502-OT_174829  Reencauche 030-0022518 </v>
      </c>
      <c r="Z2356" s="19" t="str">
        <f t="shared" ref="Z2356:Z2372" si="552">CONCATENATE(I2359,J2359)</f>
        <v>ReencaucheReencauchadora Espinoza</v>
      </c>
    </row>
    <row r="2357" spans="2:26" outlineLevel="1">
      <c r="B2357" s="3312"/>
      <c r="C2357" s="2">
        <f>1+C2359</f>
        <v>206</v>
      </c>
      <c r="D2357" s="3">
        <v>1</v>
      </c>
      <c r="E2357" s="79">
        <v>20</v>
      </c>
      <c r="F2357" s="80" t="s">
        <v>732</v>
      </c>
      <c r="G2357" s="81" t="s">
        <v>737</v>
      </c>
      <c r="H2357" s="82" t="s">
        <v>1738</v>
      </c>
      <c r="I2357" s="81" t="s">
        <v>726</v>
      </c>
      <c r="J2357" s="83" t="s">
        <v>760</v>
      </c>
      <c r="K2357" s="84" t="s">
        <v>1735</v>
      </c>
      <c r="L2357" s="85">
        <v>41215</v>
      </c>
      <c r="M2357" s="86" t="s">
        <v>729</v>
      </c>
      <c r="N2357" s="87">
        <v>41222</v>
      </c>
      <c r="O2357" s="75">
        <f t="shared" si="548"/>
        <v>41222</v>
      </c>
      <c r="P2357" s="2784" t="s">
        <v>1736</v>
      </c>
      <c r="Q2357" s="2955">
        <v>104.24</v>
      </c>
      <c r="R2357" s="89"/>
      <c r="S2357" s="1946" t="s">
        <v>731</v>
      </c>
      <c r="T2357" s="77"/>
      <c r="U2357" s="1893"/>
      <c r="V2357" s="2079">
        <f t="shared" si="550"/>
        <v>123.00319999999999</v>
      </c>
      <c r="W2357" s="78">
        <f t="shared" si="551"/>
        <v>0</v>
      </c>
      <c r="X2357" s="1878" t="str">
        <f t="shared" si="549"/>
        <v xml:space="preserve">20.- C Vikrant 0540709-OT_174829  Reencauche 030-0022518 </v>
      </c>
      <c r="Z2357" s="19" t="str">
        <f t="shared" si="552"/>
        <v>ReencaucheReencauchadora Espinoza</v>
      </c>
    </row>
    <row r="2358" spans="2:26" ht="15.75" outlineLevel="1" thickBot="1">
      <c r="B2358" s="3310">
        <v>41183</v>
      </c>
      <c r="C2358" s="3310"/>
      <c r="D2358" s="258">
        <f>+D2359</f>
        <v>14</v>
      </c>
      <c r="E2358" s="66"/>
      <c r="F2358" s="67"/>
      <c r="G2358" s="68"/>
      <c r="H2358" s="69"/>
      <c r="I2358" s="68"/>
      <c r="J2358" s="70"/>
      <c r="K2358" s="71"/>
      <c r="L2358" s="72"/>
      <c r="M2358" s="73"/>
      <c r="N2358" s="74"/>
      <c r="O2358" s="305"/>
      <c r="P2358" s="2765"/>
      <c r="Q2358" s="2954"/>
      <c r="R2358" s="76"/>
      <c r="S2358" s="1945"/>
      <c r="T2358" s="77"/>
      <c r="U2358" s="1893"/>
      <c r="V2358" s="2079">
        <f t="shared" si="550"/>
        <v>0</v>
      </c>
      <c r="W2358" s="78">
        <f t="shared" si="551"/>
        <v>0</v>
      </c>
      <c r="X2358" s="1878" t="str">
        <f t="shared" si="549"/>
        <v xml:space="preserve">.-   -OT_    </v>
      </c>
      <c r="Z2358" s="19" t="str">
        <f t="shared" si="552"/>
        <v>ReencaucheReencauchadora Espinoza</v>
      </c>
    </row>
    <row r="2359" spans="2:26" outlineLevel="1">
      <c r="B2359" s="3311">
        <v>41183</v>
      </c>
      <c r="C2359" s="2">
        <f t="shared" ref="C2359:D2364" si="553">1+C2360</f>
        <v>205</v>
      </c>
      <c r="D2359" s="3">
        <f t="shared" si="553"/>
        <v>14</v>
      </c>
      <c r="E2359" s="66">
        <v>1</v>
      </c>
      <c r="F2359" s="67" t="s">
        <v>732</v>
      </c>
      <c r="G2359" s="68" t="s">
        <v>737</v>
      </c>
      <c r="H2359" s="69" t="s">
        <v>1182</v>
      </c>
      <c r="I2359" s="68" t="s">
        <v>726</v>
      </c>
      <c r="J2359" s="70" t="s">
        <v>1543</v>
      </c>
      <c r="K2359" s="71" t="s">
        <v>1739</v>
      </c>
      <c r="L2359" s="72">
        <v>41205</v>
      </c>
      <c r="M2359" s="73" t="s">
        <v>729</v>
      </c>
      <c r="N2359" s="74">
        <v>41208</v>
      </c>
      <c r="O2359" s="75">
        <f t="shared" ref="O2359:O2375" si="554">+N2359</f>
        <v>41208</v>
      </c>
      <c r="P2359" s="2765" t="s">
        <v>1740</v>
      </c>
      <c r="Q2359" s="2954"/>
      <c r="R2359" s="76">
        <v>254.2373</v>
      </c>
      <c r="S2359" s="1945" t="s">
        <v>731</v>
      </c>
      <c r="T2359" s="77"/>
      <c r="U2359" s="1893"/>
      <c r="V2359" s="2079">
        <f t="shared" si="550"/>
        <v>0</v>
      </c>
      <c r="W2359" s="78">
        <f t="shared" si="551"/>
        <v>300.00001399999996</v>
      </c>
      <c r="X2359" s="1878" t="str">
        <f t="shared" si="549"/>
        <v xml:space="preserve">1.- C Vikrant 0410510-OT_001136  Reencauche 001-002953 </v>
      </c>
      <c r="Z2359" s="19" t="str">
        <f t="shared" si="552"/>
        <v>ReencaucheReencauchadora Espinoza</v>
      </c>
    </row>
    <row r="2360" spans="2:26" outlineLevel="1">
      <c r="B2360" s="3312"/>
      <c r="C2360" s="2">
        <f t="shared" si="553"/>
        <v>204</v>
      </c>
      <c r="D2360" s="3">
        <f t="shared" si="553"/>
        <v>13</v>
      </c>
      <c r="E2360" s="79">
        <v>2</v>
      </c>
      <c r="F2360" s="80" t="s">
        <v>732</v>
      </c>
      <c r="G2360" s="81" t="s">
        <v>737</v>
      </c>
      <c r="H2360" s="82" t="s">
        <v>1147</v>
      </c>
      <c r="I2360" s="81" t="s">
        <v>726</v>
      </c>
      <c r="J2360" s="83" t="s">
        <v>1543</v>
      </c>
      <c r="K2360" s="84" t="s">
        <v>1739</v>
      </c>
      <c r="L2360" s="85">
        <v>41205</v>
      </c>
      <c r="M2360" s="86" t="s">
        <v>729</v>
      </c>
      <c r="N2360" s="87">
        <v>41208</v>
      </c>
      <c r="O2360" s="88">
        <f t="shared" si="554"/>
        <v>41208</v>
      </c>
      <c r="P2360" s="2766" t="s">
        <v>1740</v>
      </c>
      <c r="Q2360" s="2955"/>
      <c r="R2360" s="89">
        <v>254.2373</v>
      </c>
      <c r="S2360" s="1946" t="s">
        <v>731</v>
      </c>
      <c r="T2360" s="77"/>
      <c r="U2360" s="1893"/>
      <c r="V2360" s="2079">
        <f t="shared" si="550"/>
        <v>0</v>
      </c>
      <c r="W2360" s="78">
        <f t="shared" si="551"/>
        <v>300.00001399999996</v>
      </c>
      <c r="X2360" s="1878" t="str">
        <f t="shared" si="549"/>
        <v xml:space="preserve">2.- C Vikrant 0160310-OT_001136  Reencauche 001-002953 </v>
      </c>
      <c r="Z2360" s="19" t="str">
        <f t="shared" si="552"/>
        <v>Transpl BandaReencauchadora Espinoza</v>
      </c>
    </row>
    <row r="2361" spans="2:26" outlineLevel="1">
      <c r="B2361" s="3312"/>
      <c r="C2361" s="2">
        <f t="shared" si="553"/>
        <v>203</v>
      </c>
      <c r="D2361" s="3">
        <f t="shared" si="553"/>
        <v>12</v>
      </c>
      <c r="E2361" s="66">
        <v>1</v>
      </c>
      <c r="F2361" s="67" t="s">
        <v>732</v>
      </c>
      <c r="G2361" s="68" t="s">
        <v>737</v>
      </c>
      <c r="H2361" s="69" t="s">
        <v>905</v>
      </c>
      <c r="I2361" s="68" t="s">
        <v>726</v>
      </c>
      <c r="J2361" s="70" t="s">
        <v>1543</v>
      </c>
      <c r="K2361" s="71" t="s">
        <v>1741</v>
      </c>
      <c r="L2361" s="72">
        <v>41192</v>
      </c>
      <c r="M2361" s="73" t="s">
        <v>729</v>
      </c>
      <c r="N2361" s="74">
        <v>41200</v>
      </c>
      <c r="O2361" s="75">
        <f t="shared" si="554"/>
        <v>41200</v>
      </c>
      <c r="P2361" s="2765" t="s">
        <v>1742</v>
      </c>
      <c r="Q2361" s="2954"/>
      <c r="R2361" s="76">
        <v>254.24</v>
      </c>
      <c r="S2361" s="1945" t="s">
        <v>731</v>
      </c>
      <c r="T2361" s="77"/>
      <c r="U2361" s="1893"/>
      <c r="V2361" s="2079">
        <f t="shared" si="550"/>
        <v>0</v>
      </c>
      <c r="W2361" s="78">
        <f t="shared" si="551"/>
        <v>300.00319999999999</v>
      </c>
      <c r="X2361" s="1878" t="str">
        <f t="shared" si="549"/>
        <v xml:space="preserve">1.- C Vikrant 0050111-OT_001117  Reencauche 001-002907 </v>
      </c>
      <c r="Z2361" s="19" t="str">
        <f t="shared" si="552"/>
        <v>Transpl BandaReencauchadora Espinoza</v>
      </c>
    </row>
    <row r="2362" spans="2:26" outlineLevel="1">
      <c r="B2362" s="3312"/>
      <c r="C2362" s="2">
        <f t="shared" si="553"/>
        <v>202</v>
      </c>
      <c r="D2362" s="3">
        <f t="shared" si="553"/>
        <v>11</v>
      </c>
      <c r="E2362" s="66">
        <v>2</v>
      </c>
      <c r="F2362" s="67" t="s">
        <v>732</v>
      </c>
      <c r="G2362" s="68" t="s">
        <v>737</v>
      </c>
      <c r="H2362" s="69" t="s">
        <v>1088</v>
      </c>
      <c r="I2362" s="68" t="s">
        <v>726</v>
      </c>
      <c r="J2362" s="70" t="s">
        <v>1543</v>
      </c>
      <c r="K2362" s="71" t="s">
        <v>1741</v>
      </c>
      <c r="L2362" s="72">
        <v>41192</v>
      </c>
      <c r="M2362" s="73" t="s">
        <v>729</v>
      </c>
      <c r="N2362" s="74">
        <v>41200</v>
      </c>
      <c r="O2362" s="75">
        <f t="shared" si="554"/>
        <v>41200</v>
      </c>
      <c r="P2362" s="2765" t="s">
        <v>1742</v>
      </c>
      <c r="Q2362" s="2954"/>
      <c r="R2362" s="76">
        <v>254.24</v>
      </c>
      <c r="S2362" s="1945" t="s">
        <v>731</v>
      </c>
      <c r="T2362" s="77"/>
      <c r="U2362" s="1893"/>
      <c r="V2362" s="2079">
        <f t="shared" si="550"/>
        <v>0</v>
      </c>
      <c r="W2362" s="78">
        <f t="shared" si="551"/>
        <v>300.00319999999999</v>
      </c>
      <c r="X2362" s="1878" t="str">
        <f t="shared" si="549"/>
        <v xml:space="preserve">2.- C Vikrant 0480510-OT_001117  Reencauche 001-002907 </v>
      </c>
      <c r="Z2362" s="19" t="str">
        <f t="shared" si="552"/>
        <v>Transpl BandaReencauchadora Espinoza</v>
      </c>
    </row>
    <row r="2363" spans="2:26" outlineLevel="1">
      <c r="B2363" s="3312"/>
      <c r="C2363" s="2">
        <f t="shared" si="553"/>
        <v>201</v>
      </c>
      <c r="D2363" s="3">
        <f t="shared" si="553"/>
        <v>10</v>
      </c>
      <c r="E2363" s="66">
        <v>3</v>
      </c>
      <c r="F2363" s="67" t="s">
        <v>732</v>
      </c>
      <c r="G2363" s="68" t="s">
        <v>737</v>
      </c>
      <c r="H2363" s="69" t="s">
        <v>1743</v>
      </c>
      <c r="I2363" s="257" t="s">
        <v>740</v>
      </c>
      <c r="J2363" s="92" t="s">
        <v>1543</v>
      </c>
      <c r="K2363" s="71" t="s">
        <v>1744</v>
      </c>
      <c r="L2363" s="72">
        <v>41192</v>
      </c>
      <c r="M2363" s="73" t="s">
        <v>729</v>
      </c>
      <c r="N2363" s="74">
        <v>41200</v>
      </c>
      <c r="O2363" s="75">
        <f t="shared" si="554"/>
        <v>41200</v>
      </c>
      <c r="P2363" s="2765" t="s">
        <v>1742</v>
      </c>
      <c r="Q2363" s="2954"/>
      <c r="R2363" s="76">
        <v>127.12</v>
      </c>
      <c r="S2363" s="1945" t="s">
        <v>731</v>
      </c>
      <c r="T2363" s="77"/>
      <c r="U2363" s="1893"/>
      <c r="V2363" s="2079">
        <f t="shared" si="550"/>
        <v>0</v>
      </c>
      <c r="W2363" s="78">
        <f t="shared" si="551"/>
        <v>150.0016</v>
      </c>
      <c r="X2363" s="1878" t="str">
        <f t="shared" si="549"/>
        <v xml:space="preserve">3.- C Vikrant 1001205-OT_001118  Transpl Banda 001-002907 </v>
      </c>
      <c r="Z2363" s="19" t="str">
        <f t="shared" si="552"/>
        <v>Sacar_BandaReencauchadora Espinoza</v>
      </c>
    </row>
    <row r="2364" spans="2:26" outlineLevel="1">
      <c r="B2364" s="3312"/>
      <c r="C2364" s="2">
        <f t="shared" si="553"/>
        <v>200</v>
      </c>
      <c r="D2364" s="3">
        <f t="shared" si="553"/>
        <v>9</v>
      </c>
      <c r="E2364" s="66">
        <v>4</v>
      </c>
      <c r="F2364" s="67" t="s">
        <v>732</v>
      </c>
      <c r="G2364" s="68" t="s">
        <v>778</v>
      </c>
      <c r="H2364" s="69" t="s">
        <v>1745</v>
      </c>
      <c r="I2364" s="257" t="s">
        <v>740</v>
      </c>
      <c r="J2364" s="92" t="s">
        <v>1543</v>
      </c>
      <c r="K2364" s="71" t="s">
        <v>1744</v>
      </c>
      <c r="L2364" s="72">
        <v>41192</v>
      </c>
      <c r="M2364" s="73" t="s">
        <v>729</v>
      </c>
      <c r="N2364" s="74">
        <v>41200</v>
      </c>
      <c r="O2364" s="75">
        <f t="shared" si="554"/>
        <v>41200</v>
      </c>
      <c r="P2364" s="2765" t="s">
        <v>1742</v>
      </c>
      <c r="Q2364" s="2954"/>
      <c r="R2364" s="76">
        <v>127.12</v>
      </c>
      <c r="S2364" s="1945" t="s">
        <v>731</v>
      </c>
      <c r="T2364" s="77"/>
      <c r="U2364" s="1893"/>
      <c r="V2364" s="2079">
        <f t="shared" si="550"/>
        <v>0</v>
      </c>
      <c r="W2364" s="78">
        <f t="shared" si="551"/>
        <v>150.0016</v>
      </c>
      <c r="X2364" s="1878" t="str">
        <f t="shared" si="549"/>
        <v xml:space="preserve">4.- C Riverstone 1500904-OT_001118  Transpl Banda 001-002907 </v>
      </c>
      <c r="Z2364" s="19" t="str">
        <f t="shared" si="552"/>
        <v>Sacar_BandaReencauchadora Espinoza</v>
      </c>
    </row>
    <row r="2365" spans="2:26" outlineLevel="1">
      <c r="B2365" s="3312"/>
      <c r="C2365" s="2">
        <f>1+C2368</f>
        <v>199</v>
      </c>
      <c r="D2365" s="3">
        <f>1+D2368</f>
        <v>8</v>
      </c>
      <c r="E2365" s="66">
        <v>5</v>
      </c>
      <c r="F2365" s="67" t="s">
        <v>732</v>
      </c>
      <c r="G2365" s="68" t="s">
        <v>733</v>
      </c>
      <c r="H2365" s="69" t="s">
        <v>1746</v>
      </c>
      <c r="I2365" s="257" t="s">
        <v>740</v>
      </c>
      <c r="J2365" s="92" t="s">
        <v>1543</v>
      </c>
      <c r="K2365" s="71" t="s">
        <v>1744</v>
      </c>
      <c r="L2365" s="72">
        <v>41192</v>
      </c>
      <c r="M2365" s="73" t="s">
        <v>729</v>
      </c>
      <c r="N2365" s="74">
        <v>41200</v>
      </c>
      <c r="O2365" s="75">
        <f t="shared" si="554"/>
        <v>41200</v>
      </c>
      <c r="P2365" s="2765" t="s">
        <v>1742</v>
      </c>
      <c r="Q2365" s="2954"/>
      <c r="R2365" s="76">
        <v>127.12</v>
      </c>
      <c r="S2365" s="1945" t="s">
        <v>731</v>
      </c>
      <c r="T2365" s="77"/>
      <c r="U2365" s="1893"/>
      <c r="V2365" s="2079">
        <f t="shared" si="550"/>
        <v>0</v>
      </c>
      <c r="W2365" s="78">
        <f t="shared" si="551"/>
        <v>150.0016</v>
      </c>
      <c r="X2365" s="1878" t="str">
        <f t="shared" si="549"/>
        <v xml:space="preserve">5.- C Lima Caucho 0730908-OT_001118  Transpl Banda 001-002907 </v>
      </c>
      <c r="Z2365" s="19" t="str">
        <f t="shared" si="552"/>
        <v>Banda de 2ª usadaReencauchadora Espinoza</v>
      </c>
    </row>
    <row r="2366" spans="2:26" outlineLevel="1">
      <c r="B2366" s="3312"/>
      <c r="E2366" s="66">
        <v>6</v>
      </c>
      <c r="F2366" s="67" t="s">
        <v>732</v>
      </c>
      <c r="G2366" s="68" t="s">
        <v>757</v>
      </c>
      <c r="H2366" s="69" t="s">
        <v>1750</v>
      </c>
      <c r="I2366" s="257" t="s">
        <v>744</v>
      </c>
      <c r="J2366" s="92" t="s">
        <v>1543</v>
      </c>
      <c r="K2366" s="71" t="s">
        <v>1751</v>
      </c>
      <c r="L2366" s="72">
        <v>41192</v>
      </c>
      <c r="M2366" s="73" t="s">
        <v>729</v>
      </c>
      <c r="N2366" s="74">
        <v>41200</v>
      </c>
      <c r="O2366" s="75">
        <f t="shared" si="554"/>
        <v>41200</v>
      </c>
      <c r="P2366" s="2765" t="s">
        <v>1742</v>
      </c>
      <c r="Q2366" s="2954"/>
      <c r="R2366" s="76">
        <v>0</v>
      </c>
      <c r="S2366" s="1945" t="s">
        <v>731</v>
      </c>
      <c r="T2366" s="77"/>
      <c r="U2366" s="1893"/>
      <c r="V2366" s="2079">
        <f t="shared" si="550"/>
        <v>0</v>
      </c>
      <c r="W2366" s="78">
        <f t="shared" si="551"/>
        <v>0</v>
      </c>
      <c r="X2366" s="1878" t="str">
        <f t="shared" si="549"/>
        <v xml:space="preserve">6.- C Goodyear 0611201-OT_001119  Sacar_Banda 001-002907 </v>
      </c>
      <c r="Z2366" s="19" t="str">
        <f t="shared" si="552"/>
        <v>ReencaucheReencauchadora Espinoza</v>
      </c>
    </row>
    <row r="2367" spans="2:26" outlineLevel="1">
      <c r="B2367" s="3312"/>
      <c r="E2367" s="79">
        <v>7</v>
      </c>
      <c r="F2367" s="80" t="s">
        <v>732</v>
      </c>
      <c r="G2367" s="81" t="s">
        <v>757</v>
      </c>
      <c r="H2367" s="82" t="s">
        <v>1752</v>
      </c>
      <c r="I2367" s="262" t="s">
        <v>744</v>
      </c>
      <c r="J2367" s="93" t="s">
        <v>1543</v>
      </c>
      <c r="K2367" s="84" t="s">
        <v>1751</v>
      </c>
      <c r="L2367" s="85">
        <v>41192</v>
      </c>
      <c r="M2367" s="86" t="s">
        <v>729</v>
      </c>
      <c r="N2367" s="87">
        <v>41200</v>
      </c>
      <c r="O2367" s="88">
        <f t="shared" si="554"/>
        <v>41200</v>
      </c>
      <c r="P2367" s="2766" t="s">
        <v>1742</v>
      </c>
      <c r="Q2367" s="2955"/>
      <c r="R2367" s="89">
        <v>0</v>
      </c>
      <c r="S2367" s="1946" t="s">
        <v>731</v>
      </c>
      <c r="T2367" s="77"/>
      <c r="U2367" s="1893"/>
      <c r="V2367" s="2079">
        <f t="shared" si="550"/>
        <v>0</v>
      </c>
      <c r="W2367" s="78">
        <f t="shared" si="551"/>
        <v>0</v>
      </c>
      <c r="X2367" s="1878" t="str">
        <f t="shared" si="549"/>
        <v xml:space="preserve">7.- C Goodyear 0430402-OT_001119  Sacar_Banda 001-002907 </v>
      </c>
      <c r="Z2367" s="19" t="str">
        <f t="shared" si="552"/>
        <v>ReencaucheReencauchadora Espinoza</v>
      </c>
    </row>
    <row r="2368" spans="2:26" outlineLevel="1">
      <c r="B2368" s="3312"/>
      <c r="C2368" s="2">
        <f t="shared" ref="C2368:D2373" si="555">1+C2369</f>
        <v>198</v>
      </c>
      <c r="D2368" s="3">
        <f t="shared" si="555"/>
        <v>7</v>
      </c>
      <c r="E2368" s="79">
        <v>0</v>
      </c>
      <c r="F2368" s="80"/>
      <c r="G2368" s="81"/>
      <c r="H2368" s="82" t="s">
        <v>1753</v>
      </c>
      <c r="I2368" s="114" t="s">
        <v>742</v>
      </c>
      <c r="J2368" s="93" t="s">
        <v>1543</v>
      </c>
      <c r="K2368" s="84"/>
      <c r="L2368" s="85"/>
      <c r="M2368" s="86" t="s">
        <v>729</v>
      </c>
      <c r="N2368" s="87">
        <v>41192</v>
      </c>
      <c r="O2368" s="88">
        <f t="shared" si="554"/>
        <v>41192</v>
      </c>
      <c r="P2368" s="2766" t="s">
        <v>1754</v>
      </c>
      <c r="Q2368" s="2955"/>
      <c r="R2368" s="89">
        <v>84.745760000000004</v>
      </c>
      <c r="S2368" s="1946" t="s">
        <v>731</v>
      </c>
      <c r="T2368" s="77"/>
      <c r="U2368" s="1893"/>
      <c r="V2368" s="2079">
        <f t="shared" si="550"/>
        <v>0</v>
      </c>
      <c r="W2368" s="78">
        <f t="shared" si="551"/>
        <v>99.999996800000005</v>
      </c>
      <c r="X2368" s="1878" t="str">
        <f t="shared" si="549"/>
        <v xml:space="preserve">0.-   0730908C-OT_  Banda de 2ª usada 001-002917 </v>
      </c>
      <c r="Z2368" s="19" t="str">
        <f t="shared" si="552"/>
        <v>ReencaucheReencauchadora Espinoza</v>
      </c>
    </row>
    <row r="2369" spans="2:26" outlineLevel="1">
      <c r="B2369" s="3312"/>
      <c r="C2369" s="2">
        <f t="shared" si="555"/>
        <v>197</v>
      </c>
      <c r="D2369" s="3">
        <f t="shared" si="555"/>
        <v>6</v>
      </c>
      <c r="E2369" s="66">
        <v>1</v>
      </c>
      <c r="F2369" s="67" t="s">
        <v>732</v>
      </c>
      <c r="G2369" s="68" t="s">
        <v>737</v>
      </c>
      <c r="H2369" s="69" t="s">
        <v>1089</v>
      </c>
      <c r="I2369" s="68" t="s">
        <v>726</v>
      </c>
      <c r="J2369" s="70" t="s">
        <v>1543</v>
      </c>
      <c r="K2369" s="71" t="s">
        <v>1755</v>
      </c>
      <c r="L2369" s="72">
        <v>41176</v>
      </c>
      <c r="M2369" s="73" t="s">
        <v>729</v>
      </c>
      <c r="N2369" s="74">
        <v>41192</v>
      </c>
      <c r="O2369" s="75">
        <f t="shared" si="554"/>
        <v>41192</v>
      </c>
      <c r="P2369" s="2765" t="s">
        <v>1754</v>
      </c>
      <c r="Q2369" s="2954"/>
      <c r="R2369" s="76">
        <v>254.23728800000001</v>
      </c>
      <c r="S2369" s="1945" t="s">
        <v>731</v>
      </c>
      <c r="T2369" s="77"/>
      <c r="U2369" s="1893"/>
      <c r="V2369" s="2079">
        <f t="shared" si="550"/>
        <v>0</v>
      </c>
      <c r="W2369" s="78">
        <f t="shared" si="551"/>
        <v>299.99999983999999</v>
      </c>
      <c r="X2369" s="1878" t="str">
        <f t="shared" si="549"/>
        <v xml:space="preserve">1.- C Vikrant 0160111-OT_001105  Reencauche 001-002917 </v>
      </c>
      <c r="Z2369" s="19" t="str">
        <f t="shared" si="552"/>
        <v>ReencaucheReencauchadora Espinoza</v>
      </c>
    </row>
    <row r="2370" spans="2:26" outlineLevel="1">
      <c r="B2370" s="3312"/>
      <c r="C2370" s="2">
        <f t="shared" si="555"/>
        <v>196</v>
      </c>
      <c r="D2370" s="3">
        <f t="shared" si="555"/>
        <v>5</v>
      </c>
      <c r="E2370" s="66">
        <v>2</v>
      </c>
      <c r="F2370" s="67" t="s">
        <v>732</v>
      </c>
      <c r="G2370" s="68" t="s">
        <v>733</v>
      </c>
      <c r="H2370" s="69" t="s">
        <v>1150</v>
      </c>
      <c r="I2370" s="68" t="s">
        <v>726</v>
      </c>
      <c r="J2370" s="70" t="s">
        <v>1543</v>
      </c>
      <c r="K2370" s="71" t="s">
        <v>1755</v>
      </c>
      <c r="L2370" s="72">
        <v>41176</v>
      </c>
      <c r="M2370" s="73" t="s">
        <v>729</v>
      </c>
      <c r="N2370" s="74">
        <v>41192</v>
      </c>
      <c r="O2370" s="75">
        <f t="shared" si="554"/>
        <v>41192</v>
      </c>
      <c r="P2370" s="2765" t="s">
        <v>1754</v>
      </c>
      <c r="Q2370" s="2954"/>
      <c r="R2370" s="76">
        <v>254.23728800000001</v>
      </c>
      <c r="S2370" s="1945" t="s">
        <v>731</v>
      </c>
      <c r="T2370" s="77"/>
      <c r="U2370" s="1893"/>
      <c r="V2370" s="2079">
        <f t="shared" si="550"/>
        <v>0</v>
      </c>
      <c r="W2370" s="78">
        <f t="shared" si="551"/>
        <v>299.99999983999999</v>
      </c>
      <c r="X2370" s="1878" t="str">
        <f t="shared" si="549"/>
        <v xml:space="preserve">2.- C Lima Caucho 0590807-OT_001105  Reencauche 001-002917 </v>
      </c>
      <c r="Z2370" s="19" t="str">
        <f t="shared" si="552"/>
        <v>Vulcanizado (curación)Reencauchadora Espinoza</v>
      </c>
    </row>
    <row r="2371" spans="2:26" outlineLevel="1">
      <c r="B2371" s="3312"/>
      <c r="C2371" s="2">
        <f t="shared" si="555"/>
        <v>195</v>
      </c>
      <c r="D2371" s="3">
        <f t="shared" si="555"/>
        <v>4</v>
      </c>
      <c r="E2371" s="66">
        <v>3</v>
      </c>
      <c r="F2371" s="67" t="s">
        <v>732</v>
      </c>
      <c r="G2371" s="68" t="s">
        <v>737</v>
      </c>
      <c r="H2371" s="69" t="s">
        <v>1756</v>
      </c>
      <c r="I2371" s="68" t="s">
        <v>726</v>
      </c>
      <c r="J2371" s="70" t="s">
        <v>1543</v>
      </c>
      <c r="K2371" s="71" t="s">
        <v>1755</v>
      </c>
      <c r="L2371" s="72">
        <v>41176</v>
      </c>
      <c r="M2371" s="73" t="s">
        <v>729</v>
      </c>
      <c r="N2371" s="74">
        <v>41192</v>
      </c>
      <c r="O2371" s="75">
        <f t="shared" si="554"/>
        <v>41192</v>
      </c>
      <c r="P2371" s="2765" t="s">
        <v>1754</v>
      </c>
      <c r="Q2371" s="2954"/>
      <c r="R2371" s="76">
        <v>254.23728800000001</v>
      </c>
      <c r="S2371" s="1945" t="s">
        <v>731</v>
      </c>
      <c r="T2371" s="77"/>
      <c r="U2371" s="1893"/>
      <c r="V2371" s="2079">
        <f t="shared" si="550"/>
        <v>0</v>
      </c>
      <c r="W2371" s="78">
        <f t="shared" si="551"/>
        <v>299.99999983999999</v>
      </c>
      <c r="X2371" s="1878" t="str">
        <f t="shared" si="549"/>
        <v xml:space="preserve">3.- C Vikrant 1190805-OT_001105  Reencauche 001-002917 </v>
      </c>
      <c r="Z2371" s="19" t="str">
        <f t="shared" si="552"/>
        <v>Transpl BandaReencauchadora Espinoza</v>
      </c>
    </row>
    <row r="2372" spans="2:26" outlineLevel="1">
      <c r="B2372" s="3312"/>
      <c r="C2372" s="2">
        <f t="shared" si="555"/>
        <v>194</v>
      </c>
      <c r="D2372" s="3">
        <f t="shared" si="555"/>
        <v>3</v>
      </c>
      <c r="E2372" s="66">
        <v>4</v>
      </c>
      <c r="F2372" s="67" t="s">
        <v>732</v>
      </c>
      <c r="G2372" s="68" t="s">
        <v>733</v>
      </c>
      <c r="H2372" s="69" t="s">
        <v>1529</v>
      </c>
      <c r="I2372" s="68" t="s">
        <v>726</v>
      </c>
      <c r="J2372" s="70" t="s">
        <v>1543</v>
      </c>
      <c r="K2372" s="71" t="s">
        <v>1755</v>
      </c>
      <c r="L2372" s="72">
        <v>41176</v>
      </c>
      <c r="M2372" s="73" t="s">
        <v>729</v>
      </c>
      <c r="N2372" s="74">
        <v>41192</v>
      </c>
      <c r="O2372" s="75">
        <f t="shared" si="554"/>
        <v>41192</v>
      </c>
      <c r="P2372" s="2765" t="s">
        <v>1754</v>
      </c>
      <c r="Q2372" s="2954"/>
      <c r="R2372" s="76">
        <v>254.23728800000001</v>
      </c>
      <c r="S2372" s="1945" t="s">
        <v>731</v>
      </c>
      <c r="T2372" s="77"/>
      <c r="U2372" s="1893"/>
      <c r="V2372" s="2079">
        <f t="shared" si="550"/>
        <v>0</v>
      </c>
      <c r="W2372" s="78">
        <f t="shared" si="551"/>
        <v>299.99999983999999</v>
      </c>
      <c r="X2372" s="1878" t="str">
        <f t="shared" si="549"/>
        <v xml:space="preserve">4.- C Lima Caucho 0060108-OT_001105  Reencauche 001-002917 </v>
      </c>
      <c r="Z2372" s="19" t="str">
        <f t="shared" si="552"/>
        <v>Sacar_BandaReencauchadora Espinoza</v>
      </c>
    </row>
    <row r="2373" spans="2:26">
      <c r="B2373" s="3312"/>
      <c r="C2373" s="2">
        <f t="shared" si="555"/>
        <v>193</v>
      </c>
      <c r="D2373" s="3">
        <f t="shared" si="555"/>
        <v>2</v>
      </c>
      <c r="E2373" s="66">
        <v>5</v>
      </c>
      <c r="F2373" s="67" t="s">
        <v>732</v>
      </c>
      <c r="G2373" s="68" t="s">
        <v>776</v>
      </c>
      <c r="H2373" s="69" t="s">
        <v>1297</v>
      </c>
      <c r="I2373" s="257" t="s">
        <v>811</v>
      </c>
      <c r="J2373" s="92" t="s">
        <v>1543</v>
      </c>
      <c r="K2373" s="71" t="s">
        <v>1757</v>
      </c>
      <c r="L2373" s="72">
        <v>41176</v>
      </c>
      <c r="M2373" s="73" t="s">
        <v>729</v>
      </c>
      <c r="N2373" s="74">
        <v>41192</v>
      </c>
      <c r="O2373" s="75">
        <f t="shared" si="554"/>
        <v>41192</v>
      </c>
      <c r="P2373" s="2765" t="s">
        <v>1754</v>
      </c>
      <c r="Q2373" s="2954"/>
      <c r="R2373" s="76">
        <v>105.93219999999999</v>
      </c>
      <c r="S2373" s="1945" t="s">
        <v>731</v>
      </c>
      <c r="T2373" s="77"/>
      <c r="U2373" s="1893"/>
      <c r="V2373" s="2079">
        <f t="shared" si="550"/>
        <v>0</v>
      </c>
      <c r="W2373" s="78">
        <f t="shared" si="551"/>
        <v>124.99999599999998</v>
      </c>
      <c r="X2373" s="1878" t="str">
        <f t="shared" si="549"/>
        <v xml:space="preserve">5.- C Altura 0620911-OT_001106  Vulcanizado (curación) 001-002917 </v>
      </c>
    </row>
    <row r="2374" spans="2:26" outlineLevel="1">
      <c r="B2374" s="3312"/>
      <c r="C2374" s="2">
        <f>1+C2377</f>
        <v>192</v>
      </c>
      <c r="D2374" s="3">
        <v>1</v>
      </c>
      <c r="E2374" s="66">
        <v>6</v>
      </c>
      <c r="F2374" s="67" t="s">
        <v>732</v>
      </c>
      <c r="G2374" s="68" t="s">
        <v>737</v>
      </c>
      <c r="H2374" s="69" t="s">
        <v>786</v>
      </c>
      <c r="I2374" s="257" t="s">
        <v>740</v>
      </c>
      <c r="J2374" s="92" t="s">
        <v>1543</v>
      </c>
      <c r="K2374" s="71" t="s">
        <v>1757</v>
      </c>
      <c r="L2374" s="72">
        <v>41176</v>
      </c>
      <c r="M2374" s="73" t="s">
        <v>729</v>
      </c>
      <c r="N2374" s="74">
        <v>41192</v>
      </c>
      <c r="O2374" s="75">
        <f t="shared" si="554"/>
        <v>41192</v>
      </c>
      <c r="P2374" s="2765" t="s">
        <v>1754</v>
      </c>
      <c r="Q2374" s="2954"/>
      <c r="R2374" s="76">
        <v>127.1186</v>
      </c>
      <c r="S2374" s="1945" t="s">
        <v>731</v>
      </c>
      <c r="T2374" s="77"/>
      <c r="U2374" s="1893"/>
      <c r="V2374" s="2079">
        <f t="shared" si="550"/>
        <v>0</v>
      </c>
      <c r="W2374" s="78">
        <f t="shared" si="551"/>
        <v>149.99994799999999</v>
      </c>
      <c r="X2374" s="1878" t="str">
        <f t="shared" si="549"/>
        <v xml:space="preserve">6.- C Vikrant 0210310-OT_001106  Transpl Banda 001-002917 </v>
      </c>
      <c r="Z2374" s="19" t="str">
        <f t="shared" ref="Z2374:Z2397" si="556">CONCATENATE(I2377,J2377)</f>
        <v>ReencaucheReencauchadora RENOVA</v>
      </c>
    </row>
    <row r="2375" spans="2:26" outlineLevel="1">
      <c r="B2375" s="3312"/>
      <c r="E2375" s="79">
        <v>7</v>
      </c>
      <c r="F2375" s="80" t="s">
        <v>732</v>
      </c>
      <c r="G2375" s="81" t="s">
        <v>757</v>
      </c>
      <c r="H2375" s="82" t="s">
        <v>1758</v>
      </c>
      <c r="I2375" s="262" t="s">
        <v>744</v>
      </c>
      <c r="J2375" s="93" t="s">
        <v>1543</v>
      </c>
      <c r="K2375" s="84" t="s">
        <v>1757</v>
      </c>
      <c r="L2375" s="85">
        <v>41176</v>
      </c>
      <c r="M2375" s="86" t="s">
        <v>729</v>
      </c>
      <c r="N2375" s="87">
        <v>41192</v>
      </c>
      <c r="O2375" s="75">
        <f t="shared" si="554"/>
        <v>41192</v>
      </c>
      <c r="P2375" s="2766" t="s">
        <v>1754</v>
      </c>
      <c r="Q2375" s="2955"/>
      <c r="R2375" s="89">
        <v>0</v>
      </c>
      <c r="S2375" s="1946" t="s">
        <v>731</v>
      </c>
      <c r="T2375" s="77"/>
      <c r="U2375" s="1893"/>
      <c r="V2375" s="2079">
        <f t="shared" si="550"/>
        <v>0</v>
      </c>
      <c r="W2375" s="78">
        <f t="shared" si="551"/>
        <v>0</v>
      </c>
      <c r="X2375" s="1878" t="str">
        <f t="shared" si="549"/>
        <v xml:space="preserve">7.- C Goodyear 019072003-OT_001106  Sacar_Banda 001-002917 </v>
      </c>
      <c r="Z2375" s="19" t="str">
        <f t="shared" si="556"/>
        <v>ReencaucheReencauchadora RENOVA</v>
      </c>
    </row>
    <row r="2376" spans="2:26" ht="15.75" outlineLevel="1" thickBot="1">
      <c r="B2376" s="3310">
        <v>41153</v>
      </c>
      <c r="C2376" s="3310"/>
      <c r="D2376" s="258">
        <f>+D2377</f>
        <v>24</v>
      </c>
      <c r="E2376" s="66"/>
      <c r="F2376" s="67"/>
      <c r="G2376" s="68"/>
      <c r="H2376" s="69"/>
      <c r="I2376" s="257"/>
      <c r="J2376" s="92"/>
      <c r="K2376" s="71"/>
      <c r="L2376" s="72"/>
      <c r="M2376" s="73"/>
      <c r="N2376" s="74"/>
      <c r="O2376" s="305"/>
      <c r="P2376" s="2765"/>
      <c r="Q2376" s="2954"/>
      <c r="R2376" s="76"/>
      <c r="S2376" s="1945"/>
      <c r="T2376" s="77"/>
      <c r="U2376" s="1893"/>
      <c r="V2376" s="2079">
        <f t="shared" si="550"/>
        <v>0</v>
      </c>
      <c r="W2376" s="78">
        <f t="shared" si="551"/>
        <v>0</v>
      </c>
      <c r="X2376" s="1878" t="str">
        <f t="shared" si="549"/>
        <v xml:space="preserve">.-   -OT_    </v>
      </c>
      <c r="Z2376" s="19" t="str">
        <f t="shared" si="556"/>
        <v>ReencaucheReencauchadora RENOVA</v>
      </c>
    </row>
    <row r="2377" spans="2:26" outlineLevel="1">
      <c r="B2377" s="3274">
        <v>41153</v>
      </c>
      <c r="C2377" s="2">
        <f t="shared" ref="C2377:C2399" si="557">1+C2378</f>
        <v>191</v>
      </c>
      <c r="D2377" s="3">
        <f t="shared" ref="D2377:D2399" si="558">1+D2378</f>
        <v>24</v>
      </c>
      <c r="E2377" s="66">
        <v>1</v>
      </c>
      <c r="F2377" s="67" t="s">
        <v>732</v>
      </c>
      <c r="G2377" s="68" t="s">
        <v>737</v>
      </c>
      <c r="H2377" s="69" t="s">
        <v>1759</v>
      </c>
      <c r="I2377" s="68" t="s">
        <v>726</v>
      </c>
      <c r="J2377" s="70" t="s">
        <v>760</v>
      </c>
      <c r="K2377" s="71" t="s">
        <v>1760</v>
      </c>
      <c r="L2377" s="72">
        <v>41169</v>
      </c>
      <c r="M2377" s="73" t="s">
        <v>729</v>
      </c>
      <c r="N2377" s="74">
        <v>41176</v>
      </c>
      <c r="O2377" s="75">
        <f t="shared" ref="O2377:O2400" si="559">+N2377</f>
        <v>41176</v>
      </c>
      <c r="P2377" s="2765" t="s">
        <v>1761</v>
      </c>
      <c r="Q2377" s="2954">
        <v>104.24</v>
      </c>
      <c r="R2377" s="76"/>
      <c r="S2377" s="1945" t="s">
        <v>731</v>
      </c>
      <c r="T2377" s="77"/>
      <c r="U2377" s="1893"/>
      <c r="V2377" s="2079">
        <f t="shared" si="550"/>
        <v>123.00319999999999</v>
      </c>
      <c r="W2377" s="78">
        <f t="shared" si="551"/>
        <v>0</v>
      </c>
      <c r="X2377" s="1878" t="str">
        <f t="shared" si="549"/>
        <v xml:space="preserve">1.- C Vikrant 1260805-OT_173169  Reencauche 030-0021190 </v>
      </c>
      <c r="Z2377" s="19" t="str">
        <f t="shared" si="556"/>
        <v>ReencaucheReencauchadora RENOVA</v>
      </c>
    </row>
    <row r="2378" spans="2:26" outlineLevel="1">
      <c r="B2378" s="3275"/>
      <c r="C2378" s="2">
        <f t="shared" si="557"/>
        <v>190</v>
      </c>
      <c r="D2378" s="3">
        <f t="shared" si="558"/>
        <v>23</v>
      </c>
      <c r="E2378" s="66">
        <v>2</v>
      </c>
      <c r="F2378" s="67" t="s">
        <v>732</v>
      </c>
      <c r="G2378" s="68" t="s">
        <v>737</v>
      </c>
      <c r="H2378" s="69" t="s">
        <v>1389</v>
      </c>
      <c r="I2378" s="68" t="s">
        <v>726</v>
      </c>
      <c r="J2378" s="70" t="s">
        <v>760</v>
      </c>
      <c r="K2378" s="71" t="s">
        <v>1760</v>
      </c>
      <c r="L2378" s="72">
        <v>41169</v>
      </c>
      <c r="M2378" s="73" t="s">
        <v>729</v>
      </c>
      <c r="N2378" s="74">
        <v>41176</v>
      </c>
      <c r="O2378" s="75">
        <f t="shared" si="559"/>
        <v>41176</v>
      </c>
      <c r="P2378" s="2765" t="s">
        <v>1761</v>
      </c>
      <c r="Q2378" s="2954">
        <v>104.24</v>
      </c>
      <c r="R2378" s="76"/>
      <c r="S2378" s="1945" t="s">
        <v>731</v>
      </c>
      <c r="T2378" s="77"/>
      <c r="U2378" s="1893"/>
      <c r="V2378" s="2079">
        <f t="shared" si="550"/>
        <v>123.00319999999999</v>
      </c>
      <c r="W2378" s="78">
        <f t="shared" si="551"/>
        <v>0</v>
      </c>
      <c r="X2378" s="1878" t="str">
        <f t="shared" si="549"/>
        <v xml:space="preserve">2.- C Vikrant 0060109-OT_173169  Reencauche 030-0021190 </v>
      </c>
      <c r="Z2378" s="19" t="str">
        <f t="shared" si="556"/>
        <v>ReencaucheReencauchadora RENOVA</v>
      </c>
    </row>
    <row r="2379" spans="2:26" outlineLevel="1">
      <c r="B2379" s="3275"/>
      <c r="C2379" s="2">
        <f t="shared" si="557"/>
        <v>189</v>
      </c>
      <c r="D2379" s="3">
        <f t="shared" si="558"/>
        <v>22</v>
      </c>
      <c r="E2379" s="66">
        <v>3</v>
      </c>
      <c r="F2379" s="67" t="s">
        <v>732</v>
      </c>
      <c r="G2379" s="68" t="s">
        <v>737</v>
      </c>
      <c r="H2379" s="69" t="s">
        <v>1337</v>
      </c>
      <c r="I2379" s="68" t="s">
        <v>726</v>
      </c>
      <c r="J2379" s="70" t="s">
        <v>760</v>
      </c>
      <c r="K2379" s="71" t="s">
        <v>1760</v>
      </c>
      <c r="L2379" s="72">
        <v>41169</v>
      </c>
      <c r="M2379" s="73" t="s">
        <v>729</v>
      </c>
      <c r="N2379" s="74">
        <v>41176</v>
      </c>
      <c r="O2379" s="75">
        <f t="shared" si="559"/>
        <v>41176</v>
      </c>
      <c r="P2379" s="2765" t="s">
        <v>1761</v>
      </c>
      <c r="Q2379" s="2954">
        <v>104.24</v>
      </c>
      <c r="R2379" s="76"/>
      <c r="S2379" s="1945" t="s">
        <v>731</v>
      </c>
      <c r="T2379" s="77"/>
      <c r="U2379" s="1893"/>
      <c r="V2379" s="2079">
        <f t="shared" si="550"/>
        <v>123.00319999999999</v>
      </c>
      <c r="W2379" s="78">
        <f t="shared" si="551"/>
        <v>0</v>
      </c>
      <c r="X2379" s="1878" t="str">
        <f t="shared" si="549"/>
        <v xml:space="preserve">3.- C Vikrant 0821009-OT_173169  Reencauche 030-0021190 </v>
      </c>
      <c r="Z2379" s="19" t="str">
        <f t="shared" si="556"/>
        <v>ReencaucheReencauchadora RENOVA</v>
      </c>
    </row>
    <row r="2380" spans="2:26" outlineLevel="1">
      <c r="B2380" s="3275"/>
      <c r="C2380" s="2">
        <f t="shared" si="557"/>
        <v>188</v>
      </c>
      <c r="D2380" s="3">
        <f t="shared" si="558"/>
        <v>21</v>
      </c>
      <c r="E2380" s="66">
        <v>4</v>
      </c>
      <c r="F2380" s="67" t="s">
        <v>732</v>
      </c>
      <c r="G2380" s="68" t="s">
        <v>737</v>
      </c>
      <c r="H2380" s="69" t="s">
        <v>1120</v>
      </c>
      <c r="I2380" s="68" t="s">
        <v>726</v>
      </c>
      <c r="J2380" s="70" t="s">
        <v>760</v>
      </c>
      <c r="K2380" s="71" t="s">
        <v>1760</v>
      </c>
      <c r="L2380" s="72">
        <v>41169</v>
      </c>
      <c r="M2380" s="73" t="s">
        <v>729</v>
      </c>
      <c r="N2380" s="74">
        <v>41176</v>
      </c>
      <c r="O2380" s="75">
        <f t="shared" si="559"/>
        <v>41176</v>
      </c>
      <c r="P2380" s="2765" t="s">
        <v>1761</v>
      </c>
      <c r="Q2380" s="2954">
        <v>104.24</v>
      </c>
      <c r="R2380" s="76"/>
      <c r="S2380" s="1945" t="s">
        <v>731</v>
      </c>
      <c r="T2380" s="77"/>
      <c r="U2380" s="1893"/>
      <c r="V2380" s="2079">
        <f t="shared" si="550"/>
        <v>123.00319999999999</v>
      </c>
      <c r="W2380" s="78">
        <f t="shared" si="551"/>
        <v>0</v>
      </c>
      <c r="X2380" s="1878" t="str">
        <f t="shared" si="549"/>
        <v xml:space="preserve">4.- C Vikrant 05022010-OT_173169  Reencauche 030-0021190 </v>
      </c>
      <c r="Z2380" s="19" t="str">
        <f t="shared" si="556"/>
        <v>ReencaucheReencauchadora RENOVA</v>
      </c>
    </row>
    <row r="2381" spans="2:26" outlineLevel="1">
      <c r="B2381" s="3275"/>
      <c r="C2381" s="2">
        <f t="shared" si="557"/>
        <v>187</v>
      </c>
      <c r="D2381" s="3">
        <f t="shared" si="558"/>
        <v>20</v>
      </c>
      <c r="E2381" s="66">
        <v>5</v>
      </c>
      <c r="F2381" s="67" t="s">
        <v>732</v>
      </c>
      <c r="G2381" s="68" t="s">
        <v>737</v>
      </c>
      <c r="H2381" s="69" t="s">
        <v>1476</v>
      </c>
      <c r="I2381" s="68" t="s">
        <v>726</v>
      </c>
      <c r="J2381" s="70" t="s">
        <v>760</v>
      </c>
      <c r="K2381" s="71" t="s">
        <v>1760</v>
      </c>
      <c r="L2381" s="72">
        <v>41169</v>
      </c>
      <c r="M2381" s="73" t="s">
        <v>729</v>
      </c>
      <c r="N2381" s="74">
        <v>41176</v>
      </c>
      <c r="O2381" s="75">
        <f t="shared" si="559"/>
        <v>41176</v>
      </c>
      <c r="P2381" s="2765" t="s">
        <v>1761</v>
      </c>
      <c r="Q2381" s="2954">
        <v>104.24</v>
      </c>
      <c r="R2381" s="76"/>
      <c r="S2381" s="1945" t="s">
        <v>731</v>
      </c>
      <c r="T2381" s="77"/>
      <c r="U2381" s="1893"/>
      <c r="V2381" s="2079">
        <f t="shared" si="550"/>
        <v>123.00319999999999</v>
      </c>
      <c r="W2381" s="78">
        <f t="shared" si="551"/>
        <v>0</v>
      </c>
      <c r="X2381" s="1878" t="str">
        <f t="shared" si="549"/>
        <v xml:space="preserve">5.- C Vikrant 0050109-OT_173169  Reencauche 030-0021190 </v>
      </c>
      <c r="Z2381" s="19" t="str">
        <f t="shared" si="556"/>
        <v>ReencaucheReencauchadora RENOVA</v>
      </c>
    </row>
    <row r="2382" spans="2:26" outlineLevel="1">
      <c r="B2382" s="3275"/>
      <c r="C2382" s="2">
        <f t="shared" si="557"/>
        <v>186</v>
      </c>
      <c r="D2382" s="3">
        <f t="shared" si="558"/>
        <v>19</v>
      </c>
      <c r="E2382" s="66">
        <v>6</v>
      </c>
      <c r="F2382" s="67" t="s">
        <v>732</v>
      </c>
      <c r="G2382" s="68" t="s">
        <v>737</v>
      </c>
      <c r="H2382" s="69" t="s">
        <v>791</v>
      </c>
      <c r="I2382" s="68" t="s">
        <v>726</v>
      </c>
      <c r="J2382" s="70" t="s">
        <v>760</v>
      </c>
      <c r="K2382" s="71" t="s">
        <v>1760</v>
      </c>
      <c r="L2382" s="72">
        <v>41169</v>
      </c>
      <c r="M2382" s="73" t="s">
        <v>729</v>
      </c>
      <c r="N2382" s="74">
        <v>41176</v>
      </c>
      <c r="O2382" s="75">
        <f t="shared" si="559"/>
        <v>41176</v>
      </c>
      <c r="P2382" s="2765" t="s">
        <v>1761</v>
      </c>
      <c r="Q2382" s="2954">
        <v>104.24</v>
      </c>
      <c r="R2382" s="76"/>
      <c r="S2382" s="1945" t="s">
        <v>731</v>
      </c>
      <c r="T2382" s="77"/>
      <c r="U2382" s="1893"/>
      <c r="V2382" s="2079">
        <f t="shared" si="550"/>
        <v>123.00319999999999</v>
      </c>
      <c r="W2382" s="78">
        <f t="shared" si="551"/>
        <v>0</v>
      </c>
      <c r="X2382" s="1878" t="str">
        <f t="shared" si="549"/>
        <v xml:space="preserve">6.- C Vikrant 0580709-OT_173169  Reencauche 030-0021190 </v>
      </c>
      <c r="Z2382" s="19" t="str">
        <f t="shared" si="556"/>
        <v>ReencaucheReencauchadora RENOVA</v>
      </c>
    </row>
    <row r="2383" spans="2:26" outlineLevel="1">
      <c r="B2383" s="3275"/>
      <c r="C2383" s="2">
        <f t="shared" si="557"/>
        <v>185</v>
      </c>
      <c r="D2383" s="3">
        <f t="shared" si="558"/>
        <v>18</v>
      </c>
      <c r="E2383" s="66">
        <v>7</v>
      </c>
      <c r="F2383" s="67" t="s">
        <v>732</v>
      </c>
      <c r="G2383" s="68" t="s">
        <v>737</v>
      </c>
      <c r="H2383" s="69" t="s">
        <v>1494</v>
      </c>
      <c r="I2383" s="68" t="s">
        <v>726</v>
      </c>
      <c r="J2383" s="70" t="s">
        <v>760</v>
      </c>
      <c r="K2383" s="71" t="s">
        <v>1760</v>
      </c>
      <c r="L2383" s="72">
        <v>41169</v>
      </c>
      <c r="M2383" s="73" t="s">
        <v>729</v>
      </c>
      <c r="N2383" s="74">
        <v>41176</v>
      </c>
      <c r="O2383" s="75">
        <f t="shared" si="559"/>
        <v>41176</v>
      </c>
      <c r="P2383" s="2765" t="s">
        <v>1761</v>
      </c>
      <c r="Q2383" s="2954">
        <v>104.24</v>
      </c>
      <c r="R2383" s="76"/>
      <c r="S2383" s="1945" t="s">
        <v>731</v>
      </c>
      <c r="T2383" s="77"/>
      <c r="U2383" s="1893"/>
      <c r="V2383" s="2079">
        <f t="shared" si="550"/>
        <v>123.00319999999999</v>
      </c>
      <c r="W2383" s="78">
        <f t="shared" si="551"/>
        <v>0</v>
      </c>
      <c r="X2383" s="1878" t="str">
        <f t="shared" si="549"/>
        <v xml:space="preserve">7.- C Vikrant 0690906-OT_173169  Reencauche 030-0021190 </v>
      </c>
      <c r="Z2383" s="19" t="str">
        <f t="shared" si="556"/>
        <v>ReencaucheReencauchadora RENOVA</v>
      </c>
    </row>
    <row r="2384" spans="2:26" outlineLevel="1">
      <c r="B2384" s="3275"/>
      <c r="C2384" s="2">
        <f t="shared" si="557"/>
        <v>184</v>
      </c>
      <c r="D2384" s="3">
        <f t="shared" si="558"/>
        <v>17</v>
      </c>
      <c r="E2384" s="66">
        <v>8</v>
      </c>
      <c r="F2384" s="67" t="s">
        <v>732</v>
      </c>
      <c r="G2384" s="68" t="s">
        <v>737</v>
      </c>
      <c r="H2384" s="69" t="s">
        <v>1762</v>
      </c>
      <c r="I2384" s="68" t="s">
        <v>726</v>
      </c>
      <c r="J2384" s="70" t="s">
        <v>760</v>
      </c>
      <c r="K2384" s="71" t="s">
        <v>1760</v>
      </c>
      <c r="L2384" s="72">
        <v>41169</v>
      </c>
      <c r="M2384" s="73" t="s">
        <v>729</v>
      </c>
      <c r="N2384" s="74">
        <v>41176</v>
      </c>
      <c r="O2384" s="75">
        <f t="shared" si="559"/>
        <v>41176</v>
      </c>
      <c r="P2384" s="2765" t="s">
        <v>1761</v>
      </c>
      <c r="Q2384" s="2954">
        <v>104.24</v>
      </c>
      <c r="R2384" s="76"/>
      <c r="S2384" s="1945" t="s">
        <v>731</v>
      </c>
      <c r="T2384" s="77"/>
      <c r="U2384" s="1893"/>
      <c r="V2384" s="2079">
        <f t="shared" si="550"/>
        <v>123.00319999999999</v>
      </c>
      <c r="W2384" s="78">
        <f t="shared" si="551"/>
        <v>0</v>
      </c>
      <c r="X2384" s="1878" t="str">
        <f t="shared" si="549"/>
        <v xml:space="preserve">8.- C Vikrant 0070312-OT_173169  Reencauche 030-0021190 </v>
      </c>
      <c r="Z2384" s="19" t="str">
        <f t="shared" si="556"/>
        <v>ReencaucheReencauchadora RENOVA</v>
      </c>
    </row>
    <row r="2385" spans="2:26" outlineLevel="1">
      <c r="B2385" s="3275"/>
      <c r="C2385" s="2">
        <f t="shared" si="557"/>
        <v>183</v>
      </c>
      <c r="D2385" s="3">
        <f t="shared" si="558"/>
        <v>16</v>
      </c>
      <c r="E2385" s="66">
        <v>9</v>
      </c>
      <c r="F2385" s="67" t="s">
        <v>732</v>
      </c>
      <c r="G2385" s="68" t="s">
        <v>737</v>
      </c>
      <c r="H2385" s="69" t="s">
        <v>1063</v>
      </c>
      <c r="I2385" s="68" t="s">
        <v>726</v>
      </c>
      <c r="J2385" s="70" t="s">
        <v>760</v>
      </c>
      <c r="K2385" s="71" t="s">
        <v>1760</v>
      </c>
      <c r="L2385" s="72">
        <v>41169</v>
      </c>
      <c r="M2385" s="73" t="s">
        <v>729</v>
      </c>
      <c r="N2385" s="74">
        <v>41176</v>
      </c>
      <c r="O2385" s="75">
        <f t="shared" si="559"/>
        <v>41176</v>
      </c>
      <c r="P2385" s="2765" t="s">
        <v>1761</v>
      </c>
      <c r="Q2385" s="2954">
        <v>104.24</v>
      </c>
      <c r="R2385" s="76"/>
      <c r="S2385" s="1945" t="s">
        <v>731</v>
      </c>
      <c r="T2385" s="77"/>
      <c r="U2385" s="1893"/>
      <c r="V2385" s="2079">
        <f t="shared" si="550"/>
        <v>123.00319999999999</v>
      </c>
      <c r="W2385" s="78">
        <f t="shared" si="551"/>
        <v>0</v>
      </c>
      <c r="X2385" s="1878" t="str">
        <f t="shared" si="549"/>
        <v xml:space="preserve">9.- C Vikrant 0230211-OT_173169  Reencauche 030-0021190 </v>
      </c>
      <c r="Z2385" s="19" t="str">
        <f t="shared" si="556"/>
        <v>ReencaucheReencauchadora RENOVA</v>
      </c>
    </row>
    <row r="2386" spans="2:26" outlineLevel="1">
      <c r="B2386" s="3275"/>
      <c r="C2386" s="2">
        <f t="shared" si="557"/>
        <v>182</v>
      </c>
      <c r="D2386" s="3">
        <f t="shared" si="558"/>
        <v>15</v>
      </c>
      <c r="E2386" s="66">
        <v>10</v>
      </c>
      <c r="F2386" s="67" t="s">
        <v>732</v>
      </c>
      <c r="G2386" s="68" t="s">
        <v>737</v>
      </c>
      <c r="H2386" s="69" t="s">
        <v>1763</v>
      </c>
      <c r="I2386" s="68" t="s">
        <v>726</v>
      </c>
      <c r="J2386" s="70" t="s">
        <v>760</v>
      </c>
      <c r="K2386" s="71" t="s">
        <v>1764</v>
      </c>
      <c r="L2386" s="72">
        <v>41169</v>
      </c>
      <c r="M2386" s="73" t="s">
        <v>729</v>
      </c>
      <c r="N2386" s="74">
        <v>41176</v>
      </c>
      <c r="O2386" s="75">
        <f t="shared" si="559"/>
        <v>41176</v>
      </c>
      <c r="P2386" s="2765" t="s">
        <v>1761</v>
      </c>
      <c r="Q2386" s="2954">
        <v>104.24</v>
      </c>
      <c r="R2386" s="76"/>
      <c r="S2386" s="1945" t="s">
        <v>731</v>
      </c>
      <c r="T2386" s="77"/>
      <c r="U2386" s="1893"/>
      <c r="V2386" s="2079">
        <f t="shared" si="550"/>
        <v>123.00319999999999</v>
      </c>
      <c r="W2386" s="78">
        <f t="shared" si="551"/>
        <v>0</v>
      </c>
      <c r="X2386" s="1878" t="str">
        <f t="shared" si="549"/>
        <v xml:space="preserve">10.- C Vikrant 0881007-OT_173170  Reencauche 030-0021190 </v>
      </c>
      <c r="Z2386" s="19" t="str">
        <f t="shared" si="556"/>
        <v>ReencaucheReencauchadora RENOVA</v>
      </c>
    </row>
    <row r="2387" spans="2:26" outlineLevel="1">
      <c r="B2387" s="3275"/>
      <c r="C2387" s="2">
        <f t="shared" si="557"/>
        <v>181</v>
      </c>
      <c r="D2387" s="3">
        <f t="shared" si="558"/>
        <v>14</v>
      </c>
      <c r="E2387" s="66">
        <v>11</v>
      </c>
      <c r="F2387" s="67" t="s">
        <v>732</v>
      </c>
      <c r="G2387" s="68" t="s">
        <v>737</v>
      </c>
      <c r="H2387" s="69" t="s">
        <v>1090</v>
      </c>
      <c r="I2387" s="68" t="s">
        <v>726</v>
      </c>
      <c r="J2387" s="70" t="s">
        <v>760</v>
      </c>
      <c r="K2387" s="71" t="s">
        <v>1764</v>
      </c>
      <c r="L2387" s="72">
        <v>41169</v>
      </c>
      <c r="M2387" s="73" t="s">
        <v>729</v>
      </c>
      <c r="N2387" s="74">
        <v>41176</v>
      </c>
      <c r="O2387" s="75">
        <f t="shared" si="559"/>
        <v>41176</v>
      </c>
      <c r="P2387" s="2765" t="s">
        <v>1761</v>
      </c>
      <c r="Q2387" s="2954">
        <v>104.24</v>
      </c>
      <c r="R2387" s="76"/>
      <c r="S2387" s="1945" t="s">
        <v>731</v>
      </c>
      <c r="T2387" s="77"/>
      <c r="U2387" s="1893"/>
      <c r="V2387" s="2079">
        <f t="shared" si="550"/>
        <v>123.00319999999999</v>
      </c>
      <c r="W2387" s="78">
        <f t="shared" si="551"/>
        <v>0</v>
      </c>
      <c r="X2387" s="1878" t="str">
        <f t="shared" si="549"/>
        <v xml:space="preserve">11.- C Vikrant 0680809-OT_173170  Reencauche 030-0021190 </v>
      </c>
      <c r="Z2387" s="19" t="str">
        <f t="shared" si="556"/>
        <v>ReencaucheReencauchadora RENOVA</v>
      </c>
    </row>
    <row r="2388" spans="2:26" outlineLevel="1">
      <c r="B2388" s="3275"/>
      <c r="C2388" s="2">
        <f t="shared" si="557"/>
        <v>180</v>
      </c>
      <c r="D2388" s="3">
        <f t="shared" si="558"/>
        <v>13</v>
      </c>
      <c r="E2388" s="66">
        <v>12</v>
      </c>
      <c r="F2388" s="67" t="s">
        <v>732</v>
      </c>
      <c r="G2388" s="68" t="s">
        <v>737</v>
      </c>
      <c r="H2388" s="69" t="s">
        <v>1765</v>
      </c>
      <c r="I2388" s="68" t="s">
        <v>726</v>
      </c>
      <c r="J2388" s="70" t="s">
        <v>760</v>
      </c>
      <c r="K2388" s="71" t="s">
        <v>1764</v>
      </c>
      <c r="L2388" s="72">
        <v>41169</v>
      </c>
      <c r="M2388" s="73" t="s">
        <v>729</v>
      </c>
      <c r="N2388" s="74">
        <v>41176</v>
      </c>
      <c r="O2388" s="75">
        <f t="shared" si="559"/>
        <v>41176</v>
      </c>
      <c r="P2388" s="2765" t="s">
        <v>1761</v>
      </c>
      <c r="Q2388" s="2954">
        <v>104.24</v>
      </c>
      <c r="R2388" s="76"/>
      <c r="S2388" s="1945" t="s">
        <v>731</v>
      </c>
      <c r="T2388" s="77"/>
      <c r="U2388" s="1893"/>
      <c r="V2388" s="2079">
        <f t="shared" si="550"/>
        <v>123.00319999999999</v>
      </c>
      <c r="W2388" s="78">
        <f t="shared" si="551"/>
        <v>0</v>
      </c>
      <c r="X2388" s="1878" t="str">
        <f t="shared" si="549"/>
        <v xml:space="preserve">12.- C Vikrant 0530709-OT_173170  Reencauche 030-0021190 </v>
      </c>
      <c r="Z2388" s="19" t="str">
        <f t="shared" si="556"/>
        <v>ReencaucheReencauchadora RENOVA</v>
      </c>
    </row>
    <row r="2389" spans="2:26" outlineLevel="1">
      <c r="B2389" s="3275"/>
      <c r="C2389" s="2">
        <f t="shared" si="557"/>
        <v>179</v>
      </c>
      <c r="D2389" s="3">
        <f t="shared" si="558"/>
        <v>12</v>
      </c>
      <c r="E2389" s="66">
        <v>13</v>
      </c>
      <c r="F2389" s="67" t="s">
        <v>732</v>
      </c>
      <c r="G2389" s="68" t="s">
        <v>737</v>
      </c>
      <c r="H2389" s="69" t="s">
        <v>1325</v>
      </c>
      <c r="I2389" s="68" t="s">
        <v>726</v>
      </c>
      <c r="J2389" s="70" t="s">
        <v>760</v>
      </c>
      <c r="K2389" s="71" t="s">
        <v>1760</v>
      </c>
      <c r="L2389" s="72">
        <v>41169</v>
      </c>
      <c r="M2389" s="73" t="s">
        <v>729</v>
      </c>
      <c r="N2389" s="74">
        <v>41176</v>
      </c>
      <c r="O2389" s="75">
        <f t="shared" si="559"/>
        <v>41176</v>
      </c>
      <c r="P2389" s="2765" t="s">
        <v>1766</v>
      </c>
      <c r="Q2389" s="2954">
        <v>104.24</v>
      </c>
      <c r="R2389" s="76"/>
      <c r="S2389" s="1945" t="s">
        <v>731</v>
      </c>
      <c r="T2389" s="77"/>
      <c r="U2389" s="1893"/>
      <c r="V2389" s="2079">
        <f t="shared" si="550"/>
        <v>123.00319999999999</v>
      </c>
      <c r="W2389" s="78">
        <f t="shared" si="551"/>
        <v>0</v>
      </c>
      <c r="X2389" s="1878" t="str">
        <f t="shared" si="549"/>
        <v xml:space="preserve">13.- C Vikrant 0080312-OT_173169  Reencauche 030-0021191 </v>
      </c>
      <c r="Z2389" s="19" t="str">
        <f t="shared" si="556"/>
        <v>ReencaucheReencauchadora RENOVA</v>
      </c>
    </row>
    <row r="2390" spans="2:26" outlineLevel="1">
      <c r="B2390" s="3275"/>
      <c r="C2390" s="2">
        <f t="shared" si="557"/>
        <v>178</v>
      </c>
      <c r="D2390" s="3">
        <f t="shared" si="558"/>
        <v>11</v>
      </c>
      <c r="E2390" s="66">
        <v>14</v>
      </c>
      <c r="F2390" s="67" t="s">
        <v>732</v>
      </c>
      <c r="G2390" s="68" t="s">
        <v>757</v>
      </c>
      <c r="H2390" s="69" t="s">
        <v>840</v>
      </c>
      <c r="I2390" s="68" t="s">
        <v>726</v>
      </c>
      <c r="J2390" s="70" t="s">
        <v>760</v>
      </c>
      <c r="K2390" s="71" t="s">
        <v>1764</v>
      </c>
      <c r="L2390" s="72">
        <v>41169</v>
      </c>
      <c r="M2390" s="73" t="s">
        <v>729</v>
      </c>
      <c r="N2390" s="74">
        <v>41176</v>
      </c>
      <c r="O2390" s="75">
        <f t="shared" si="559"/>
        <v>41176</v>
      </c>
      <c r="P2390" s="2765" t="s">
        <v>1766</v>
      </c>
      <c r="Q2390" s="2954">
        <v>104.24</v>
      </c>
      <c r="R2390" s="76"/>
      <c r="S2390" s="1945" t="s">
        <v>731</v>
      </c>
      <c r="T2390" s="77"/>
      <c r="U2390" s="1893"/>
      <c r="V2390" s="2079">
        <f t="shared" si="550"/>
        <v>123.00319999999999</v>
      </c>
      <c r="W2390" s="78">
        <f t="shared" si="551"/>
        <v>0</v>
      </c>
      <c r="X2390" s="1878" t="str">
        <f t="shared" si="549"/>
        <v xml:space="preserve">14.- C Goodyear 1601004-OT_173170  Reencauche 030-0021191 </v>
      </c>
      <c r="Z2390" s="19" t="str">
        <f t="shared" si="556"/>
        <v>ReencaucheReencauchadora RENOVA</v>
      </c>
    </row>
    <row r="2391" spans="2:26" outlineLevel="1">
      <c r="B2391" s="3275"/>
      <c r="C2391" s="2">
        <f t="shared" si="557"/>
        <v>177</v>
      </c>
      <c r="D2391" s="3">
        <f t="shared" si="558"/>
        <v>10</v>
      </c>
      <c r="E2391" s="66">
        <v>15</v>
      </c>
      <c r="F2391" s="67" t="s">
        <v>732</v>
      </c>
      <c r="G2391" s="68" t="s">
        <v>757</v>
      </c>
      <c r="H2391" s="69" t="s">
        <v>1767</v>
      </c>
      <c r="I2391" s="68" t="s">
        <v>726</v>
      </c>
      <c r="J2391" s="70" t="s">
        <v>760</v>
      </c>
      <c r="K2391" s="71" t="s">
        <v>1764</v>
      </c>
      <c r="L2391" s="72">
        <v>41169</v>
      </c>
      <c r="M2391" s="73" t="s">
        <v>729</v>
      </c>
      <c r="N2391" s="74">
        <v>41176</v>
      </c>
      <c r="O2391" s="75">
        <f t="shared" si="559"/>
        <v>41176</v>
      </c>
      <c r="P2391" s="2765" t="s">
        <v>1766</v>
      </c>
      <c r="Q2391" s="2954">
        <v>104.24</v>
      </c>
      <c r="R2391" s="76"/>
      <c r="S2391" s="1945" t="s">
        <v>731</v>
      </c>
      <c r="T2391" s="77"/>
      <c r="U2391" s="1893"/>
      <c r="V2391" s="2079">
        <f t="shared" si="550"/>
        <v>123.00319999999999</v>
      </c>
      <c r="W2391" s="78">
        <f t="shared" si="551"/>
        <v>0</v>
      </c>
      <c r="X2391" s="1878" t="str">
        <f t="shared" si="549"/>
        <v xml:space="preserve">15.- C Goodyear 0640404-OT_173170  Reencauche 030-0021191 </v>
      </c>
      <c r="Z2391" s="19" t="str">
        <f t="shared" si="556"/>
        <v>ReencaucheReencauchadora RENOVA</v>
      </c>
    </row>
    <row r="2392" spans="2:26" outlineLevel="1">
      <c r="B2392" s="3275"/>
      <c r="C2392" s="2">
        <f t="shared" si="557"/>
        <v>176</v>
      </c>
      <c r="D2392" s="3">
        <f t="shared" si="558"/>
        <v>9</v>
      </c>
      <c r="E2392" s="66">
        <v>16</v>
      </c>
      <c r="F2392" s="67" t="s">
        <v>732</v>
      </c>
      <c r="G2392" s="68" t="s">
        <v>757</v>
      </c>
      <c r="H2392" s="69" t="s">
        <v>1768</v>
      </c>
      <c r="I2392" s="68" t="s">
        <v>726</v>
      </c>
      <c r="J2392" s="70" t="s">
        <v>760</v>
      </c>
      <c r="K2392" s="71" t="s">
        <v>1764</v>
      </c>
      <c r="L2392" s="72">
        <v>41169</v>
      </c>
      <c r="M2392" s="73" t="s">
        <v>729</v>
      </c>
      <c r="N2392" s="74">
        <v>41176</v>
      </c>
      <c r="O2392" s="75">
        <f t="shared" si="559"/>
        <v>41176</v>
      </c>
      <c r="P2392" s="2765" t="s">
        <v>1766</v>
      </c>
      <c r="Q2392" s="2954">
        <v>104.24</v>
      </c>
      <c r="R2392" s="76"/>
      <c r="S2392" s="1945" t="s">
        <v>731</v>
      </c>
      <c r="T2392" s="77"/>
      <c r="U2392" s="1893"/>
      <c r="V2392" s="2079">
        <f t="shared" si="550"/>
        <v>123.00319999999999</v>
      </c>
      <c r="W2392" s="78">
        <f t="shared" si="551"/>
        <v>0</v>
      </c>
      <c r="X2392" s="1878" t="str">
        <f t="shared" si="549"/>
        <v xml:space="preserve">16.- C Goodyear 1931204-OT_173170  Reencauche 030-0021191 </v>
      </c>
      <c r="Z2392" s="19" t="str">
        <f t="shared" si="556"/>
        <v>ReencaucheReencauchadora RENOVA</v>
      </c>
    </row>
    <row r="2393" spans="2:26" outlineLevel="1">
      <c r="B2393" s="3275"/>
      <c r="C2393" s="2">
        <f t="shared" si="557"/>
        <v>175</v>
      </c>
      <c r="D2393" s="3">
        <f t="shared" si="558"/>
        <v>8</v>
      </c>
      <c r="E2393" s="66">
        <v>17</v>
      </c>
      <c r="F2393" s="67" t="s">
        <v>732</v>
      </c>
      <c r="G2393" s="68" t="s">
        <v>737</v>
      </c>
      <c r="H2393" s="69" t="s">
        <v>1111</v>
      </c>
      <c r="I2393" s="68" t="s">
        <v>726</v>
      </c>
      <c r="J2393" s="70" t="s">
        <v>760</v>
      </c>
      <c r="K2393" s="71" t="s">
        <v>1764</v>
      </c>
      <c r="L2393" s="72">
        <v>41169</v>
      </c>
      <c r="M2393" s="73" t="s">
        <v>729</v>
      </c>
      <c r="N2393" s="74">
        <v>41176</v>
      </c>
      <c r="O2393" s="75">
        <f t="shared" si="559"/>
        <v>41176</v>
      </c>
      <c r="P2393" s="2765" t="s">
        <v>1766</v>
      </c>
      <c r="Q2393" s="2954">
        <v>104.24</v>
      </c>
      <c r="R2393" s="76"/>
      <c r="S2393" s="1945" t="s">
        <v>731</v>
      </c>
      <c r="T2393" s="77"/>
      <c r="U2393" s="1893"/>
      <c r="V2393" s="2079">
        <f t="shared" si="550"/>
        <v>123.00319999999999</v>
      </c>
      <c r="W2393" s="78">
        <f t="shared" si="551"/>
        <v>0</v>
      </c>
      <c r="X2393" s="1878" t="str">
        <f t="shared" si="549"/>
        <v xml:space="preserve">17.- C Vikrant 0660906-OT_173170  Reencauche 030-0021191 </v>
      </c>
      <c r="Z2393" s="19" t="str">
        <f t="shared" si="556"/>
        <v>ReencaucheReencauchadora RENOVA</v>
      </c>
    </row>
    <row r="2394" spans="2:26" outlineLevel="1">
      <c r="B2394" s="3275"/>
      <c r="C2394" s="2">
        <f t="shared" si="557"/>
        <v>174</v>
      </c>
      <c r="D2394" s="3">
        <f t="shared" si="558"/>
        <v>7</v>
      </c>
      <c r="E2394" s="66">
        <v>18</v>
      </c>
      <c r="F2394" s="67" t="s">
        <v>732</v>
      </c>
      <c r="G2394" s="68" t="s">
        <v>737</v>
      </c>
      <c r="H2394" s="69" t="s">
        <v>1556</v>
      </c>
      <c r="I2394" s="68" t="s">
        <v>726</v>
      </c>
      <c r="J2394" s="70" t="s">
        <v>760</v>
      </c>
      <c r="K2394" s="71" t="s">
        <v>1764</v>
      </c>
      <c r="L2394" s="72">
        <v>41169</v>
      </c>
      <c r="M2394" s="73" t="s">
        <v>729</v>
      </c>
      <c r="N2394" s="74">
        <v>41176</v>
      </c>
      <c r="O2394" s="75">
        <f t="shared" si="559"/>
        <v>41176</v>
      </c>
      <c r="P2394" s="2765" t="s">
        <v>1766</v>
      </c>
      <c r="Q2394" s="2954">
        <v>104.24</v>
      </c>
      <c r="R2394" s="76"/>
      <c r="S2394" s="1945" t="s">
        <v>731</v>
      </c>
      <c r="T2394" s="77"/>
      <c r="U2394" s="1893"/>
      <c r="V2394" s="2079">
        <f t="shared" si="550"/>
        <v>123.00319999999999</v>
      </c>
      <c r="W2394" s="78">
        <f t="shared" si="551"/>
        <v>0</v>
      </c>
      <c r="X2394" s="1878" t="str">
        <f t="shared" si="549"/>
        <v xml:space="preserve">18.- C Vikrant 0180310-OT_173170  Reencauche 030-0021191 </v>
      </c>
      <c r="Z2394" s="19" t="str">
        <f t="shared" si="556"/>
        <v>ReencaucheReencauchadora RENOVA</v>
      </c>
    </row>
    <row r="2395" spans="2:26" outlineLevel="1">
      <c r="B2395" s="3275"/>
      <c r="C2395" s="2">
        <f t="shared" si="557"/>
        <v>173</v>
      </c>
      <c r="D2395" s="3">
        <f t="shared" si="558"/>
        <v>6</v>
      </c>
      <c r="E2395" s="66">
        <v>19</v>
      </c>
      <c r="F2395" s="67" t="s">
        <v>732</v>
      </c>
      <c r="G2395" s="68" t="s">
        <v>737</v>
      </c>
      <c r="H2395" s="69" t="s">
        <v>1769</v>
      </c>
      <c r="I2395" s="68" t="s">
        <v>726</v>
      </c>
      <c r="J2395" s="70" t="s">
        <v>760</v>
      </c>
      <c r="K2395" s="71" t="s">
        <v>1764</v>
      </c>
      <c r="L2395" s="72">
        <v>41169</v>
      </c>
      <c r="M2395" s="73" t="s">
        <v>729</v>
      </c>
      <c r="N2395" s="74">
        <v>41176</v>
      </c>
      <c r="O2395" s="75">
        <f t="shared" si="559"/>
        <v>41176</v>
      </c>
      <c r="P2395" s="2765" t="s">
        <v>1766</v>
      </c>
      <c r="Q2395" s="2954">
        <v>104.24</v>
      </c>
      <c r="R2395" s="76"/>
      <c r="S2395" s="1945" t="s">
        <v>731</v>
      </c>
      <c r="T2395" s="77"/>
      <c r="U2395" s="1893"/>
      <c r="V2395" s="2079">
        <f t="shared" si="550"/>
        <v>123.00319999999999</v>
      </c>
      <c r="W2395" s="78">
        <f t="shared" si="551"/>
        <v>0</v>
      </c>
      <c r="X2395" s="1878" t="str">
        <f t="shared" si="549"/>
        <v xml:space="preserve">19.- C Vikrant 1400805-OT_173170  Reencauche 030-0021191 </v>
      </c>
      <c r="Z2395" s="19" t="str">
        <f t="shared" si="556"/>
        <v>ReencaucheReencauchadora RENOVA</v>
      </c>
    </row>
    <row r="2396" spans="2:26" outlineLevel="1">
      <c r="B2396" s="3275"/>
      <c r="C2396" s="2">
        <f t="shared" si="557"/>
        <v>172</v>
      </c>
      <c r="D2396" s="3">
        <f t="shared" si="558"/>
        <v>5</v>
      </c>
      <c r="E2396" s="66">
        <v>20</v>
      </c>
      <c r="F2396" s="67" t="s">
        <v>732</v>
      </c>
      <c r="G2396" s="68" t="s">
        <v>733</v>
      </c>
      <c r="H2396" s="69" t="s">
        <v>1770</v>
      </c>
      <c r="I2396" s="68" t="s">
        <v>726</v>
      </c>
      <c r="J2396" s="70" t="s">
        <v>760</v>
      </c>
      <c r="K2396" s="71" t="s">
        <v>1771</v>
      </c>
      <c r="L2396" s="72">
        <v>41169</v>
      </c>
      <c r="M2396" s="73" t="s">
        <v>729</v>
      </c>
      <c r="N2396" s="74">
        <v>41176</v>
      </c>
      <c r="O2396" s="75">
        <f t="shared" si="559"/>
        <v>41176</v>
      </c>
      <c r="P2396" s="2765" t="s">
        <v>1766</v>
      </c>
      <c r="Q2396" s="2954">
        <v>104.24</v>
      </c>
      <c r="R2396" s="76"/>
      <c r="S2396" s="1945" t="s">
        <v>731</v>
      </c>
      <c r="T2396" s="77"/>
      <c r="U2396" s="1893"/>
      <c r="V2396" s="2079">
        <f t="shared" si="550"/>
        <v>123.00319999999999</v>
      </c>
      <c r="W2396" s="78">
        <f t="shared" si="551"/>
        <v>0</v>
      </c>
      <c r="X2396" s="1878" t="str">
        <f t="shared" si="549"/>
        <v xml:space="preserve">20.- C Lima Caucho 1391202-OT_173171  Reencauche 030-0021191 </v>
      </c>
      <c r="Z2396" s="19" t="str">
        <f t="shared" si="556"/>
        <v>ReencaucheReencauchadora RENOVA</v>
      </c>
    </row>
    <row r="2397" spans="2:26" outlineLevel="1">
      <c r="B2397" s="3275"/>
      <c r="C2397" s="2">
        <f t="shared" si="557"/>
        <v>171</v>
      </c>
      <c r="D2397" s="3">
        <f t="shared" si="558"/>
        <v>4</v>
      </c>
      <c r="E2397" s="66">
        <v>21</v>
      </c>
      <c r="F2397" s="67" t="s">
        <v>732</v>
      </c>
      <c r="G2397" s="68" t="s">
        <v>733</v>
      </c>
      <c r="H2397" s="69" t="s">
        <v>1772</v>
      </c>
      <c r="I2397" s="68" t="s">
        <v>726</v>
      </c>
      <c r="J2397" s="70" t="s">
        <v>760</v>
      </c>
      <c r="K2397" s="71" t="s">
        <v>1771</v>
      </c>
      <c r="L2397" s="72">
        <v>41169</v>
      </c>
      <c r="M2397" s="73" t="s">
        <v>729</v>
      </c>
      <c r="N2397" s="74">
        <v>41176</v>
      </c>
      <c r="O2397" s="75">
        <f t="shared" si="559"/>
        <v>41176</v>
      </c>
      <c r="P2397" s="2765" t="s">
        <v>1766</v>
      </c>
      <c r="Q2397" s="2954">
        <v>104.24</v>
      </c>
      <c r="R2397" s="76"/>
      <c r="S2397" s="1945" t="s">
        <v>731</v>
      </c>
      <c r="T2397" s="77"/>
      <c r="U2397" s="1893"/>
      <c r="V2397" s="2079">
        <f t="shared" si="550"/>
        <v>123.00319999999999</v>
      </c>
      <c r="W2397" s="78">
        <f t="shared" si="551"/>
        <v>0</v>
      </c>
      <c r="X2397" s="1878" t="str">
        <f t="shared" si="549"/>
        <v xml:space="preserve">21.- C Lima Caucho 0750908-OT_173171  Reencauche 030-0021191 </v>
      </c>
      <c r="Z2397" s="19" t="str">
        <f t="shared" si="556"/>
        <v>ReencaucheReencauchadora RENOVA</v>
      </c>
    </row>
    <row r="2398" spans="2:26">
      <c r="B2398" s="3275"/>
      <c r="C2398" s="2">
        <f t="shared" si="557"/>
        <v>170</v>
      </c>
      <c r="D2398" s="3">
        <f t="shared" si="558"/>
        <v>3</v>
      </c>
      <c r="E2398" s="66">
        <v>22</v>
      </c>
      <c r="F2398" s="67" t="s">
        <v>732</v>
      </c>
      <c r="G2398" s="68" t="s">
        <v>733</v>
      </c>
      <c r="H2398" s="69" t="s">
        <v>1395</v>
      </c>
      <c r="I2398" s="68" t="s">
        <v>726</v>
      </c>
      <c r="J2398" s="70" t="s">
        <v>760</v>
      </c>
      <c r="K2398" s="71" t="s">
        <v>1771</v>
      </c>
      <c r="L2398" s="72">
        <v>41169</v>
      </c>
      <c r="M2398" s="73" t="s">
        <v>729</v>
      </c>
      <c r="N2398" s="74">
        <v>41176</v>
      </c>
      <c r="O2398" s="75">
        <f t="shared" si="559"/>
        <v>41176</v>
      </c>
      <c r="P2398" s="2765" t="s">
        <v>1766</v>
      </c>
      <c r="Q2398" s="2954">
        <v>104.24</v>
      </c>
      <c r="R2398" s="76"/>
      <c r="S2398" s="1945" t="s">
        <v>731</v>
      </c>
      <c r="T2398" s="77"/>
      <c r="U2398" s="1893"/>
      <c r="V2398" s="2079">
        <f t="shared" si="550"/>
        <v>123.00319999999999</v>
      </c>
      <c r="W2398" s="78">
        <f t="shared" si="551"/>
        <v>0</v>
      </c>
      <c r="X2398" s="1878" t="str">
        <f t="shared" si="549"/>
        <v xml:space="preserve">22.- C Lima Caucho 1091208-OT_173171  Reencauche 030-0021191 </v>
      </c>
    </row>
    <row r="2399" spans="2:26" ht="14.25" customHeight="1" outlineLevel="1">
      <c r="B2399" s="3275"/>
      <c r="C2399" s="2">
        <f t="shared" si="557"/>
        <v>169</v>
      </c>
      <c r="D2399" s="3">
        <f t="shared" si="558"/>
        <v>2</v>
      </c>
      <c r="E2399" s="66">
        <v>23</v>
      </c>
      <c r="F2399" s="67" t="s">
        <v>732</v>
      </c>
      <c r="G2399" s="68" t="s">
        <v>733</v>
      </c>
      <c r="H2399" s="69" t="s">
        <v>1310</v>
      </c>
      <c r="I2399" s="68" t="s">
        <v>726</v>
      </c>
      <c r="J2399" s="70" t="s">
        <v>760</v>
      </c>
      <c r="K2399" s="71" t="s">
        <v>1771</v>
      </c>
      <c r="L2399" s="72">
        <v>41169</v>
      </c>
      <c r="M2399" s="73" t="s">
        <v>729</v>
      </c>
      <c r="N2399" s="74">
        <v>41176</v>
      </c>
      <c r="O2399" s="75">
        <f t="shared" si="559"/>
        <v>41176</v>
      </c>
      <c r="P2399" s="2765" t="s">
        <v>1766</v>
      </c>
      <c r="Q2399" s="2954">
        <v>104.24</v>
      </c>
      <c r="R2399" s="76"/>
      <c r="S2399" s="1945" t="s">
        <v>731</v>
      </c>
      <c r="T2399" s="77"/>
      <c r="U2399" s="1893"/>
      <c r="V2399" s="2079">
        <f t="shared" si="550"/>
        <v>123.00319999999999</v>
      </c>
      <c r="W2399" s="78">
        <f t="shared" si="551"/>
        <v>0</v>
      </c>
      <c r="X2399" s="1878" t="str">
        <f t="shared" si="549"/>
        <v xml:space="preserve">23.- C Lima Caucho 0871010-OT_173171  Reencauche 030-0021191 </v>
      </c>
      <c r="Z2399" s="19" t="str">
        <f t="shared" ref="Z2399:Z2424" si="560">CONCATENATE(I2402,J2402)</f>
        <v>ReencaucheReencauchadora RENOVA</v>
      </c>
    </row>
    <row r="2400" spans="2:26" outlineLevel="1">
      <c r="B2400" s="3275"/>
      <c r="C2400" s="2">
        <f>1+C2402</f>
        <v>168</v>
      </c>
      <c r="D2400" s="3">
        <f>1+0</f>
        <v>1</v>
      </c>
      <c r="E2400" s="79">
        <v>24</v>
      </c>
      <c r="F2400" s="80" t="s">
        <v>732</v>
      </c>
      <c r="G2400" s="81" t="s">
        <v>733</v>
      </c>
      <c r="H2400" s="82" t="s">
        <v>1217</v>
      </c>
      <c r="I2400" s="81" t="s">
        <v>726</v>
      </c>
      <c r="J2400" s="83" t="s">
        <v>760</v>
      </c>
      <c r="K2400" s="84" t="s">
        <v>1771</v>
      </c>
      <c r="L2400" s="85">
        <v>41169</v>
      </c>
      <c r="M2400" s="86" t="s">
        <v>729</v>
      </c>
      <c r="N2400" s="87">
        <v>41176</v>
      </c>
      <c r="O2400" s="88">
        <f t="shared" si="559"/>
        <v>41176</v>
      </c>
      <c r="P2400" s="2784" t="s">
        <v>1766</v>
      </c>
      <c r="Q2400" s="2955">
        <v>104.24</v>
      </c>
      <c r="R2400" s="89"/>
      <c r="S2400" s="1946" t="s">
        <v>731</v>
      </c>
      <c r="T2400" s="77"/>
      <c r="U2400" s="1893"/>
      <c r="V2400" s="2079">
        <f t="shared" si="550"/>
        <v>123.00319999999999</v>
      </c>
      <c r="W2400" s="78">
        <f t="shared" si="551"/>
        <v>0</v>
      </c>
      <c r="X2400" s="1878" t="str">
        <f t="shared" si="549"/>
        <v xml:space="preserve">24.- C Lima Caucho 0900908-OT_173171  Reencauche 030-0021191 </v>
      </c>
      <c r="Z2400" s="19" t="str">
        <f t="shared" si="560"/>
        <v>ReencaucheReencauchadora RENOVA</v>
      </c>
    </row>
    <row r="2401" spans="2:26" ht="15.75" outlineLevel="1" thickBot="1">
      <c r="B2401" s="3310">
        <v>41122</v>
      </c>
      <c r="C2401" s="3310"/>
      <c r="D2401" s="258">
        <f>+D2402</f>
        <v>25</v>
      </c>
      <c r="E2401" s="66"/>
      <c r="F2401" s="67"/>
      <c r="G2401" s="68"/>
      <c r="H2401" s="69"/>
      <c r="I2401" s="68"/>
      <c r="J2401" s="70"/>
      <c r="K2401" s="71"/>
      <c r="L2401" s="72"/>
      <c r="M2401" s="73"/>
      <c r="N2401" s="74"/>
      <c r="O2401" s="75"/>
      <c r="P2401" s="2765"/>
      <c r="Q2401" s="2954"/>
      <c r="R2401" s="76"/>
      <c r="S2401" s="1945"/>
      <c r="T2401" s="77"/>
      <c r="U2401" s="1893"/>
      <c r="V2401" s="2079">
        <f t="shared" si="550"/>
        <v>0</v>
      </c>
      <c r="W2401" s="78">
        <f t="shared" si="551"/>
        <v>0</v>
      </c>
      <c r="X2401" s="1878" t="str">
        <f t="shared" si="549"/>
        <v xml:space="preserve">.-   -OT_    </v>
      </c>
      <c r="Z2401" s="19" t="str">
        <f t="shared" si="560"/>
        <v>ReencaucheReencauchadora RENOVA</v>
      </c>
    </row>
    <row r="2402" spans="2:26" outlineLevel="1">
      <c r="B2402" s="3274">
        <v>41122</v>
      </c>
      <c r="C2402" s="2">
        <f t="shared" ref="C2402:C2425" si="561">1+C2403</f>
        <v>167</v>
      </c>
      <c r="D2402" s="306">
        <f t="shared" ref="D2402:D2425" si="562">1+D2403</f>
        <v>25</v>
      </c>
      <c r="E2402" s="66">
        <v>1</v>
      </c>
      <c r="F2402" s="67" t="s">
        <v>732</v>
      </c>
      <c r="G2402" s="68" t="s">
        <v>733</v>
      </c>
      <c r="H2402" s="69" t="s">
        <v>953</v>
      </c>
      <c r="I2402" s="68" t="s">
        <v>726</v>
      </c>
      <c r="J2402" s="70" t="s">
        <v>760</v>
      </c>
      <c r="K2402" s="71" t="s">
        <v>1773</v>
      </c>
      <c r="L2402" s="72">
        <v>41131</v>
      </c>
      <c r="M2402" s="73" t="s">
        <v>729</v>
      </c>
      <c r="N2402" s="74">
        <v>41141</v>
      </c>
      <c r="O2402" s="75">
        <f t="shared" ref="O2402:O2427" si="563">+N2402</f>
        <v>41141</v>
      </c>
      <c r="P2402" s="2765" t="s">
        <v>1774</v>
      </c>
      <c r="Q2402" s="2954">
        <v>104.24</v>
      </c>
      <c r="R2402" s="76"/>
      <c r="S2402" s="1945" t="s">
        <v>731</v>
      </c>
      <c r="T2402" s="77"/>
      <c r="U2402" s="1893"/>
      <c r="V2402" s="2079">
        <f t="shared" si="550"/>
        <v>123.00319999999999</v>
      </c>
      <c r="W2402" s="78">
        <f t="shared" si="551"/>
        <v>0</v>
      </c>
      <c r="X2402" s="1878" t="str">
        <f t="shared" ref="X2402:X2465" si="564">CONCATENATE(E2402,".- ",F2402," ",G2402," ",H2402,"-OT_",K2402," "," ",I2402," ",P2402," ",T2402)</f>
        <v xml:space="preserve">1.- C Lima Caucho 0110108-OT_171607  Reencauche 030-0020257 </v>
      </c>
      <c r="Z2402" s="19" t="str">
        <f t="shared" si="560"/>
        <v>ReencaucheReencauchadora RENOVA</v>
      </c>
    </row>
    <row r="2403" spans="2:26" outlineLevel="1">
      <c r="B2403" s="3275"/>
      <c r="C2403" s="2">
        <f t="shared" si="561"/>
        <v>166</v>
      </c>
      <c r="D2403" s="3">
        <f t="shared" si="562"/>
        <v>24</v>
      </c>
      <c r="E2403" s="66">
        <v>2</v>
      </c>
      <c r="F2403" s="67" t="s">
        <v>732</v>
      </c>
      <c r="G2403" s="68" t="s">
        <v>733</v>
      </c>
      <c r="H2403" s="69" t="s">
        <v>1775</v>
      </c>
      <c r="I2403" s="68" t="s">
        <v>726</v>
      </c>
      <c r="J2403" s="70" t="s">
        <v>760</v>
      </c>
      <c r="K2403" s="71" t="s">
        <v>1773</v>
      </c>
      <c r="L2403" s="72">
        <v>41131</v>
      </c>
      <c r="M2403" s="73" t="s">
        <v>729</v>
      </c>
      <c r="N2403" s="74">
        <v>41141</v>
      </c>
      <c r="O2403" s="75">
        <f t="shared" si="563"/>
        <v>41141</v>
      </c>
      <c r="P2403" s="2765" t="s">
        <v>1774</v>
      </c>
      <c r="Q2403" s="2954">
        <v>104.24</v>
      </c>
      <c r="R2403" s="76"/>
      <c r="S2403" s="1945" t="s">
        <v>731</v>
      </c>
      <c r="T2403" s="77"/>
      <c r="U2403" s="1893"/>
      <c r="V2403" s="2079">
        <f t="shared" ref="V2403:V2466" si="565">+Q2403*(1.18)</f>
        <v>123.00319999999999</v>
      </c>
      <c r="W2403" s="78">
        <f t="shared" ref="W2403:W2466" si="566">+R2403*(1.18)</f>
        <v>0</v>
      </c>
      <c r="X2403" s="1878" t="str">
        <f t="shared" si="564"/>
        <v xml:space="preserve">2.- C Lima Caucho 0770908-OT_171607  Reencauche 030-0020257 </v>
      </c>
      <c r="Z2403" s="19" t="str">
        <f t="shared" si="560"/>
        <v>ReencaucheReencauchadora RENOVA</v>
      </c>
    </row>
    <row r="2404" spans="2:26" outlineLevel="1">
      <c r="B2404" s="3275"/>
      <c r="C2404" s="2">
        <f t="shared" si="561"/>
        <v>165</v>
      </c>
      <c r="D2404" s="3">
        <f t="shared" si="562"/>
        <v>23</v>
      </c>
      <c r="E2404" s="66">
        <v>3</v>
      </c>
      <c r="F2404" s="67" t="s">
        <v>732</v>
      </c>
      <c r="G2404" s="68" t="s">
        <v>733</v>
      </c>
      <c r="H2404" s="69" t="s">
        <v>851</v>
      </c>
      <c r="I2404" s="68" t="s">
        <v>726</v>
      </c>
      <c r="J2404" s="70" t="s">
        <v>760</v>
      </c>
      <c r="K2404" s="71" t="s">
        <v>1773</v>
      </c>
      <c r="L2404" s="72">
        <v>41131</v>
      </c>
      <c r="M2404" s="73" t="s">
        <v>729</v>
      </c>
      <c r="N2404" s="74">
        <v>41141</v>
      </c>
      <c r="O2404" s="75">
        <f t="shared" si="563"/>
        <v>41141</v>
      </c>
      <c r="P2404" s="2765" t="s">
        <v>1774</v>
      </c>
      <c r="Q2404" s="2954">
        <v>104.24</v>
      </c>
      <c r="R2404" s="76"/>
      <c r="S2404" s="1945" t="s">
        <v>731</v>
      </c>
      <c r="T2404" s="77"/>
      <c r="U2404" s="1893"/>
      <c r="V2404" s="2079">
        <f t="shared" si="565"/>
        <v>123.00319999999999</v>
      </c>
      <c r="W2404" s="78">
        <f t="shared" si="566"/>
        <v>0</v>
      </c>
      <c r="X2404" s="1878" t="str">
        <f t="shared" si="564"/>
        <v xml:space="preserve">3.- C Lima Caucho 1211207-OT_171607  Reencauche 030-0020257 </v>
      </c>
      <c r="Z2404" s="19" t="str">
        <f t="shared" si="560"/>
        <v>ReencaucheReencauchadora RENOVA</v>
      </c>
    </row>
    <row r="2405" spans="2:26" outlineLevel="1">
      <c r="B2405" s="3275"/>
      <c r="C2405" s="2">
        <f t="shared" si="561"/>
        <v>164</v>
      </c>
      <c r="D2405" s="3">
        <f t="shared" si="562"/>
        <v>22</v>
      </c>
      <c r="E2405" s="66">
        <v>4</v>
      </c>
      <c r="F2405" s="67" t="s">
        <v>732</v>
      </c>
      <c r="G2405" s="68" t="s">
        <v>733</v>
      </c>
      <c r="H2405" s="69" t="s">
        <v>1366</v>
      </c>
      <c r="I2405" s="68" t="s">
        <v>726</v>
      </c>
      <c r="J2405" s="70" t="s">
        <v>760</v>
      </c>
      <c r="K2405" s="71" t="s">
        <v>1773</v>
      </c>
      <c r="L2405" s="72">
        <v>41131</v>
      </c>
      <c r="M2405" s="73" t="s">
        <v>729</v>
      </c>
      <c r="N2405" s="74">
        <v>41141</v>
      </c>
      <c r="O2405" s="75">
        <f t="shared" si="563"/>
        <v>41141</v>
      </c>
      <c r="P2405" s="2765" t="s">
        <v>1774</v>
      </c>
      <c r="Q2405" s="2954">
        <v>104.24</v>
      </c>
      <c r="R2405" s="76"/>
      <c r="S2405" s="1945" t="s">
        <v>731</v>
      </c>
      <c r="T2405" s="77"/>
      <c r="U2405" s="1893"/>
      <c r="V2405" s="2079">
        <f t="shared" si="565"/>
        <v>123.00319999999999</v>
      </c>
      <c r="W2405" s="78">
        <f t="shared" si="566"/>
        <v>0</v>
      </c>
      <c r="X2405" s="1878" t="str">
        <f t="shared" si="564"/>
        <v xml:space="preserve">4.- C Lima Caucho 0150108-OT_171607  Reencauche 030-0020257 </v>
      </c>
      <c r="Z2405" s="19" t="str">
        <f t="shared" si="560"/>
        <v>ReencaucheReencauchadora RENOVA</v>
      </c>
    </row>
    <row r="2406" spans="2:26" outlineLevel="1">
      <c r="B2406" s="3275"/>
      <c r="C2406" s="2">
        <f t="shared" si="561"/>
        <v>163</v>
      </c>
      <c r="D2406" s="3">
        <f t="shared" si="562"/>
        <v>21</v>
      </c>
      <c r="E2406" s="66">
        <v>5</v>
      </c>
      <c r="F2406" s="67" t="s">
        <v>732</v>
      </c>
      <c r="G2406" s="68" t="s">
        <v>733</v>
      </c>
      <c r="H2406" s="69" t="s">
        <v>1628</v>
      </c>
      <c r="I2406" s="68" t="s">
        <v>726</v>
      </c>
      <c r="J2406" s="70" t="s">
        <v>760</v>
      </c>
      <c r="K2406" s="71" t="s">
        <v>1773</v>
      </c>
      <c r="L2406" s="72">
        <v>41131</v>
      </c>
      <c r="M2406" s="73" t="s">
        <v>729</v>
      </c>
      <c r="N2406" s="74">
        <v>41141</v>
      </c>
      <c r="O2406" s="75">
        <f t="shared" si="563"/>
        <v>41141</v>
      </c>
      <c r="P2406" s="2765" t="s">
        <v>1774</v>
      </c>
      <c r="Q2406" s="2954">
        <v>104.24</v>
      </c>
      <c r="R2406" s="76"/>
      <c r="S2406" s="1945" t="s">
        <v>731</v>
      </c>
      <c r="T2406" s="77"/>
      <c r="U2406" s="1893"/>
      <c r="V2406" s="2079">
        <f t="shared" si="565"/>
        <v>123.00319999999999</v>
      </c>
      <c r="W2406" s="78">
        <f t="shared" si="566"/>
        <v>0</v>
      </c>
      <c r="X2406" s="1878" t="str">
        <f t="shared" si="564"/>
        <v xml:space="preserve">5.- C Lima Caucho 1441207-OT_171607  Reencauche 030-0020257 </v>
      </c>
      <c r="Z2406" s="19" t="str">
        <f t="shared" si="560"/>
        <v>ReencaucheReencauchadora RENOVA</v>
      </c>
    </row>
    <row r="2407" spans="2:26" outlineLevel="1">
      <c r="B2407" s="3275"/>
      <c r="C2407" s="2">
        <f t="shared" si="561"/>
        <v>162</v>
      </c>
      <c r="D2407" s="3">
        <f t="shared" si="562"/>
        <v>20</v>
      </c>
      <c r="E2407" s="66">
        <v>6</v>
      </c>
      <c r="F2407" s="67" t="s">
        <v>732</v>
      </c>
      <c r="G2407" s="68" t="s">
        <v>733</v>
      </c>
      <c r="H2407" s="69" t="s">
        <v>1581</v>
      </c>
      <c r="I2407" s="68" t="s">
        <v>726</v>
      </c>
      <c r="J2407" s="70" t="s">
        <v>760</v>
      </c>
      <c r="K2407" s="71" t="s">
        <v>1773</v>
      </c>
      <c r="L2407" s="72">
        <v>41131</v>
      </c>
      <c r="M2407" s="73" t="s">
        <v>729</v>
      </c>
      <c r="N2407" s="74">
        <v>41141</v>
      </c>
      <c r="O2407" s="75">
        <f t="shared" si="563"/>
        <v>41141</v>
      </c>
      <c r="P2407" s="2765" t="s">
        <v>1774</v>
      </c>
      <c r="Q2407" s="2954">
        <v>104.24</v>
      </c>
      <c r="R2407" s="76"/>
      <c r="S2407" s="1945" t="s">
        <v>731</v>
      </c>
      <c r="T2407" s="77"/>
      <c r="U2407" s="1893"/>
      <c r="V2407" s="2079">
        <f t="shared" si="565"/>
        <v>123.00319999999999</v>
      </c>
      <c r="W2407" s="78">
        <f t="shared" si="566"/>
        <v>0</v>
      </c>
      <c r="X2407" s="1878" t="str">
        <f t="shared" si="564"/>
        <v xml:space="preserve">6.- C Lima Caucho 0700810-OT_171607  Reencauche 030-0020257 </v>
      </c>
      <c r="Z2407" s="19" t="str">
        <f t="shared" si="560"/>
        <v>ReencaucheReencauchadora RENOVA</v>
      </c>
    </row>
    <row r="2408" spans="2:26" outlineLevel="1">
      <c r="B2408" s="3275"/>
      <c r="C2408" s="2">
        <f t="shared" si="561"/>
        <v>161</v>
      </c>
      <c r="D2408" s="3">
        <f t="shared" si="562"/>
        <v>19</v>
      </c>
      <c r="E2408" s="66">
        <v>7</v>
      </c>
      <c r="F2408" s="67" t="s">
        <v>732</v>
      </c>
      <c r="G2408" s="68" t="s">
        <v>733</v>
      </c>
      <c r="H2408" s="69" t="s">
        <v>741</v>
      </c>
      <c r="I2408" s="68" t="s">
        <v>726</v>
      </c>
      <c r="J2408" s="70" t="s">
        <v>760</v>
      </c>
      <c r="K2408" s="71" t="s">
        <v>1776</v>
      </c>
      <c r="L2408" s="72">
        <v>41131</v>
      </c>
      <c r="M2408" s="73" t="s">
        <v>729</v>
      </c>
      <c r="N2408" s="74">
        <v>41141</v>
      </c>
      <c r="O2408" s="75">
        <f t="shared" si="563"/>
        <v>41141</v>
      </c>
      <c r="P2408" s="2765" t="s">
        <v>1774</v>
      </c>
      <c r="Q2408" s="2954">
        <v>104.24</v>
      </c>
      <c r="R2408" s="76"/>
      <c r="S2408" s="1945" t="s">
        <v>731</v>
      </c>
      <c r="T2408" s="77"/>
      <c r="U2408" s="1893"/>
      <c r="V2408" s="2079">
        <f t="shared" si="565"/>
        <v>123.00319999999999</v>
      </c>
      <c r="W2408" s="78">
        <f t="shared" si="566"/>
        <v>0</v>
      </c>
      <c r="X2408" s="1878" t="str">
        <f t="shared" si="564"/>
        <v xml:space="preserve">7.- C Lima Caucho 0560708-OT_171608  Reencauche 030-0020257 </v>
      </c>
      <c r="Z2408" s="19" t="str">
        <f t="shared" si="560"/>
        <v>ReencaucheReencauchadora RENOVA</v>
      </c>
    </row>
    <row r="2409" spans="2:26" outlineLevel="1">
      <c r="B2409" s="3275"/>
      <c r="C2409" s="2">
        <f t="shared" si="561"/>
        <v>160</v>
      </c>
      <c r="D2409" s="3">
        <f t="shared" si="562"/>
        <v>18</v>
      </c>
      <c r="E2409" s="66">
        <v>8</v>
      </c>
      <c r="F2409" s="67" t="s">
        <v>732</v>
      </c>
      <c r="G2409" s="68" t="s">
        <v>733</v>
      </c>
      <c r="H2409" s="69" t="s">
        <v>1026</v>
      </c>
      <c r="I2409" s="68" t="s">
        <v>726</v>
      </c>
      <c r="J2409" s="70" t="s">
        <v>760</v>
      </c>
      <c r="K2409" s="71" t="s">
        <v>1776</v>
      </c>
      <c r="L2409" s="72">
        <v>41131</v>
      </c>
      <c r="M2409" s="73" t="s">
        <v>729</v>
      </c>
      <c r="N2409" s="74">
        <v>41141</v>
      </c>
      <c r="O2409" s="75">
        <f t="shared" si="563"/>
        <v>41141</v>
      </c>
      <c r="P2409" s="2765" t="s">
        <v>1774</v>
      </c>
      <c r="Q2409" s="2954">
        <v>104.24</v>
      </c>
      <c r="R2409" s="76"/>
      <c r="S2409" s="1945" t="s">
        <v>731</v>
      </c>
      <c r="T2409" s="77"/>
      <c r="U2409" s="1893"/>
      <c r="V2409" s="2079">
        <f t="shared" si="565"/>
        <v>123.00319999999999</v>
      </c>
      <c r="W2409" s="78">
        <f t="shared" si="566"/>
        <v>0</v>
      </c>
      <c r="X2409" s="1878" t="str">
        <f t="shared" si="564"/>
        <v xml:space="preserve">8.- C Lima Caucho 0250508-OT_171608  Reencauche 030-0020257 </v>
      </c>
      <c r="Z2409" s="19" t="str">
        <f t="shared" si="560"/>
        <v>ReencaucheReencauchadora RENOVA</v>
      </c>
    </row>
    <row r="2410" spans="2:26" outlineLevel="1">
      <c r="B2410" s="3275"/>
      <c r="C2410" s="2">
        <f t="shared" si="561"/>
        <v>159</v>
      </c>
      <c r="D2410" s="3">
        <f t="shared" si="562"/>
        <v>17</v>
      </c>
      <c r="E2410" s="66">
        <v>9</v>
      </c>
      <c r="F2410" s="67" t="s">
        <v>732</v>
      </c>
      <c r="G2410" s="68" t="s">
        <v>733</v>
      </c>
      <c r="H2410" s="69" t="s">
        <v>1550</v>
      </c>
      <c r="I2410" s="68" t="s">
        <v>726</v>
      </c>
      <c r="J2410" s="70" t="s">
        <v>760</v>
      </c>
      <c r="K2410" s="71" t="s">
        <v>1776</v>
      </c>
      <c r="L2410" s="72">
        <v>41131</v>
      </c>
      <c r="M2410" s="73" t="s">
        <v>729</v>
      </c>
      <c r="N2410" s="74">
        <v>41141</v>
      </c>
      <c r="O2410" s="75">
        <f t="shared" si="563"/>
        <v>41141</v>
      </c>
      <c r="P2410" s="2765" t="s">
        <v>1774</v>
      </c>
      <c r="Q2410" s="2954">
        <v>104.24</v>
      </c>
      <c r="R2410" s="76"/>
      <c r="S2410" s="1945" t="s">
        <v>731</v>
      </c>
      <c r="T2410" s="77"/>
      <c r="U2410" s="1893"/>
      <c r="V2410" s="2079">
        <f t="shared" si="565"/>
        <v>123.00319999999999</v>
      </c>
      <c r="W2410" s="78">
        <f t="shared" si="566"/>
        <v>0</v>
      </c>
      <c r="X2410" s="1878" t="str">
        <f t="shared" si="564"/>
        <v xml:space="preserve">9.- C Lima Caucho 0790908-OT_171608  Reencauche 030-0020257 </v>
      </c>
      <c r="Z2410" s="19" t="str">
        <f t="shared" si="560"/>
        <v>ReencaucheReencauchadora RENOVA</v>
      </c>
    </row>
    <row r="2411" spans="2:26" outlineLevel="1">
      <c r="B2411" s="3275"/>
      <c r="C2411" s="2">
        <f t="shared" si="561"/>
        <v>158</v>
      </c>
      <c r="D2411" s="3">
        <f t="shared" si="562"/>
        <v>16</v>
      </c>
      <c r="E2411" s="66">
        <v>10</v>
      </c>
      <c r="F2411" s="67" t="s">
        <v>732</v>
      </c>
      <c r="G2411" s="68" t="s">
        <v>733</v>
      </c>
      <c r="H2411" s="69" t="s">
        <v>1777</v>
      </c>
      <c r="I2411" s="68" t="s">
        <v>726</v>
      </c>
      <c r="J2411" s="70" t="s">
        <v>760</v>
      </c>
      <c r="K2411" s="71" t="s">
        <v>1776</v>
      </c>
      <c r="L2411" s="72">
        <v>41131</v>
      </c>
      <c r="M2411" s="73" t="s">
        <v>729</v>
      </c>
      <c r="N2411" s="74">
        <v>41141</v>
      </c>
      <c r="O2411" s="75">
        <f t="shared" si="563"/>
        <v>41141</v>
      </c>
      <c r="P2411" s="2765" t="s">
        <v>1774</v>
      </c>
      <c r="Q2411" s="2954">
        <v>104.24</v>
      </c>
      <c r="R2411" s="76"/>
      <c r="S2411" s="1945" t="s">
        <v>731</v>
      </c>
      <c r="T2411" s="77"/>
      <c r="U2411" s="1893"/>
      <c r="V2411" s="2079">
        <f t="shared" si="565"/>
        <v>123.00319999999999</v>
      </c>
      <c r="W2411" s="78">
        <f t="shared" si="566"/>
        <v>0</v>
      </c>
      <c r="X2411" s="1878" t="str">
        <f t="shared" si="564"/>
        <v xml:space="preserve">10.- C Lima Caucho 0530708-OT_171608  Reencauche 030-0020257 </v>
      </c>
      <c r="Z2411" s="19" t="str">
        <f t="shared" si="560"/>
        <v>ReencaucheReencauchadora RENOVA</v>
      </c>
    </row>
    <row r="2412" spans="2:26" outlineLevel="1">
      <c r="B2412" s="3275"/>
      <c r="C2412" s="2">
        <f t="shared" si="561"/>
        <v>157</v>
      </c>
      <c r="D2412" s="3">
        <f t="shared" si="562"/>
        <v>15</v>
      </c>
      <c r="E2412" s="66">
        <v>11</v>
      </c>
      <c r="F2412" s="67" t="s">
        <v>732</v>
      </c>
      <c r="G2412" s="68" t="s">
        <v>737</v>
      </c>
      <c r="H2412" s="69" t="s">
        <v>1530</v>
      </c>
      <c r="I2412" s="68" t="s">
        <v>726</v>
      </c>
      <c r="J2412" s="70" t="s">
        <v>760</v>
      </c>
      <c r="K2412" s="71" t="s">
        <v>1778</v>
      </c>
      <c r="L2412" s="72">
        <v>41131</v>
      </c>
      <c r="M2412" s="73" t="s">
        <v>729</v>
      </c>
      <c r="N2412" s="74">
        <v>41141</v>
      </c>
      <c r="O2412" s="75">
        <f t="shared" si="563"/>
        <v>41141</v>
      </c>
      <c r="P2412" s="2765" t="s">
        <v>1774</v>
      </c>
      <c r="Q2412" s="2954">
        <v>104.24</v>
      </c>
      <c r="R2412" s="76"/>
      <c r="S2412" s="1945" t="s">
        <v>731</v>
      </c>
      <c r="T2412" s="77"/>
      <c r="U2412" s="1893"/>
      <c r="V2412" s="2079">
        <f t="shared" si="565"/>
        <v>123.00319999999999</v>
      </c>
      <c r="W2412" s="78">
        <f t="shared" si="566"/>
        <v>0</v>
      </c>
      <c r="X2412" s="1878" t="str">
        <f t="shared" si="564"/>
        <v xml:space="preserve">11.- C Vikrant 09022010-OT_171609  Reencauche 030-0020257 </v>
      </c>
      <c r="Z2412" s="19" t="str">
        <f t="shared" si="560"/>
        <v>ReencaucheReencauchadora RENOVA</v>
      </c>
    </row>
    <row r="2413" spans="2:26" outlineLevel="1">
      <c r="B2413" s="3275"/>
      <c r="C2413" s="2">
        <f t="shared" si="561"/>
        <v>156</v>
      </c>
      <c r="D2413" s="3">
        <f t="shared" si="562"/>
        <v>14</v>
      </c>
      <c r="E2413" s="66">
        <v>12</v>
      </c>
      <c r="F2413" s="67" t="s">
        <v>732</v>
      </c>
      <c r="G2413" s="68" t="s">
        <v>814</v>
      </c>
      <c r="H2413" s="69" t="s">
        <v>815</v>
      </c>
      <c r="I2413" s="68" t="s">
        <v>726</v>
      </c>
      <c r="J2413" s="70" t="s">
        <v>760</v>
      </c>
      <c r="K2413" s="71" t="s">
        <v>1778</v>
      </c>
      <c r="L2413" s="72">
        <v>41131</v>
      </c>
      <c r="M2413" s="73" t="s">
        <v>729</v>
      </c>
      <c r="N2413" s="74">
        <v>41141</v>
      </c>
      <c r="O2413" s="75">
        <f t="shared" si="563"/>
        <v>41141</v>
      </c>
      <c r="P2413" s="2765" t="s">
        <v>1774</v>
      </c>
      <c r="Q2413" s="2954">
        <v>104.24</v>
      </c>
      <c r="R2413" s="76"/>
      <c r="S2413" s="1945" t="s">
        <v>731</v>
      </c>
      <c r="T2413" s="77"/>
      <c r="U2413" s="1893"/>
      <c r="V2413" s="2079">
        <f t="shared" si="565"/>
        <v>123.00319999999999</v>
      </c>
      <c r="W2413" s="78">
        <f t="shared" si="566"/>
        <v>0</v>
      </c>
      <c r="X2413" s="1878" t="str">
        <f t="shared" si="564"/>
        <v xml:space="preserve">12.- C Birla 0570806-OT_171609  Reencauche 030-0020257 </v>
      </c>
      <c r="Z2413" s="19" t="str">
        <f t="shared" si="560"/>
        <v>ReencaucheReencauchadora RENOVA</v>
      </c>
    </row>
    <row r="2414" spans="2:26" outlineLevel="1">
      <c r="B2414" s="3275"/>
      <c r="C2414" s="2">
        <f t="shared" si="561"/>
        <v>155</v>
      </c>
      <c r="D2414" s="3">
        <f t="shared" si="562"/>
        <v>13</v>
      </c>
      <c r="E2414" s="66">
        <v>13</v>
      </c>
      <c r="F2414" s="67" t="s">
        <v>732</v>
      </c>
      <c r="G2414" s="68" t="s">
        <v>733</v>
      </c>
      <c r="H2414" s="69" t="s">
        <v>983</v>
      </c>
      <c r="I2414" s="68" t="s">
        <v>726</v>
      </c>
      <c r="J2414" s="70" t="s">
        <v>760</v>
      </c>
      <c r="K2414" s="71" t="s">
        <v>1773</v>
      </c>
      <c r="L2414" s="72">
        <v>41131</v>
      </c>
      <c r="M2414" s="73" t="s">
        <v>729</v>
      </c>
      <c r="N2414" s="74">
        <v>41141</v>
      </c>
      <c r="O2414" s="75">
        <f t="shared" si="563"/>
        <v>41141</v>
      </c>
      <c r="P2414" s="2765" t="s">
        <v>1779</v>
      </c>
      <c r="Q2414" s="2954">
        <v>104.24</v>
      </c>
      <c r="R2414" s="76"/>
      <c r="S2414" s="1945" t="s">
        <v>731</v>
      </c>
      <c r="T2414" s="77"/>
      <c r="U2414" s="1893"/>
      <c r="V2414" s="2079">
        <f t="shared" si="565"/>
        <v>123.00319999999999</v>
      </c>
      <c r="W2414" s="78">
        <f t="shared" si="566"/>
        <v>0</v>
      </c>
      <c r="X2414" s="1878" t="str">
        <f t="shared" si="564"/>
        <v xml:space="preserve">13.- C Lima Caucho 1211210-OT_171607  Reencauche 030-0020258 </v>
      </c>
      <c r="Z2414" s="19" t="str">
        <f t="shared" si="560"/>
        <v>ReencaucheReencauchadora RENOVA</v>
      </c>
    </row>
    <row r="2415" spans="2:26" outlineLevel="1">
      <c r="B2415" s="3275"/>
      <c r="C2415" s="2">
        <f t="shared" si="561"/>
        <v>154</v>
      </c>
      <c r="D2415" s="3">
        <f t="shared" si="562"/>
        <v>12</v>
      </c>
      <c r="E2415" s="66">
        <v>14</v>
      </c>
      <c r="F2415" s="67" t="s">
        <v>732</v>
      </c>
      <c r="G2415" s="68" t="s">
        <v>733</v>
      </c>
      <c r="H2415" s="69" t="s">
        <v>1780</v>
      </c>
      <c r="I2415" s="68" t="s">
        <v>726</v>
      </c>
      <c r="J2415" s="70" t="s">
        <v>760</v>
      </c>
      <c r="K2415" s="71" t="s">
        <v>1773</v>
      </c>
      <c r="L2415" s="72">
        <v>41131</v>
      </c>
      <c r="M2415" s="73" t="s">
        <v>729</v>
      </c>
      <c r="N2415" s="74">
        <v>41141</v>
      </c>
      <c r="O2415" s="75">
        <f t="shared" si="563"/>
        <v>41141</v>
      </c>
      <c r="P2415" s="2765" t="s">
        <v>1779</v>
      </c>
      <c r="Q2415" s="2954">
        <v>104.24</v>
      </c>
      <c r="R2415" s="76"/>
      <c r="S2415" s="1945" t="s">
        <v>731</v>
      </c>
      <c r="T2415" s="77"/>
      <c r="U2415" s="1893"/>
      <c r="V2415" s="2079">
        <f t="shared" si="565"/>
        <v>123.00319999999999</v>
      </c>
      <c r="W2415" s="78">
        <f t="shared" si="566"/>
        <v>0</v>
      </c>
      <c r="X2415" s="1878" t="str">
        <f t="shared" si="564"/>
        <v xml:space="preserve">14.- C Lima Caucho 1041206-OT_171607  Reencauche 030-0020258 </v>
      </c>
      <c r="Z2415" s="19" t="str">
        <f t="shared" si="560"/>
        <v>ReencaucheReencauchadora RENOVA</v>
      </c>
    </row>
    <row r="2416" spans="2:26" outlineLevel="1">
      <c r="B2416" s="3275"/>
      <c r="C2416" s="2">
        <f t="shared" si="561"/>
        <v>153</v>
      </c>
      <c r="D2416" s="3">
        <f t="shared" si="562"/>
        <v>11</v>
      </c>
      <c r="E2416" s="66">
        <v>15</v>
      </c>
      <c r="F2416" s="67" t="s">
        <v>732</v>
      </c>
      <c r="G2416" s="68" t="s">
        <v>733</v>
      </c>
      <c r="H2416" s="69" t="s">
        <v>1406</v>
      </c>
      <c r="I2416" s="68" t="s">
        <v>726</v>
      </c>
      <c r="J2416" s="70" t="s">
        <v>760</v>
      </c>
      <c r="K2416" s="71" t="s">
        <v>1773</v>
      </c>
      <c r="L2416" s="72">
        <v>41131</v>
      </c>
      <c r="M2416" s="73" t="s">
        <v>729</v>
      </c>
      <c r="N2416" s="74">
        <v>41141</v>
      </c>
      <c r="O2416" s="75">
        <f t="shared" si="563"/>
        <v>41141</v>
      </c>
      <c r="P2416" s="2765" t="s">
        <v>1779</v>
      </c>
      <c r="Q2416" s="2954">
        <v>104.24</v>
      </c>
      <c r="R2416" s="76"/>
      <c r="S2416" s="1945" t="s">
        <v>731</v>
      </c>
      <c r="T2416" s="77"/>
      <c r="U2416" s="1893"/>
      <c r="V2416" s="2079">
        <f t="shared" si="565"/>
        <v>123.00319999999999</v>
      </c>
      <c r="W2416" s="78">
        <f t="shared" si="566"/>
        <v>0</v>
      </c>
      <c r="X2416" s="1878" t="str">
        <f t="shared" si="564"/>
        <v xml:space="preserve">15.- C Lima Caucho 0540708-OT_171607  Reencauche 030-0020258 </v>
      </c>
      <c r="Z2416" s="19" t="str">
        <f t="shared" si="560"/>
        <v>ReencaucheReencauchadora RENOVA</v>
      </c>
    </row>
    <row r="2417" spans="2:26" outlineLevel="1">
      <c r="B2417" s="3275"/>
      <c r="C2417" s="2">
        <f t="shared" si="561"/>
        <v>152</v>
      </c>
      <c r="D2417" s="3">
        <f t="shared" si="562"/>
        <v>10</v>
      </c>
      <c r="E2417" s="66">
        <v>16</v>
      </c>
      <c r="F2417" s="67" t="s">
        <v>732</v>
      </c>
      <c r="G2417" s="68" t="s">
        <v>733</v>
      </c>
      <c r="H2417" s="69" t="s">
        <v>1612</v>
      </c>
      <c r="I2417" s="68" t="s">
        <v>726</v>
      </c>
      <c r="J2417" s="70" t="s">
        <v>760</v>
      </c>
      <c r="K2417" s="71" t="s">
        <v>1773</v>
      </c>
      <c r="L2417" s="72">
        <v>41131</v>
      </c>
      <c r="M2417" s="73" t="s">
        <v>729</v>
      </c>
      <c r="N2417" s="74">
        <v>41141</v>
      </c>
      <c r="O2417" s="75">
        <f t="shared" si="563"/>
        <v>41141</v>
      </c>
      <c r="P2417" s="2765" t="s">
        <v>1779</v>
      </c>
      <c r="Q2417" s="2954">
        <v>104.24</v>
      </c>
      <c r="R2417" s="76"/>
      <c r="S2417" s="1945" t="s">
        <v>731</v>
      </c>
      <c r="T2417" s="77"/>
      <c r="U2417" s="1893"/>
      <c r="V2417" s="2079">
        <f t="shared" si="565"/>
        <v>123.00319999999999</v>
      </c>
      <c r="W2417" s="78">
        <f t="shared" si="566"/>
        <v>0</v>
      </c>
      <c r="X2417" s="1878" t="str">
        <f t="shared" si="564"/>
        <v xml:space="preserve">16.- C Lima Caucho 0650808-OT_171607  Reencauche 030-0020258 </v>
      </c>
      <c r="Z2417" s="19" t="str">
        <f t="shared" si="560"/>
        <v>ReencaucheReencauchadora RENOVA</v>
      </c>
    </row>
    <row r="2418" spans="2:26" outlineLevel="1">
      <c r="B2418" s="3275"/>
      <c r="C2418" s="2">
        <f t="shared" si="561"/>
        <v>151</v>
      </c>
      <c r="D2418" s="3">
        <f t="shared" si="562"/>
        <v>9</v>
      </c>
      <c r="E2418" s="66">
        <v>17</v>
      </c>
      <c r="F2418" s="67" t="s">
        <v>732</v>
      </c>
      <c r="G2418" s="68" t="s">
        <v>769</v>
      </c>
      <c r="H2418" s="69" t="s">
        <v>1781</v>
      </c>
      <c r="I2418" s="68" t="s">
        <v>726</v>
      </c>
      <c r="J2418" s="70" t="s">
        <v>760</v>
      </c>
      <c r="K2418" s="71" t="s">
        <v>1776</v>
      </c>
      <c r="L2418" s="72">
        <v>41131</v>
      </c>
      <c r="M2418" s="73" t="s">
        <v>729</v>
      </c>
      <c r="N2418" s="74">
        <v>41141</v>
      </c>
      <c r="O2418" s="75">
        <f t="shared" si="563"/>
        <v>41141</v>
      </c>
      <c r="P2418" s="2765" t="s">
        <v>1779</v>
      </c>
      <c r="Q2418" s="2954">
        <v>104.24</v>
      </c>
      <c r="R2418" s="76"/>
      <c r="S2418" s="1945" t="s">
        <v>731</v>
      </c>
      <c r="T2418" s="77"/>
      <c r="U2418" s="1893"/>
      <c r="V2418" s="2079">
        <f t="shared" si="565"/>
        <v>123.00319999999999</v>
      </c>
      <c r="W2418" s="78">
        <f t="shared" si="566"/>
        <v>0</v>
      </c>
      <c r="X2418" s="1878" t="str">
        <f t="shared" si="564"/>
        <v xml:space="preserve">17.- C Lu He 0220209-OT_171608  Reencauche 030-0020258 </v>
      </c>
      <c r="Z2418" s="19" t="str">
        <f t="shared" si="560"/>
        <v>ReencaucheReencauchadora RENOVA</v>
      </c>
    </row>
    <row r="2419" spans="2:26" outlineLevel="1">
      <c r="B2419" s="3275"/>
      <c r="C2419" s="2">
        <f t="shared" si="561"/>
        <v>150</v>
      </c>
      <c r="D2419" s="3">
        <f t="shared" si="562"/>
        <v>8</v>
      </c>
      <c r="E2419" s="66">
        <v>18</v>
      </c>
      <c r="F2419" s="67" t="s">
        <v>732</v>
      </c>
      <c r="G2419" s="68" t="s">
        <v>733</v>
      </c>
      <c r="H2419" s="69" t="s">
        <v>965</v>
      </c>
      <c r="I2419" s="68" t="s">
        <v>726</v>
      </c>
      <c r="J2419" s="70" t="s">
        <v>760</v>
      </c>
      <c r="K2419" s="71" t="s">
        <v>1776</v>
      </c>
      <c r="L2419" s="72">
        <v>41131</v>
      </c>
      <c r="M2419" s="73" t="s">
        <v>729</v>
      </c>
      <c r="N2419" s="74">
        <v>41141</v>
      </c>
      <c r="O2419" s="75">
        <f t="shared" si="563"/>
        <v>41141</v>
      </c>
      <c r="P2419" s="2765" t="s">
        <v>1779</v>
      </c>
      <c r="Q2419" s="2954">
        <v>104.24</v>
      </c>
      <c r="R2419" s="76"/>
      <c r="S2419" s="1945" t="s">
        <v>731</v>
      </c>
      <c r="T2419" s="77"/>
      <c r="U2419" s="1893"/>
      <c r="V2419" s="2079">
        <f t="shared" si="565"/>
        <v>123.00319999999999</v>
      </c>
      <c r="W2419" s="78">
        <f t="shared" si="566"/>
        <v>0</v>
      </c>
      <c r="X2419" s="1878" t="str">
        <f t="shared" si="564"/>
        <v xml:space="preserve">18.- C Lima Caucho 0290508-OT_171608  Reencauche 030-0020258 </v>
      </c>
      <c r="Z2419" s="19" t="str">
        <f t="shared" si="560"/>
        <v>ReencaucheReencauchadora RENOVA</v>
      </c>
    </row>
    <row r="2420" spans="2:26" outlineLevel="1">
      <c r="B2420" s="3275"/>
      <c r="C2420" s="2">
        <f t="shared" si="561"/>
        <v>149</v>
      </c>
      <c r="D2420" s="3">
        <f t="shared" si="562"/>
        <v>7</v>
      </c>
      <c r="E2420" s="66">
        <v>19</v>
      </c>
      <c r="F2420" s="67" t="s">
        <v>732</v>
      </c>
      <c r="G2420" s="68" t="s">
        <v>733</v>
      </c>
      <c r="H2420" s="69" t="s">
        <v>1402</v>
      </c>
      <c r="I2420" s="68" t="s">
        <v>726</v>
      </c>
      <c r="J2420" s="70" t="s">
        <v>760</v>
      </c>
      <c r="K2420" s="71" t="s">
        <v>1776</v>
      </c>
      <c r="L2420" s="72">
        <v>41131</v>
      </c>
      <c r="M2420" s="73" t="s">
        <v>729</v>
      </c>
      <c r="N2420" s="74">
        <v>41141</v>
      </c>
      <c r="O2420" s="75">
        <f t="shared" si="563"/>
        <v>41141</v>
      </c>
      <c r="P2420" s="2765" t="s">
        <v>1779</v>
      </c>
      <c r="Q2420" s="2954">
        <v>104.24</v>
      </c>
      <c r="R2420" s="76"/>
      <c r="S2420" s="1945" t="s">
        <v>731</v>
      </c>
      <c r="T2420" s="77"/>
      <c r="U2420" s="1893"/>
      <c r="V2420" s="2079">
        <f t="shared" si="565"/>
        <v>123.00319999999999</v>
      </c>
      <c r="W2420" s="78">
        <f t="shared" si="566"/>
        <v>0</v>
      </c>
      <c r="X2420" s="1878" t="str">
        <f t="shared" si="564"/>
        <v xml:space="preserve">19.- C Lima Caucho 0440608-OT_171608  Reencauche 030-0020258 </v>
      </c>
      <c r="Z2420" s="19" t="str">
        <f t="shared" si="560"/>
        <v>ReencaucheReencauchadora RENOVA</v>
      </c>
    </row>
    <row r="2421" spans="2:26" outlineLevel="1">
      <c r="B2421" s="3275"/>
      <c r="C2421" s="2">
        <f t="shared" si="561"/>
        <v>148</v>
      </c>
      <c r="D2421" s="3">
        <f t="shared" si="562"/>
        <v>6</v>
      </c>
      <c r="E2421" s="66">
        <v>20</v>
      </c>
      <c r="F2421" s="67" t="s">
        <v>732</v>
      </c>
      <c r="G2421" s="68" t="s">
        <v>733</v>
      </c>
      <c r="H2421" s="69" t="s">
        <v>810</v>
      </c>
      <c r="I2421" s="68" t="s">
        <v>726</v>
      </c>
      <c r="J2421" s="70" t="s">
        <v>760</v>
      </c>
      <c r="K2421" s="71" t="s">
        <v>1776</v>
      </c>
      <c r="L2421" s="72">
        <v>41131</v>
      </c>
      <c r="M2421" s="73" t="s">
        <v>729</v>
      </c>
      <c r="N2421" s="74">
        <v>41141</v>
      </c>
      <c r="O2421" s="75">
        <f t="shared" si="563"/>
        <v>41141</v>
      </c>
      <c r="P2421" s="2765" t="s">
        <v>1779</v>
      </c>
      <c r="Q2421" s="2954">
        <v>104.24</v>
      </c>
      <c r="R2421" s="76"/>
      <c r="S2421" s="1945" t="s">
        <v>731</v>
      </c>
      <c r="T2421" s="77"/>
      <c r="U2421" s="1893"/>
      <c r="V2421" s="2079">
        <f t="shared" si="565"/>
        <v>123.00319999999999</v>
      </c>
      <c r="W2421" s="78">
        <f t="shared" si="566"/>
        <v>0</v>
      </c>
      <c r="X2421" s="1878" t="str">
        <f t="shared" si="564"/>
        <v xml:space="preserve">20.- C Lima Caucho 0260507-OT_171608  Reencauche 030-0020258 </v>
      </c>
      <c r="Z2421" s="19" t="str">
        <f t="shared" si="560"/>
        <v>ReencaucheReencauchadora RENOVA</v>
      </c>
    </row>
    <row r="2422" spans="2:26" outlineLevel="1">
      <c r="B2422" s="3275"/>
      <c r="C2422" s="2">
        <f t="shared" si="561"/>
        <v>147</v>
      </c>
      <c r="D2422" s="3">
        <f t="shared" si="562"/>
        <v>5</v>
      </c>
      <c r="E2422" s="66">
        <v>21</v>
      </c>
      <c r="F2422" s="67" t="s">
        <v>732</v>
      </c>
      <c r="G2422" s="68" t="s">
        <v>737</v>
      </c>
      <c r="H2422" s="69" t="s">
        <v>1673</v>
      </c>
      <c r="I2422" s="68" t="s">
        <v>726</v>
      </c>
      <c r="J2422" s="70" t="s">
        <v>760</v>
      </c>
      <c r="K2422" s="71" t="s">
        <v>1778</v>
      </c>
      <c r="L2422" s="72">
        <v>41131</v>
      </c>
      <c r="M2422" s="73" t="s">
        <v>729</v>
      </c>
      <c r="N2422" s="74">
        <v>41141</v>
      </c>
      <c r="O2422" s="75">
        <f t="shared" si="563"/>
        <v>41141</v>
      </c>
      <c r="P2422" s="2765" t="s">
        <v>1779</v>
      </c>
      <c r="Q2422" s="2954">
        <v>104.24</v>
      </c>
      <c r="R2422" s="76"/>
      <c r="S2422" s="1945" t="s">
        <v>731</v>
      </c>
      <c r="T2422" s="77"/>
      <c r="U2422" s="1893"/>
      <c r="V2422" s="2079">
        <f t="shared" si="565"/>
        <v>123.00319999999999</v>
      </c>
      <c r="W2422" s="78">
        <f t="shared" si="566"/>
        <v>0</v>
      </c>
      <c r="X2422" s="1878" t="str">
        <f t="shared" si="564"/>
        <v xml:space="preserve">21.- C Vikrant 0330211-OT_171609  Reencauche 030-0020258 </v>
      </c>
      <c r="Z2422" s="19" t="str">
        <f t="shared" si="560"/>
        <v>ReencaucheReencauchadora RENOVA</v>
      </c>
    </row>
    <row r="2423" spans="2:26" outlineLevel="1">
      <c r="B2423" s="3275"/>
      <c r="C2423" s="2">
        <f t="shared" si="561"/>
        <v>146</v>
      </c>
      <c r="D2423" s="3">
        <f t="shared" si="562"/>
        <v>4</v>
      </c>
      <c r="E2423" s="66">
        <v>22</v>
      </c>
      <c r="F2423" s="67" t="s">
        <v>732</v>
      </c>
      <c r="G2423" s="68" t="s">
        <v>737</v>
      </c>
      <c r="H2423" s="69" t="s">
        <v>1257</v>
      </c>
      <c r="I2423" s="68" t="s">
        <v>726</v>
      </c>
      <c r="J2423" s="70" t="s">
        <v>760</v>
      </c>
      <c r="K2423" s="71" t="s">
        <v>1778</v>
      </c>
      <c r="L2423" s="72">
        <v>41131</v>
      </c>
      <c r="M2423" s="73" t="s">
        <v>729</v>
      </c>
      <c r="N2423" s="74">
        <v>41141</v>
      </c>
      <c r="O2423" s="75">
        <f t="shared" si="563"/>
        <v>41141</v>
      </c>
      <c r="P2423" s="2765" t="s">
        <v>1779</v>
      </c>
      <c r="Q2423" s="2954">
        <v>104.24</v>
      </c>
      <c r="R2423" s="76"/>
      <c r="S2423" s="1945" t="s">
        <v>731</v>
      </c>
      <c r="T2423" s="77"/>
      <c r="U2423" s="1893"/>
      <c r="V2423" s="2079">
        <f t="shared" si="565"/>
        <v>123.00319999999999</v>
      </c>
      <c r="W2423" s="78">
        <f t="shared" si="566"/>
        <v>0</v>
      </c>
      <c r="X2423" s="1878" t="str">
        <f t="shared" si="564"/>
        <v xml:space="preserve">22.- C Vikrant 0170111-OT_171609  Reencauche 030-0020258 </v>
      </c>
      <c r="Z2423" s="19" t="str">
        <f t="shared" si="560"/>
        <v>ReencaucheReencauchadora RENOVA</v>
      </c>
    </row>
    <row r="2424" spans="2:26" outlineLevel="1">
      <c r="B2424" s="3275"/>
      <c r="C2424" s="2">
        <f t="shared" si="561"/>
        <v>145</v>
      </c>
      <c r="D2424" s="3">
        <f t="shared" si="562"/>
        <v>3</v>
      </c>
      <c r="E2424" s="66">
        <v>23</v>
      </c>
      <c r="F2424" s="67" t="s">
        <v>732</v>
      </c>
      <c r="G2424" s="68" t="s">
        <v>737</v>
      </c>
      <c r="H2424" s="69" t="s">
        <v>1273</v>
      </c>
      <c r="I2424" s="68" t="s">
        <v>726</v>
      </c>
      <c r="J2424" s="70" t="s">
        <v>760</v>
      </c>
      <c r="K2424" s="71" t="s">
        <v>1778</v>
      </c>
      <c r="L2424" s="72">
        <v>41131</v>
      </c>
      <c r="M2424" s="73" t="s">
        <v>729</v>
      </c>
      <c r="N2424" s="74">
        <v>41141</v>
      </c>
      <c r="O2424" s="75">
        <f t="shared" si="563"/>
        <v>41141</v>
      </c>
      <c r="P2424" s="2765" t="s">
        <v>1779</v>
      </c>
      <c r="Q2424" s="2954">
        <v>104.24</v>
      </c>
      <c r="R2424" s="76"/>
      <c r="S2424" s="1945" t="s">
        <v>731</v>
      </c>
      <c r="T2424" s="77"/>
      <c r="U2424" s="1893"/>
      <c r="V2424" s="2079">
        <f t="shared" si="565"/>
        <v>123.00319999999999</v>
      </c>
      <c r="W2424" s="78">
        <f t="shared" si="566"/>
        <v>0</v>
      </c>
      <c r="X2424" s="1878" t="str">
        <f t="shared" si="564"/>
        <v xml:space="preserve">23.- C Vikrant 0370510-OT_171609  Reencauche 030-0020258 </v>
      </c>
      <c r="Z2424" s="19" t="str">
        <f t="shared" si="560"/>
        <v/>
      </c>
    </row>
    <row r="2425" spans="2:26">
      <c r="B2425" s="3275"/>
      <c r="C2425" s="2">
        <f t="shared" si="561"/>
        <v>144</v>
      </c>
      <c r="D2425" s="3">
        <f t="shared" si="562"/>
        <v>2</v>
      </c>
      <c r="E2425" s="66">
        <v>24</v>
      </c>
      <c r="F2425" s="67" t="s">
        <v>732</v>
      </c>
      <c r="G2425" s="68" t="s">
        <v>737</v>
      </c>
      <c r="H2425" s="69" t="s">
        <v>1474</v>
      </c>
      <c r="I2425" s="68" t="s">
        <v>726</v>
      </c>
      <c r="J2425" s="70" t="s">
        <v>760</v>
      </c>
      <c r="K2425" s="71" t="s">
        <v>1778</v>
      </c>
      <c r="L2425" s="72">
        <v>41131</v>
      </c>
      <c r="M2425" s="73" t="s">
        <v>729</v>
      </c>
      <c r="N2425" s="74">
        <v>41141</v>
      </c>
      <c r="O2425" s="75">
        <f t="shared" si="563"/>
        <v>41141</v>
      </c>
      <c r="P2425" s="2765" t="s">
        <v>1779</v>
      </c>
      <c r="Q2425" s="2954">
        <v>104.24</v>
      </c>
      <c r="R2425" s="76"/>
      <c r="S2425" s="1945" t="s">
        <v>731</v>
      </c>
      <c r="T2425" s="77"/>
      <c r="U2425" s="1893"/>
      <c r="V2425" s="2079">
        <f t="shared" si="565"/>
        <v>123.00319999999999</v>
      </c>
      <c r="W2425" s="78">
        <f t="shared" si="566"/>
        <v>0</v>
      </c>
      <c r="X2425" s="1878" t="str">
        <f t="shared" si="564"/>
        <v xml:space="preserve">24.- C Vikrant 0110111-OT_171609  Reencauche 030-0020258 </v>
      </c>
    </row>
    <row r="2426" spans="2:26" ht="15.2" customHeight="1" outlineLevel="1">
      <c r="B2426" s="3275"/>
      <c r="C2426" s="2">
        <f>1+C2429</f>
        <v>143</v>
      </c>
      <c r="D2426" s="3">
        <v>1</v>
      </c>
      <c r="E2426" s="66">
        <v>25</v>
      </c>
      <c r="F2426" s="67" t="s">
        <v>732</v>
      </c>
      <c r="G2426" s="68" t="s">
        <v>733</v>
      </c>
      <c r="H2426" s="69" t="s">
        <v>1521</v>
      </c>
      <c r="I2426" s="68" t="s">
        <v>726</v>
      </c>
      <c r="J2426" s="70" t="s">
        <v>760</v>
      </c>
      <c r="K2426" s="71" t="s">
        <v>1776</v>
      </c>
      <c r="L2426" s="72">
        <v>41131</v>
      </c>
      <c r="M2426" s="73" t="s">
        <v>729</v>
      </c>
      <c r="N2426" s="74">
        <v>41141</v>
      </c>
      <c r="O2426" s="75">
        <f t="shared" si="563"/>
        <v>41141</v>
      </c>
      <c r="P2426" s="2765" t="s">
        <v>1782</v>
      </c>
      <c r="Q2426" s="2954">
        <v>104.24</v>
      </c>
      <c r="R2426" s="76"/>
      <c r="S2426" s="1945" t="s">
        <v>731</v>
      </c>
      <c r="T2426" s="77"/>
      <c r="U2426" s="1893"/>
      <c r="V2426" s="2079">
        <f t="shared" si="565"/>
        <v>123.00319999999999</v>
      </c>
      <c r="W2426" s="78">
        <f t="shared" si="566"/>
        <v>0</v>
      </c>
      <c r="X2426" s="1878" t="str">
        <f t="shared" si="564"/>
        <v xml:space="preserve">25.- C Lima Caucho 0250507-OT_171608  Reencauche 030-0020259 </v>
      </c>
      <c r="Z2426" s="19" t="str">
        <f t="shared" ref="Z2426:Z2452" si="567">CONCATENATE(I2429,J2429)</f>
        <v>ReencaucheReencauchadora Espinoza</v>
      </c>
    </row>
    <row r="2427" spans="2:26" ht="15.75" outlineLevel="1" thickBot="1">
      <c r="B2427" s="3275"/>
      <c r="E2427" s="307">
        <v>26</v>
      </c>
      <c r="F2427" s="308" t="s">
        <v>732</v>
      </c>
      <c r="G2427" s="309" t="s">
        <v>769</v>
      </c>
      <c r="H2427" s="310" t="s">
        <v>1783</v>
      </c>
      <c r="I2427" s="311"/>
      <c r="J2427" s="312"/>
      <c r="K2427" s="313" t="s">
        <v>1776</v>
      </c>
      <c r="L2427" s="314">
        <v>41131</v>
      </c>
      <c r="M2427" s="315"/>
      <c r="N2427" s="316"/>
      <c r="O2427" s="317">
        <f t="shared" si="563"/>
        <v>0</v>
      </c>
      <c r="P2427" s="2796"/>
      <c r="Q2427" s="2977"/>
      <c r="R2427" s="318"/>
      <c r="S2427" s="1963" t="s">
        <v>731</v>
      </c>
      <c r="T2427" s="274" t="s">
        <v>1617</v>
      </c>
      <c r="U2427" s="1895"/>
      <c r="V2427" s="2079">
        <f t="shared" si="565"/>
        <v>0</v>
      </c>
      <c r="W2427" s="78">
        <f t="shared" si="566"/>
        <v>0</v>
      </c>
      <c r="X2427" s="1878" t="str">
        <f t="shared" si="564"/>
        <v>26.- C Lu He 0450509-OT_171608     Llanta Rechazada, no se facturo</v>
      </c>
      <c r="Z2427" s="19" t="str">
        <f t="shared" si="567"/>
        <v>ReencaucheReencauchadora Espinoza</v>
      </c>
    </row>
    <row r="2428" spans="2:26" ht="16.5" outlineLevel="1" thickTop="1" thickBot="1">
      <c r="B2428" s="3310">
        <f>+B2429</f>
        <v>41091</v>
      </c>
      <c r="C2428" s="3310"/>
      <c r="D2428" s="258">
        <f>+D2429</f>
        <v>22</v>
      </c>
      <c r="E2428" s="66"/>
      <c r="F2428" s="67"/>
      <c r="G2428" s="68"/>
      <c r="H2428" s="69"/>
      <c r="I2428" s="68"/>
      <c r="J2428" s="70"/>
      <c r="K2428" s="71"/>
      <c r="L2428" s="72"/>
      <c r="M2428" s="73"/>
      <c r="N2428" s="74"/>
      <c r="O2428" s="75"/>
      <c r="P2428" s="2765"/>
      <c r="Q2428" s="2954"/>
      <c r="R2428" s="76"/>
      <c r="S2428" s="1945"/>
      <c r="T2428" s="77"/>
      <c r="U2428" s="1893"/>
      <c r="V2428" s="2079">
        <f t="shared" si="565"/>
        <v>0</v>
      </c>
      <c r="W2428" s="78">
        <f t="shared" si="566"/>
        <v>0</v>
      </c>
      <c r="X2428" s="1878" t="str">
        <f t="shared" si="564"/>
        <v xml:space="preserve">.-   -OT_    </v>
      </c>
      <c r="Z2428" s="19" t="str">
        <f t="shared" si="567"/>
        <v>Transpl BandaReencauchadora Espinoza</v>
      </c>
    </row>
    <row r="2429" spans="2:26" outlineLevel="1">
      <c r="B2429" s="3274">
        <v>41091</v>
      </c>
      <c r="C2429" s="2">
        <f t="shared" ref="C2429:D2431" si="568">1+C2430</f>
        <v>142</v>
      </c>
      <c r="D2429" s="306">
        <f t="shared" si="568"/>
        <v>22</v>
      </c>
      <c r="E2429" s="66">
        <v>1</v>
      </c>
      <c r="F2429" s="67" t="s">
        <v>732</v>
      </c>
      <c r="G2429" s="68" t="s">
        <v>733</v>
      </c>
      <c r="H2429" s="69" t="s">
        <v>1784</v>
      </c>
      <c r="I2429" s="68" t="s">
        <v>726</v>
      </c>
      <c r="J2429" s="70" t="s">
        <v>1543</v>
      </c>
      <c r="K2429" s="71" t="s">
        <v>1785</v>
      </c>
      <c r="L2429" s="72">
        <v>41100</v>
      </c>
      <c r="M2429" s="73" t="s">
        <v>729</v>
      </c>
      <c r="N2429" s="74">
        <v>41110</v>
      </c>
      <c r="O2429" s="75">
        <f t="shared" ref="O2429:O2455" si="569">+N2429</f>
        <v>41110</v>
      </c>
      <c r="P2429" s="2765" t="s">
        <v>1786</v>
      </c>
      <c r="Q2429" s="2954"/>
      <c r="R2429" s="76">
        <f>300/(1.18)</f>
        <v>254.23728813559325</v>
      </c>
      <c r="S2429" s="1945" t="s">
        <v>731</v>
      </c>
      <c r="T2429" s="77">
        <f>+R2429/2.6</f>
        <v>97.783572359843546</v>
      </c>
      <c r="U2429" s="1893"/>
      <c r="V2429" s="2079">
        <f t="shared" si="565"/>
        <v>0</v>
      </c>
      <c r="W2429" s="78">
        <f t="shared" si="566"/>
        <v>300</v>
      </c>
      <c r="X2429" s="1878" t="str">
        <f t="shared" si="564"/>
        <v>1.- C Lima Caucho 0670907-OT_001246  Reencauche 001-002571 97.7835723598435</v>
      </c>
      <c r="Z2429" s="19" t="str">
        <f t="shared" si="567"/>
        <v>Transpl BandaReencauchadora Espinoza</v>
      </c>
    </row>
    <row r="2430" spans="2:26" outlineLevel="1">
      <c r="B2430" s="3275"/>
      <c r="C2430" s="2">
        <f t="shared" si="568"/>
        <v>141</v>
      </c>
      <c r="D2430" s="3">
        <f t="shared" si="568"/>
        <v>21</v>
      </c>
      <c r="E2430" s="66">
        <v>2</v>
      </c>
      <c r="F2430" s="67" t="s">
        <v>732</v>
      </c>
      <c r="G2430" s="68" t="s">
        <v>737</v>
      </c>
      <c r="H2430" s="69" t="s">
        <v>1340</v>
      </c>
      <c r="I2430" s="68" t="s">
        <v>726</v>
      </c>
      <c r="J2430" s="70" t="s">
        <v>1543</v>
      </c>
      <c r="K2430" s="71" t="s">
        <v>1785</v>
      </c>
      <c r="L2430" s="72">
        <v>41100</v>
      </c>
      <c r="M2430" s="73" t="s">
        <v>729</v>
      </c>
      <c r="N2430" s="74">
        <v>41110</v>
      </c>
      <c r="O2430" s="75">
        <f t="shared" si="569"/>
        <v>41110</v>
      </c>
      <c r="P2430" s="2765" t="s">
        <v>1786</v>
      </c>
      <c r="Q2430" s="2954"/>
      <c r="R2430" s="76">
        <f>300/(1.18)</f>
        <v>254.23728813559325</v>
      </c>
      <c r="S2430" s="1945" t="s">
        <v>731</v>
      </c>
      <c r="T2430" s="77"/>
      <c r="U2430" s="1893"/>
      <c r="V2430" s="2079">
        <f t="shared" si="565"/>
        <v>0</v>
      </c>
      <c r="W2430" s="78">
        <f t="shared" si="566"/>
        <v>300</v>
      </c>
      <c r="X2430" s="1878" t="str">
        <f t="shared" si="564"/>
        <v xml:space="preserve">2.- C Vikrant 0060111-OT_001246  Reencauche 001-002571 </v>
      </c>
      <c r="Z2430" s="19" t="str">
        <f t="shared" si="567"/>
        <v>Sacar_BandaReencauchadora Espinoza</v>
      </c>
    </row>
    <row r="2431" spans="2:26" outlineLevel="1">
      <c r="B2431" s="3275"/>
      <c r="C2431" s="2">
        <f t="shared" si="568"/>
        <v>140</v>
      </c>
      <c r="D2431" s="3">
        <f t="shared" si="568"/>
        <v>20</v>
      </c>
      <c r="E2431" s="66">
        <v>3</v>
      </c>
      <c r="F2431" s="67" t="s">
        <v>732</v>
      </c>
      <c r="G2431" s="68" t="s">
        <v>737</v>
      </c>
      <c r="H2431" s="69" t="s">
        <v>755</v>
      </c>
      <c r="I2431" s="257" t="s">
        <v>740</v>
      </c>
      <c r="J2431" s="92" t="s">
        <v>1543</v>
      </c>
      <c r="K2431" s="71" t="s">
        <v>1785</v>
      </c>
      <c r="L2431" s="72">
        <v>41100</v>
      </c>
      <c r="M2431" s="73" t="s">
        <v>729</v>
      </c>
      <c r="N2431" s="74">
        <v>41110</v>
      </c>
      <c r="O2431" s="75">
        <f t="shared" si="569"/>
        <v>41110</v>
      </c>
      <c r="P2431" s="2765" t="s">
        <v>1786</v>
      </c>
      <c r="Q2431" s="2954"/>
      <c r="R2431" s="76">
        <f>150/(1.18)</f>
        <v>127.11864406779662</v>
      </c>
      <c r="S2431" s="1945" t="s">
        <v>731</v>
      </c>
      <c r="T2431" s="77">
        <f>25*13</f>
        <v>325</v>
      </c>
      <c r="U2431" s="1893"/>
      <c r="V2431" s="2079">
        <f t="shared" si="565"/>
        <v>0</v>
      </c>
      <c r="W2431" s="78">
        <f t="shared" si="566"/>
        <v>150</v>
      </c>
      <c r="X2431" s="1878" t="str">
        <f t="shared" si="564"/>
        <v>3.- C Vikrant 0771007-OT_001246  Transpl Banda 001-002571 325</v>
      </c>
      <c r="Z2431" s="19" t="str">
        <f t="shared" si="567"/>
        <v>Sacar_BandaReencauchadora Espinoza</v>
      </c>
    </row>
    <row r="2432" spans="2:26" outlineLevel="1">
      <c r="B2432" s="3275"/>
      <c r="C2432" s="2">
        <f>1+C2435</f>
        <v>139</v>
      </c>
      <c r="D2432" s="3">
        <f>1+D2435</f>
        <v>19</v>
      </c>
      <c r="E2432" s="66">
        <v>4</v>
      </c>
      <c r="F2432" s="67" t="s">
        <v>732</v>
      </c>
      <c r="G2432" s="68" t="s">
        <v>737</v>
      </c>
      <c r="H2432" s="69" t="s">
        <v>1725</v>
      </c>
      <c r="I2432" s="257" t="s">
        <v>740</v>
      </c>
      <c r="J2432" s="92" t="s">
        <v>1543</v>
      </c>
      <c r="K2432" s="71" t="s">
        <v>1785</v>
      </c>
      <c r="L2432" s="72">
        <v>41100</v>
      </c>
      <c r="M2432" s="73" t="s">
        <v>729</v>
      </c>
      <c r="N2432" s="74">
        <v>41110</v>
      </c>
      <c r="O2432" s="75">
        <f t="shared" si="569"/>
        <v>41110</v>
      </c>
      <c r="P2432" s="2765" t="s">
        <v>1786</v>
      </c>
      <c r="Q2432" s="2954"/>
      <c r="R2432" s="76">
        <f>150/(1.18)</f>
        <v>127.11864406779662</v>
      </c>
      <c r="S2432" s="1945" t="s">
        <v>731</v>
      </c>
      <c r="T2432" s="77"/>
      <c r="U2432" s="1893"/>
      <c r="V2432" s="2079">
        <f t="shared" si="565"/>
        <v>0</v>
      </c>
      <c r="W2432" s="78">
        <f t="shared" si="566"/>
        <v>150</v>
      </c>
      <c r="X2432" s="1878" t="str">
        <f t="shared" si="564"/>
        <v xml:space="preserve">4.- C Vikrant 0820505-OT_001246  Transpl Banda 001-002571 </v>
      </c>
      <c r="Z2432" s="19" t="str">
        <f t="shared" si="567"/>
        <v>ReencaucheReencauchadora RENOVA</v>
      </c>
    </row>
    <row r="2433" spans="2:26" outlineLevel="1">
      <c r="B2433" s="3275"/>
      <c r="E2433" s="66">
        <v>5</v>
      </c>
      <c r="F2433" s="67" t="s">
        <v>732</v>
      </c>
      <c r="G2433" s="68" t="s">
        <v>737</v>
      </c>
      <c r="H2433" s="69" t="s">
        <v>1787</v>
      </c>
      <c r="I2433" s="257" t="s">
        <v>744</v>
      </c>
      <c r="J2433" s="92" t="s">
        <v>1543</v>
      </c>
      <c r="K2433" s="71" t="s">
        <v>1788</v>
      </c>
      <c r="L2433" s="72">
        <v>41100</v>
      </c>
      <c r="M2433" s="73" t="s">
        <v>729</v>
      </c>
      <c r="N2433" s="74">
        <v>41110</v>
      </c>
      <c r="O2433" s="75">
        <f t="shared" si="569"/>
        <v>41110</v>
      </c>
      <c r="P2433" s="2765" t="s">
        <v>1786</v>
      </c>
      <c r="Q2433" s="2954"/>
      <c r="R2433" s="76">
        <v>0</v>
      </c>
      <c r="S2433" s="1945" t="s">
        <v>731</v>
      </c>
      <c r="T2433" s="77"/>
      <c r="U2433" s="1893"/>
      <c r="V2433" s="2079">
        <f t="shared" si="565"/>
        <v>0</v>
      </c>
      <c r="W2433" s="78">
        <f t="shared" si="566"/>
        <v>0</v>
      </c>
      <c r="X2433" s="1878" t="str">
        <f t="shared" si="564"/>
        <v xml:space="preserve">5.- C Vikrant 0881206-OT_001247  Sacar_Banda 001-002571 </v>
      </c>
      <c r="Z2433" s="19" t="str">
        <f t="shared" si="567"/>
        <v>ReencaucheReencauchadora RENOVA</v>
      </c>
    </row>
    <row r="2434" spans="2:26" outlineLevel="1">
      <c r="B2434" s="3275"/>
      <c r="E2434" s="79">
        <v>6</v>
      </c>
      <c r="F2434" s="80" t="s">
        <v>732</v>
      </c>
      <c r="G2434" s="81" t="s">
        <v>733</v>
      </c>
      <c r="H2434" s="82" t="s">
        <v>1789</v>
      </c>
      <c r="I2434" s="262" t="s">
        <v>744</v>
      </c>
      <c r="J2434" s="93" t="s">
        <v>1543</v>
      </c>
      <c r="K2434" s="84" t="s">
        <v>1788</v>
      </c>
      <c r="L2434" s="85">
        <v>41100</v>
      </c>
      <c r="M2434" s="86" t="s">
        <v>729</v>
      </c>
      <c r="N2434" s="87">
        <v>41110</v>
      </c>
      <c r="O2434" s="88">
        <f t="shared" si="569"/>
        <v>41110</v>
      </c>
      <c r="P2434" s="2784" t="s">
        <v>1786</v>
      </c>
      <c r="Q2434" s="2955"/>
      <c r="R2434" s="89">
        <v>0</v>
      </c>
      <c r="S2434" s="1946" t="s">
        <v>731</v>
      </c>
      <c r="T2434" s="77"/>
      <c r="U2434" s="1893"/>
      <c r="V2434" s="2079">
        <f t="shared" si="565"/>
        <v>0</v>
      </c>
      <c r="W2434" s="78">
        <f t="shared" si="566"/>
        <v>0</v>
      </c>
      <c r="X2434" s="1878" t="str">
        <f t="shared" si="564"/>
        <v xml:space="preserve">6.- C Lima Caucho 1141210-OT_001247  Sacar_Banda 001-002571 </v>
      </c>
      <c r="Z2434" s="19" t="str">
        <f t="shared" si="567"/>
        <v>ReencaucheReencauchadora RENOVA</v>
      </c>
    </row>
    <row r="2435" spans="2:26" outlineLevel="1">
      <c r="B2435" s="3275"/>
      <c r="C2435" s="2">
        <f t="shared" ref="C2435:C2447" si="570">1+C2436</f>
        <v>138</v>
      </c>
      <c r="D2435" s="3">
        <f t="shared" ref="D2435:D2447" si="571">1+D2436</f>
        <v>18</v>
      </c>
      <c r="E2435" s="66">
        <v>1</v>
      </c>
      <c r="F2435" s="67" t="s">
        <v>732</v>
      </c>
      <c r="G2435" s="68" t="s">
        <v>757</v>
      </c>
      <c r="H2435" s="69" t="s">
        <v>1790</v>
      </c>
      <c r="I2435" s="68" t="s">
        <v>726</v>
      </c>
      <c r="J2435" s="70" t="s">
        <v>760</v>
      </c>
      <c r="K2435" s="71" t="s">
        <v>1791</v>
      </c>
      <c r="L2435" s="72">
        <v>41100</v>
      </c>
      <c r="M2435" s="73" t="s">
        <v>729</v>
      </c>
      <c r="N2435" s="74">
        <v>41114</v>
      </c>
      <c r="O2435" s="75">
        <f t="shared" si="569"/>
        <v>41114</v>
      </c>
      <c r="P2435" s="2765" t="s">
        <v>1792</v>
      </c>
      <c r="Q2435" s="2954">
        <v>104.24</v>
      </c>
      <c r="R2435" s="76"/>
      <c r="S2435" s="1945" t="s">
        <v>731</v>
      </c>
      <c r="T2435" s="77"/>
      <c r="U2435" s="1893"/>
      <c r="V2435" s="2079">
        <f t="shared" si="565"/>
        <v>123.00319999999999</v>
      </c>
      <c r="W2435" s="78">
        <f t="shared" si="566"/>
        <v>0</v>
      </c>
      <c r="X2435" s="1878" t="str">
        <f t="shared" si="564"/>
        <v xml:space="preserve">1.- C Goodyear 1581004-OT_169935  Reencauche 030-0019597 </v>
      </c>
      <c r="Z2435" s="19" t="str">
        <f t="shared" si="567"/>
        <v>ReencaucheReencauchadora RENOVA</v>
      </c>
    </row>
    <row r="2436" spans="2:26" outlineLevel="1">
      <c r="B2436" s="3275"/>
      <c r="C2436" s="2">
        <f t="shared" si="570"/>
        <v>137</v>
      </c>
      <c r="D2436" s="3">
        <f t="shared" si="571"/>
        <v>17</v>
      </c>
      <c r="E2436" s="66">
        <v>2</v>
      </c>
      <c r="F2436" s="67" t="s">
        <v>732</v>
      </c>
      <c r="G2436" s="68" t="s">
        <v>733</v>
      </c>
      <c r="H2436" s="69" t="s">
        <v>1192</v>
      </c>
      <c r="I2436" s="68" t="s">
        <v>726</v>
      </c>
      <c r="J2436" s="70" t="s">
        <v>760</v>
      </c>
      <c r="K2436" s="71" t="s">
        <v>1791</v>
      </c>
      <c r="L2436" s="72">
        <v>41100</v>
      </c>
      <c r="M2436" s="73" t="s">
        <v>729</v>
      </c>
      <c r="N2436" s="74">
        <v>41114</v>
      </c>
      <c r="O2436" s="75">
        <f t="shared" si="569"/>
        <v>41114</v>
      </c>
      <c r="P2436" s="2765" t="s">
        <v>1792</v>
      </c>
      <c r="Q2436" s="2954">
        <v>104.24</v>
      </c>
      <c r="R2436" s="76"/>
      <c r="S2436" s="1945" t="s">
        <v>731</v>
      </c>
      <c r="T2436" s="77"/>
      <c r="U2436" s="1893"/>
      <c r="V2436" s="2079">
        <f t="shared" si="565"/>
        <v>123.00319999999999</v>
      </c>
      <c r="W2436" s="78">
        <f t="shared" si="566"/>
        <v>0</v>
      </c>
      <c r="X2436" s="1878" t="str">
        <f t="shared" si="564"/>
        <v xml:space="preserve">2.- C Lima Caucho 0050108-OT_169935  Reencauche 030-0019597 </v>
      </c>
      <c r="Z2436" s="19" t="str">
        <f t="shared" si="567"/>
        <v>ReencaucheReencauchadora RENOVA</v>
      </c>
    </row>
    <row r="2437" spans="2:26" outlineLevel="1">
      <c r="B2437" s="3275"/>
      <c r="C2437" s="2">
        <f t="shared" si="570"/>
        <v>136</v>
      </c>
      <c r="D2437" s="3">
        <f t="shared" si="571"/>
        <v>16</v>
      </c>
      <c r="E2437" s="66">
        <v>3</v>
      </c>
      <c r="F2437" s="67" t="s">
        <v>732</v>
      </c>
      <c r="G2437" s="68" t="s">
        <v>733</v>
      </c>
      <c r="H2437" s="69" t="s">
        <v>1418</v>
      </c>
      <c r="I2437" s="68" t="s">
        <v>726</v>
      </c>
      <c r="J2437" s="70" t="s">
        <v>760</v>
      </c>
      <c r="K2437" s="71" t="s">
        <v>1791</v>
      </c>
      <c r="L2437" s="72">
        <v>41100</v>
      </c>
      <c r="M2437" s="73" t="s">
        <v>729</v>
      </c>
      <c r="N2437" s="74">
        <v>41114</v>
      </c>
      <c r="O2437" s="75">
        <f t="shared" si="569"/>
        <v>41114</v>
      </c>
      <c r="P2437" s="2765" t="s">
        <v>1792</v>
      </c>
      <c r="Q2437" s="2954">
        <v>104.24</v>
      </c>
      <c r="R2437" s="76"/>
      <c r="S2437" s="1945" t="s">
        <v>731</v>
      </c>
      <c r="T2437" s="77"/>
      <c r="U2437" s="1893"/>
      <c r="V2437" s="2079">
        <f t="shared" si="565"/>
        <v>123.00319999999999</v>
      </c>
      <c r="W2437" s="78">
        <f t="shared" si="566"/>
        <v>0</v>
      </c>
      <c r="X2437" s="1878" t="str">
        <f t="shared" si="564"/>
        <v xml:space="preserve">3.- C Lima Caucho 0570807-OT_169935  Reencauche 030-0019597 </v>
      </c>
      <c r="Z2437" s="19" t="str">
        <f t="shared" si="567"/>
        <v>ReencaucheReencauchadora RENOVA</v>
      </c>
    </row>
    <row r="2438" spans="2:26" outlineLevel="1">
      <c r="B2438" s="3275"/>
      <c r="C2438" s="2">
        <f t="shared" si="570"/>
        <v>135</v>
      </c>
      <c r="D2438" s="3">
        <f t="shared" si="571"/>
        <v>15</v>
      </c>
      <c r="E2438" s="66">
        <v>4</v>
      </c>
      <c r="F2438" s="67" t="s">
        <v>732</v>
      </c>
      <c r="G2438" s="68" t="s">
        <v>733</v>
      </c>
      <c r="H2438" s="69" t="s">
        <v>1355</v>
      </c>
      <c r="I2438" s="68" t="s">
        <v>726</v>
      </c>
      <c r="J2438" s="70" t="s">
        <v>760</v>
      </c>
      <c r="K2438" s="71" t="s">
        <v>1791</v>
      </c>
      <c r="L2438" s="72">
        <v>41100</v>
      </c>
      <c r="M2438" s="73" t="s">
        <v>729</v>
      </c>
      <c r="N2438" s="74">
        <v>41114</v>
      </c>
      <c r="O2438" s="75">
        <f t="shared" si="569"/>
        <v>41114</v>
      </c>
      <c r="P2438" s="2765" t="s">
        <v>1809</v>
      </c>
      <c r="Q2438" s="2954">
        <v>104.24</v>
      </c>
      <c r="R2438" s="76"/>
      <c r="S2438" s="1945" t="s">
        <v>731</v>
      </c>
      <c r="T2438" s="77"/>
      <c r="U2438" s="1893"/>
      <c r="V2438" s="2079">
        <f t="shared" si="565"/>
        <v>123.00319999999999</v>
      </c>
      <c r="W2438" s="78">
        <f t="shared" si="566"/>
        <v>0</v>
      </c>
      <c r="X2438" s="1878" t="str">
        <f t="shared" si="564"/>
        <v xml:space="preserve">4.- C Lima Caucho 0390608-OT_169935  Reencauche 030-0019598 </v>
      </c>
      <c r="Z2438" s="19" t="str">
        <f t="shared" si="567"/>
        <v>ReencaucheReencauchadora RENOVA</v>
      </c>
    </row>
    <row r="2439" spans="2:26" outlineLevel="1">
      <c r="B2439" s="3275"/>
      <c r="C2439" s="2">
        <f t="shared" si="570"/>
        <v>134</v>
      </c>
      <c r="D2439" s="3">
        <f t="shared" si="571"/>
        <v>14</v>
      </c>
      <c r="E2439" s="66">
        <v>5</v>
      </c>
      <c r="F2439" s="67" t="s">
        <v>732</v>
      </c>
      <c r="G2439" s="68" t="s">
        <v>733</v>
      </c>
      <c r="H2439" s="69" t="s">
        <v>1012</v>
      </c>
      <c r="I2439" s="68" t="s">
        <v>726</v>
      </c>
      <c r="J2439" s="70" t="s">
        <v>760</v>
      </c>
      <c r="K2439" s="71" t="s">
        <v>1791</v>
      </c>
      <c r="L2439" s="72">
        <v>41100</v>
      </c>
      <c r="M2439" s="73" t="s">
        <v>729</v>
      </c>
      <c r="N2439" s="74">
        <v>41114</v>
      </c>
      <c r="O2439" s="75">
        <f t="shared" si="569"/>
        <v>41114</v>
      </c>
      <c r="P2439" s="2765" t="s">
        <v>1809</v>
      </c>
      <c r="Q2439" s="2954">
        <v>104.24</v>
      </c>
      <c r="R2439" s="76"/>
      <c r="S2439" s="1945" t="s">
        <v>731</v>
      </c>
      <c r="T2439" s="77"/>
      <c r="U2439" s="1893"/>
      <c r="V2439" s="2079">
        <f t="shared" si="565"/>
        <v>123.00319999999999</v>
      </c>
      <c r="W2439" s="78">
        <f t="shared" si="566"/>
        <v>0</v>
      </c>
      <c r="X2439" s="1878" t="str">
        <f t="shared" si="564"/>
        <v xml:space="preserve">5.- C Lima Caucho 0500708-OT_169935  Reencauche 030-0019598 </v>
      </c>
      <c r="Z2439" s="19" t="str">
        <f t="shared" si="567"/>
        <v>ReencaucheReencauchadora RENOVA</v>
      </c>
    </row>
    <row r="2440" spans="2:26" outlineLevel="1">
      <c r="B2440" s="3275"/>
      <c r="C2440" s="2">
        <f t="shared" si="570"/>
        <v>133</v>
      </c>
      <c r="D2440" s="3">
        <f t="shared" si="571"/>
        <v>13</v>
      </c>
      <c r="E2440" s="66">
        <v>6</v>
      </c>
      <c r="F2440" s="67" t="s">
        <v>732</v>
      </c>
      <c r="G2440" s="68" t="s">
        <v>733</v>
      </c>
      <c r="H2440" s="69" t="s">
        <v>1230</v>
      </c>
      <c r="I2440" s="68" t="s">
        <v>726</v>
      </c>
      <c r="J2440" s="70" t="s">
        <v>760</v>
      </c>
      <c r="K2440" s="71" t="s">
        <v>1791</v>
      </c>
      <c r="L2440" s="72">
        <v>41100</v>
      </c>
      <c r="M2440" s="73" t="s">
        <v>729</v>
      </c>
      <c r="N2440" s="74">
        <v>41114</v>
      </c>
      <c r="O2440" s="75">
        <f t="shared" si="569"/>
        <v>41114</v>
      </c>
      <c r="P2440" s="2765" t="s">
        <v>1792</v>
      </c>
      <c r="Q2440" s="2954">
        <v>104.24</v>
      </c>
      <c r="R2440" s="76"/>
      <c r="S2440" s="1945" t="s">
        <v>731</v>
      </c>
      <c r="T2440" s="77"/>
      <c r="U2440" s="1893"/>
      <c r="V2440" s="2079">
        <f t="shared" si="565"/>
        <v>123.00319999999999</v>
      </c>
      <c r="W2440" s="78">
        <f t="shared" si="566"/>
        <v>0</v>
      </c>
      <c r="X2440" s="1878" t="str">
        <f t="shared" si="564"/>
        <v xml:space="preserve">6.- C Lima Caucho 0090108-OT_169935  Reencauche 030-0019597 </v>
      </c>
      <c r="Z2440" s="19" t="str">
        <f t="shared" si="567"/>
        <v>ReencaucheReencauchadora RENOVA</v>
      </c>
    </row>
    <row r="2441" spans="2:26" outlineLevel="1">
      <c r="B2441" s="3275"/>
      <c r="C2441" s="2">
        <f t="shared" si="570"/>
        <v>132</v>
      </c>
      <c r="D2441" s="3">
        <f t="shared" si="571"/>
        <v>12</v>
      </c>
      <c r="E2441" s="66">
        <v>7</v>
      </c>
      <c r="F2441" s="67" t="s">
        <v>732</v>
      </c>
      <c r="G2441" s="68" t="s">
        <v>733</v>
      </c>
      <c r="H2441" s="69" t="s">
        <v>1810</v>
      </c>
      <c r="I2441" s="68" t="s">
        <v>726</v>
      </c>
      <c r="J2441" s="70" t="s">
        <v>760</v>
      </c>
      <c r="K2441" s="71" t="s">
        <v>1791</v>
      </c>
      <c r="L2441" s="72">
        <v>41100</v>
      </c>
      <c r="M2441" s="73" t="s">
        <v>729</v>
      </c>
      <c r="N2441" s="74">
        <v>41114</v>
      </c>
      <c r="O2441" s="75">
        <f t="shared" si="569"/>
        <v>41114</v>
      </c>
      <c r="P2441" s="2765" t="s">
        <v>1792</v>
      </c>
      <c r="Q2441" s="2954">
        <v>104.24</v>
      </c>
      <c r="R2441" s="76"/>
      <c r="S2441" s="1945" t="s">
        <v>731</v>
      </c>
      <c r="T2441" s="77"/>
      <c r="U2441" s="1893"/>
      <c r="V2441" s="2079">
        <f t="shared" si="565"/>
        <v>123.00319999999999</v>
      </c>
      <c r="W2441" s="78">
        <f t="shared" si="566"/>
        <v>0</v>
      </c>
      <c r="X2441" s="1878" t="str">
        <f t="shared" si="564"/>
        <v xml:space="preserve">7.- C Lima Caucho 0390707-OT_169935  Reencauche 030-0019597 </v>
      </c>
      <c r="Z2441" s="19" t="str">
        <f t="shared" si="567"/>
        <v>ReencaucheReencauchadora RENOVA</v>
      </c>
    </row>
    <row r="2442" spans="2:26" outlineLevel="1">
      <c r="B2442" s="3275"/>
      <c r="C2442" s="2">
        <f t="shared" si="570"/>
        <v>131</v>
      </c>
      <c r="D2442" s="3">
        <f t="shared" si="571"/>
        <v>11</v>
      </c>
      <c r="E2442" s="66">
        <v>8</v>
      </c>
      <c r="F2442" s="67" t="s">
        <v>732</v>
      </c>
      <c r="G2442" s="68" t="s">
        <v>733</v>
      </c>
      <c r="H2442" s="69" t="s">
        <v>1811</v>
      </c>
      <c r="I2442" s="68" t="s">
        <v>726</v>
      </c>
      <c r="J2442" s="70" t="s">
        <v>760</v>
      </c>
      <c r="K2442" s="71" t="s">
        <v>1791</v>
      </c>
      <c r="L2442" s="72">
        <v>41100</v>
      </c>
      <c r="M2442" s="73" t="s">
        <v>729</v>
      </c>
      <c r="N2442" s="74">
        <v>41114</v>
      </c>
      <c r="O2442" s="75">
        <f t="shared" si="569"/>
        <v>41114</v>
      </c>
      <c r="P2442" s="2765" t="s">
        <v>1792</v>
      </c>
      <c r="Q2442" s="2954">
        <v>104.24</v>
      </c>
      <c r="R2442" s="76"/>
      <c r="S2442" s="1945" t="s">
        <v>731</v>
      </c>
      <c r="T2442" s="77"/>
      <c r="U2442" s="1893"/>
      <c r="V2442" s="2079">
        <f t="shared" si="565"/>
        <v>123.00319999999999</v>
      </c>
      <c r="W2442" s="78">
        <f t="shared" si="566"/>
        <v>0</v>
      </c>
      <c r="X2442" s="1878" t="str">
        <f t="shared" si="564"/>
        <v xml:space="preserve">8.- C Lima Caucho 0470706-OT_169935  Reencauche 030-0019597 </v>
      </c>
      <c r="Z2442" s="19" t="str">
        <f t="shared" si="567"/>
        <v>ReencaucheReencauchadora RENOVA</v>
      </c>
    </row>
    <row r="2443" spans="2:26" outlineLevel="1">
      <c r="B2443" s="3275"/>
      <c r="C2443" s="2">
        <f t="shared" si="570"/>
        <v>130</v>
      </c>
      <c r="D2443" s="3">
        <f t="shared" si="571"/>
        <v>10</v>
      </c>
      <c r="E2443" s="66">
        <v>9</v>
      </c>
      <c r="F2443" s="67" t="s">
        <v>732</v>
      </c>
      <c r="G2443" s="68" t="s">
        <v>733</v>
      </c>
      <c r="H2443" s="69" t="s">
        <v>818</v>
      </c>
      <c r="I2443" s="68" t="s">
        <v>726</v>
      </c>
      <c r="J2443" s="70" t="s">
        <v>760</v>
      </c>
      <c r="K2443" s="71" t="s">
        <v>1791</v>
      </c>
      <c r="L2443" s="72">
        <v>41100</v>
      </c>
      <c r="M2443" s="73" t="s">
        <v>729</v>
      </c>
      <c r="N2443" s="74">
        <v>41114</v>
      </c>
      <c r="O2443" s="75">
        <f t="shared" si="569"/>
        <v>41114</v>
      </c>
      <c r="P2443" s="2765" t="s">
        <v>1792</v>
      </c>
      <c r="Q2443" s="2954">
        <v>104.24</v>
      </c>
      <c r="R2443" s="76"/>
      <c r="S2443" s="1945" t="s">
        <v>731</v>
      </c>
      <c r="T2443" s="77"/>
      <c r="U2443" s="1893"/>
      <c r="V2443" s="2079">
        <f t="shared" si="565"/>
        <v>123.00319999999999</v>
      </c>
      <c r="W2443" s="78">
        <f t="shared" si="566"/>
        <v>0</v>
      </c>
      <c r="X2443" s="1878" t="str">
        <f t="shared" si="564"/>
        <v xml:space="preserve">9.- C Lima Caucho 0590708-OT_169935  Reencauche 030-0019597 </v>
      </c>
      <c r="Z2443" s="19" t="str">
        <f t="shared" si="567"/>
        <v>ReencaucheReencauchadora RENOVA</v>
      </c>
    </row>
    <row r="2444" spans="2:26" outlineLevel="1">
      <c r="B2444" s="3275"/>
      <c r="C2444" s="2">
        <f t="shared" si="570"/>
        <v>129</v>
      </c>
      <c r="D2444" s="3">
        <f t="shared" si="571"/>
        <v>9</v>
      </c>
      <c r="E2444" s="66">
        <v>10</v>
      </c>
      <c r="F2444" s="67" t="s">
        <v>732</v>
      </c>
      <c r="G2444" s="68" t="s">
        <v>1233</v>
      </c>
      <c r="H2444" s="69" t="s">
        <v>1670</v>
      </c>
      <c r="I2444" s="68" t="s">
        <v>726</v>
      </c>
      <c r="J2444" s="70" t="s">
        <v>760</v>
      </c>
      <c r="K2444" s="71" t="s">
        <v>1812</v>
      </c>
      <c r="L2444" s="72">
        <v>41100</v>
      </c>
      <c r="M2444" s="73" t="s">
        <v>729</v>
      </c>
      <c r="N2444" s="74">
        <v>41114</v>
      </c>
      <c r="O2444" s="75">
        <f t="shared" si="569"/>
        <v>41114</v>
      </c>
      <c r="P2444" s="2765" t="s">
        <v>1792</v>
      </c>
      <c r="Q2444" s="2954">
        <v>104.24</v>
      </c>
      <c r="R2444" s="76"/>
      <c r="S2444" s="1945" t="s">
        <v>731</v>
      </c>
      <c r="T2444" s="77"/>
      <c r="U2444" s="1893"/>
      <c r="V2444" s="2079">
        <f t="shared" si="565"/>
        <v>123.00319999999999</v>
      </c>
      <c r="W2444" s="78">
        <f t="shared" si="566"/>
        <v>0</v>
      </c>
      <c r="X2444" s="1878" t="str">
        <f t="shared" si="564"/>
        <v xml:space="preserve">10.- C Saratoga 0350506-OT_169937  Reencauche 030-0019597 </v>
      </c>
      <c r="Z2444" s="19" t="str">
        <f t="shared" si="567"/>
        <v>ReencaucheReencauchadora RENOVA</v>
      </c>
    </row>
    <row r="2445" spans="2:26" outlineLevel="1">
      <c r="B2445" s="3275"/>
      <c r="C2445" s="2">
        <f t="shared" si="570"/>
        <v>128</v>
      </c>
      <c r="D2445" s="3">
        <f t="shared" si="571"/>
        <v>8</v>
      </c>
      <c r="E2445" s="66">
        <v>11</v>
      </c>
      <c r="F2445" s="67" t="s">
        <v>732</v>
      </c>
      <c r="G2445" s="68" t="s">
        <v>737</v>
      </c>
      <c r="H2445" s="69" t="s">
        <v>1048</v>
      </c>
      <c r="I2445" s="68" t="s">
        <v>726</v>
      </c>
      <c r="J2445" s="70" t="s">
        <v>760</v>
      </c>
      <c r="K2445" s="71" t="s">
        <v>1812</v>
      </c>
      <c r="L2445" s="72">
        <v>41100</v>
      </c>
      <c r="M2445" s="73" t="s">
        <v>729</v>
      </c>
      <c r="N2445" s="74">
        <v>41114</v>
      </c>
      <c r="O2445" s="75">
        <f t="shared" si="569"/>
        <v>41114</v>
      </c>
      <c r="P2445" s="2765" t="s">
        <v>1792</v>
      </c>
      <c r="Q2445" s="2954">
        <v>104.24</v>
      </c>
      <c r="R2445" s="76"/>
      <c r="S2445" s="1945" t="s">
        <v>731</v>
      </c>
      <c r="T2445" s="77"/>
      <c r="U2445" s="1893"/>
      <c r="V2445" s="2079">
        <f t="shared" si="565"/>
        <v>123.00319999999999</v>
      </c>
      <c r="W2445" s="78">
        <f t="shared" si="566"/>
        <v>0</v>
      </c>
      <c r="X2445" s="1878" t="str">
        <f t="shared" si="564"/>
        <v xml:space="preserve">11.- C Vikrant 0100111-OT_169937  Reencauche 030-0019597 </v>
      </c>
      <c r="Z2445" s="19" t="str">
        <f t="shared" si="567"/>
        <v>ReencaucheReencauchadora RENOVA</v>
      </c>
    </row>
    <row r="2446" spans="2:26" outlineLevel="1">
      <c r="B2446" s="3275"/>
      <c r="C2446" s="2">
        <f t="shared" si="570"/>
        <v>127</v>
      </c>
      <c r="D2446" s="3">
        <f t="shared" si="571"/>
        <v>7</v>
      </c>
      <c r="E2446" s="66">
        <v>12</v>
      </c>
      <c r="F2446" s="67" t="s">
        <v>732</v>
      </c>
      <c r="G2446" s="68" t="s">
        <v>737</v>
      </c>
      <c r="H2446" s="69" t="s">
        <v>1813</v>
      </c>
      <c r="I2446" s="68" t="s">
        <v>726</v>
      </c>
      <c r="J2446" s="70" t="s">
        <v>760</v>
      </c>
      <c r="K2446" s="71" t="s">
        <v>1812</v>
      </c>
      <c r="L2446" s="72">
        <v>41100</v>
      </c>
      <c r="M2446" s="73" t="s">
        <v>729</v>
      </c>
      <c r="N2446" s="74">
        <v>41114</v>
      </c>
      <c r="O2446" s="75">
        <f t="shared" si="569"/>
        <v>41114</v>
      </c>
      <c r="P2446" s="2765" t="s">
        <v>1792</v>
      </c>
      <c r="Q2446" s="2954">
        <v>104.24</v>
      </c>
      <c r="R2446" s="76"/>
      <c r="S2446" s="1945" t="s">
        <v>731</v>
      </c>
      <c r="T2446" s="77"/>
      <c r="U2446" s="1893"/>
      <c r="V2446" s="2079">
        <f t="shared" si="565"/>
        <v>123.00319999999999</v>
      </c>
      <c r="W2446" s="78">
        <f t="shared" si="566"/>
        <v>0</v>
      </c>
      <c r="X2446" s="1878" t="str">
        <f t="shared" si="564"/>
        <v xml:space="preserve">12.- C Vikrant 0931007-OT_169937  Reencauche 030-0019597 </v>
      </c>
      <c r="Z2446" s="19" t="str">
        <f t="shared" si="567"/>
        <v/>
      </c>
    </row>
    <row r="2447" spans="2:26" outlineLevel="1">
      <c r="B2447" s="3275"/>
      <c r="C2447" s="2">
        <f t="shared" si="570"/>
        <v>126</v>
      </c>
      <c r="D2447" s="3">
        <f t="shared" si="571"/>
        <v>6</v>
      </c>
      <c r="E2447" s="66">
        <v>13</v>
      </c>
      <c r="F2447" s="67" t="s">
        <v>732</v>
      </c>
      <c r="G2447" s="68" t="s">
        <v>737</v>
      </c>
      <c r="H2447" s="69" t="s">
        <v>1585</v>
      </c>
      <c r="I2447" s="68" t="s">
        <v>726</v>
      </c>
      <c r="J2447" s="70" t="s">
        <v>760</v>
      </c>
      <c r="K2447" s="71" t="s">
        <v>1812</v>
      </c>
      <c r="L2447" s="72">
        <v>41100</v>
      </c>
      <c r="M2447" s="73" t="s">
        <v>729</v>
      </c>
      <c r="N2447" s="74">
        <v>41114</v>
      </c>
      <c r="O2447" s="75">
        <f t="shared" si="569"/>
        <v>41114</v>
      </c>
      <c r="P2447" s="2765" t="s">
        <v>1792</v>
      </c>
      <c r="Q2447" s="2954">
        <v>104.24</v>
      </c>
      <c r="R2447" s="76"/>
      <c r="S2447" s="1945" t="s">
        <v>731</v>
      </c>
      <c r="T2447" s="77"/>
      <c r="U2447" s="1893"/>
      <c r="V2447" s="2079">
        <f t="shared" si="565"/>
        <v>123.00319999999999</v>
      </c>
      <c r="W2447" s="78">
        <f t="shared" si="566"/>
        <v>0</v>
      </c>
      <c r="X2447" s="1878" t="str">
        <f t="shared" si="564"/>
        <v xml:space="preserve">13.- C Vikrant 0861009-OT_169937  Reencauche 030-0019597 </v>
      </c>
      <c r="Z2447" s="19" t="str">
        <f t="shared" si="567"/>
        <v>Transpl BandaReencauchadora Espinoza</v>
      </c>
    </row>
    <row r="2448" spans="2:26" outlineLevel="1">
      <c r="B2448" s="3275"/>
      <c r="C2448" s="2">
        <f>1+C2450</f>
        <v>125</v>
      </c>
      <c r="D2448" s="3">
        <f>1+D2450</f>
        <v>5</v>
      </c>
      <c r="E2448" s="66">
        <v>14</v>
      </c>
      <c r="F2448" s="67" t="s">
        <v>732</v>
      </c>
      <c r="G2448" s="68" t="s">
        <v>737</v>
      </c>
      <c r="H2448" s="69" t="s">
        <v>1424</v>
      </c>
      <c r="I2448" s="68" t="s">
        <v>726</v>
      </c>
      <c r="J2448" s="70" t="s">
        <v>760</v>
      </c>
      <c r="K2448" s="71" t="s">
        <v>1812</v>
      </c>
      <c r="L2448" s="72">
        <v>41100</v>
      </c>
      <c r="M2448" s="73" t="s">
        <v>729</v>
      </c>
      <c r="N2448" s="74">
        <v>41114</v>
      </c>
      <c r="O2448" s="75">
        <f t="shared" si="569"/>
        <v>41114</v>
      </c>
      <c r="P2448" s="2765" t="s">
        <v>1792</v>
      </c>
      <c r="Q2448" s="2954">
        <v>104.24</v>
      </c>
      <c r="R2448" s="76"/>
      <c r="S2448" s="1945" t="s">
        <v>731</v>
      </c>
      <c r="T2448" s="77"/>
      <c r="U2448" s="1893"/>
      <c r="V2448" s="2079">
        <f t="shared" si="565"/>
        <v>123.00319999999999</v>
      </c>
      <c r="W2448" s="78">
        <f t="shared" si="566"/>
        <v>0</v>
      </c>
      <c r="X2448" s="1878" t="str">
        <f t="shared" si="564"/>
        <v xml:space="preserve">14.- C Vikrant 0720505-OT_169937  Reencauche 030-0019597 </v>
      </c>
      <c r="Z2448" s="19" t="str">
        <f t="shared" si="567"/>
        <v>Transpl BandaReencauchadora Espinoza</v>
      </c>
    </row>
    <row r="2449" spans="2:26" outlineLevel="1">
      <c r="B2449" s="3275"/>
      <c r="E2449" s="79">
        <v>15</v>
      </c>
      <c r="F2449" s="80" t="s">
        <v>732</v>
      </c>
      <c r="G2449" s="319" t="s">
        <v>757</v>
      </c>
      <c r="H2449" s="320" t="s">
        <v>1814</v>
      </c>
      <c r="I2449" s="319"/>
      <c r="J2449" s="321"/>
      <c r="K2449" s="322" t="s">
        <v>1791</v>
      </c>
      <c r="L2449" s="323">
        <v>41100</v>
      </c>
      <c r="M2449" s="324" t="s">
        <v>1815</v>
      </c>
      <c r="N2449" s="325">
        <v>41114</v>
      </c>
      <c r="O2449" s="326">
        <f t="shared" si="569"/>
        <v>41114</v>
      </c>
      <c r="P2449" s="2797" t="s">
        <v>1816</v>
      </c>
      <c r="Q2449" s="2978">
        <v>0</v>
      </c>
      <c r="R2449" s="327"/>
      <c r="S2449" s="1964" t="s">
        <v>731</v>
      </c>
      <c r="T2449" s="274" t="s">
        <v>1617</v>
      </c>
      <c r="U2449" s="1895"/>
      <c r="V2449" s="2079">
        <f t="shared" si="565"/>
        <v>0</v>
      </c>
      <c r="W2449" s="78">
        <f t="shared" si="566"/>
        <v>0</v>
      </c>
      <c r="X2449" s="1878" t="str">
        <f t="shared" si="564"/>
        <v>15.- C Goodyear 009032003-OT_169935   G-033-0009378  Llanta Rechazada, no se facturo</v>
      </c>
      <c r="Z2449" s="19" t="str">
        <f t="shared" si="567"/>
        <v>Vulcanizado (curación)Reencauchadora Espinoza</v>
      </c>
    </row>
    <row r="2450" spans="2:26" outlineLevel="1">
      <c r="B2450" s="3275"/>
      <c r="C2450" s="2">
        <f t="shared" ref="C2450:D2452" si="572">1+C2451</f>
        <v>124</v>
      </c>
      <c r="D2450" s="3">
        <f t="shared" si="572"/>
        <v>4</v>
      </c>
      <c r="E2450" s="66">
        <v>1</v>
      </c>
      <c r="F2450" s="67" t="s">
        <v>732</v>
      </c>
      <c r="G2450" s="68" t="s">
        <v>733</v>
      </c>
      <c r="H2450" s="69" t="s">
        <v>1508</v>
      </c>
      <c r="I2450" s="257" t="s">
        <v>740</v>
      </c>
      <c r="J2450" s="92" t="s">
        <v>1543</v>
      </c>
      <c r="K2450" s="71" t="s">
        <v>1817</v>
      </c>
      <c r="L2450" s="72">
        <v>41082</v>
      </c>
      <c r="M2450" s="73" t="s">
        <v>729</v>
      </c>
      <c r="N2450" s="74">
        <v>41094</v>
      </c>
      <c r="O2450" s="75">
        <f t="shared" si="569"/>
        <v>41094</v>
      </c>
      <c r="P2450" s="2765" t="s">
        <v>1818</v>
      </c>
      <c r="Q2450" s="2954"/>
      <c r="R2450" s="76">
        <f>150/(1.18)</f>
        <v>127.11864406779662</v>
      </c>
      <c r="S2450" s="1945" t="s">
        <v>731</v>
      </c>
      <c r="T2450" s="77"/>
      <c r="U2450" s="1893"/>
      <c r="V2450" s="2079">
        <f t="shared" si="565"/>
        <v>0</v>
      </c>
      <c r="W2450" s="78">
        <f t="shared" si="566"/>
        <v>150</v>
      </c>
      <c r="X2450" s="1878" t="str">
        <f t="shared" si="564"/>
        <v xml:space="preserve">1.- C Lima Caucho 0320508-OT_001238  Transpl Banda 001-002519 </v>
      </c>
      <c r="Z2450" s="19" t="str">
        <f t="shared" si="567"/>
        <v>Vulcanizado (curación)Reencauchadora Espinoza</v>
      </c>
    </row>
    <row r="2451" spans="2:26" outlineLevel="1">
      <c r="B2451" s="3275"/>
      <c r="C2451" s="2">
        <f t="shared" si="572"/>
        <v>123</v>
      </c>
      <c r="D2451" s="3">
        <f t="shared" si="572"/>
        <v>3</v>
      </c>
      <c r="E2451" s="66">
        <v>2</v>
      </c>
      <c r="F2451" s="67" t="s">
        <v>732</v>
      </c>
      <c r="G2451" s="68" t="s">
        <v>757</v>
      </c>
      <c r="H2451" s="69" t="s">
        <v>1644</v>
      </c>
      <c r="I2451" s="257" t="s">
        <v>740</v>
      </c>
      <c r="J2451" s="92" t="s">
        <v>1543</v>
      </c>
      <c r="K2451" s="71" t="s">
        <v>1817</v>
      </c>
      <c r="L2451" s="72">
        <v>41082</v>
      </c>
      <c r="M2451" s="73" t="s">
        <v>729</v>
      </c>
      <c r="N2451" s="74">
        <v>41094</v>
      </c>
      <c r="O2451" s="75">
        <f t="shared" si="569"/>
        <v>41094</v>
      </c>
      <c r="P2451" s="2765" t="s">
        <v>1818</v>
      </c>
      <c r="Q2451" s="2954"/>
      <c r="R2451" s="76">
        <f>150/(1.18)</f>
        <v>127.11864406779662</v>
      </c>
      <c r="S2451" s="1945" t="s">
        <v>731</v>
      </c>
      <c r="T2451" s="77"/>
      <c r="U2451" s="1893"/>
      <c r="V2451" s="2079">
        <f t="shared" si="565"/>
        <v>0</v>
      </c>
      <c r="W2451" s="78">
        <f t="shared" si="566"/>
        <v>150</v>
      </c>
      <c r="X2451" s="1878" t="str">
        <f t="shared" si="564"/>
        <v xml:space="preserve">2.- C Goodyear 068112002-OT_001238  Transpl Banda 001-002519 </v>
      </c>
      <c r="Z2451" s="19" t="str">
        <f t="shared" si="567"/>
        <v>Sacar_BandaReencauchadora Espinoza</v>
      </c>
    </row>
    <row r="2452" spans="2:26" outlineLevel="1">
      <c r="B2452" s="3275"/>
      <c r="C2452" s="2">
        <f t="shared" si="572"/>
        <v>122</v>
      </c>
      <c r="D2452" s="3">
        <f t="shared" si="572"/>
        <v>2</v>
      </c>
      <c r="E2452" s="66">
        <v>3</v>
      </c>
      <c r="F2452" s="67" t="s">
        <v>732</v>
      </c>
      <c r="G2452" s="68" t="s">
        <v>733</v>
      </c>
      <c r="H2452" s="69" t="s">
        <v>1819</v>
      </c>
      <c r="I2452" s="174" t="s">
        <v>811</v>
      </c>
      <c r="J2452" s="176" t="s">
        <v>1543</v>
      </c>
      <c r="K2452" s="71" t="s">
        <v>1820</v>
      </c>
      <c r="L2452" s="72">
        <v>41082</v>
      </c>
      <c r="M2452" s="73" t="s">
        <v>729</v>
      </c>
      <c r="N2452" s="74">
        <v>41094</v>
      </c>
      <c r="O2452" s="75">
        <f t="shared" si="569"/>
        <v>41094</v>
      </c>
      <c r="P2452" s="2765" t="s">
        <v>1818</v>
      </c>
      <c r="Q2452" s="2954"/>
      <c r="R2452" s="76">
        <f>125/(1.18)</f>
        <v>105.93220338983052</v>
      </c>
      <c r="S2452" s="1945" t="s">
        <v>731</v>
      </c>
      <c r="T2452" s="77"/>
      <c r="U2452" s="1893"/>
      <c r="V2452" s="2079">
        <f t="shared" si="565"/>
        <v>0</v>
      </c>
      <c r="W2452" s="78">
        <f t="shared" si="566"/>
        <v>125</v>
      </c>
      <c r="X2452" s="1878" t="str">
        <f t="shared" si="564"/>
        <v xml:space="preserve">3.- C Lima Caucho 1301207-OT_001236  Vulcanizado (curación) 001-002519 </v>
      </c>
      <c r="Z2452" s="19" t="str">
        <f t="shared" si="567"/>
        <v>Sacar_BandaReencauchadora Espinoza</v>
      </c>
    </row>
    <row r="2453" spans="2:26">
      <c r="B2453" s="3275"/>
      <c r="C2453" s="2">
        <f>1+C2457</f>
        <v>121</v>
      </c>
      <c r="D2453" s="3">
        <v>1</v>
      </c>
      <c r="E2453" s="66">
        <v>4</v>
      </c>
      <c r="F2453" s="67" t="s">
        <v>732</v>
      </c>
      <c r="G2453" s="68" t="s">
        <v>733</v>
      </c>
      <c r="H2453" s="69" t="s">
        <v>847</v>
      </c>
      <c r="I2453" s="174" t="s">
        <v>811</v>
      </c>
      <c r="J2453" s="176" t="s">
        <v>1543</v>
      </c>
      <c r="K2453" s="71" t="s">
        <v>1820</v>
      </c>
      <c r="L2453" s="72">
        <v>41082</v>
      </c>
      <c r="M2453" s="73" t="s">
        <v>729</v>
      </c>
      <c r="N2453" s="74">
        <v>41094</v>
      </c>
      <c r="O2453" s="75">
        <f t="shared" si="569"/>
        <v>41094</v>
      </c>
      <c r="P2453" s="2765" t="s">
        <v>1818</v>
      </c>
      <c r="Q2453" s="2954"/>
      <c r="R2453" s="76">
        <f>125/(1.18)</f>
        <v>105.93220338983052</v>
      </c>
      <c r="S2453" s="1945" t="s">
        <v>731</v>
      </c>
      <c r="T2453" s="77"/>
      <c r="U2453" s="1893"/>
      <c r="V2453" s="2079">
        <f t="shared" si="565"/>
        <v>0</v>
      </c>
      <c r="W2453" s="78">
        <f t="shared" si="566"/>
        <v>125</v>
      </c>
      <c r="X2453" s="1878" t="str">
        <f t="shared" si="564"/>
        <v xml:space="preserve">4.- C Lima Caucho 1061208-OT_001236  Vulcanizado (curación) 001-002519 </v>
      </c>
    </row>
    <row r="2454" spans="2:26" ht="15.2" customHeight="1" outlineLevel="1">
      <c r="B2454" s="3275"/>
      <c r="E2454" s="66">
        <v>5</v>
      </c>
      <c r="F2454" s="67" t="s">
        <v>732</v>
      </c>
      <c r="G2454" s="68" t="s">
        <v>1108</v>
      </c>
      <c r="H2454" s="69" t="s">
        <v>1821</v>
      </c>
      <c r="I2454" s="257" t="s">
        <v>744</v>
      </c>
      <c r="J2454" s="92" t="s">
        <v>1543</v>
      </c>
      <c r="K2454" s="71" t="s">
        <v>1822</v>
      </c>
      <c r="L2454" s="72">
        <v>41082</v>
      </c>
      <c r="M2454" s="73" t="s">
        <v>729</v>
      </c>
      <c r="N2454" s="74">
        <v>41096</v>
      </c>
      <c r="O2454" s="75">
        <f t="shared" si="569"/>
        <v>41096</v>
      </c>
      <c r="P2454" s="2765" t="s">
        <v>1818</v>
      </c>
      <c r="Q2454" s="2954"/>
      <c r="R2454" s="76">
        <v>0</v>
      </c>
      <c r="S2454" s="1945" t="s">
        <v>731</v>
      </c>
      <c r="T2454" s="77"/>
      <c r="U2454" s="1893"/>
      <c r="V2454" s="2079">
        <f t="shared" si="565"/>
        <v>0</v>
      </c>
      <c r="W2454" s="78">
        <f t="shared" si="566"/>
        <v>0</v>
      </c>
      <c r="X2454" s="1878" t="str">
        <f t="shared" si="564"/>
        <v xml:space="preserve">5.- C Hankook 0650305-OT_001237  Sacar_Banda 001-002519 </v>
      </c>
      <c r="Z2454" s="19" t="str">
        <f t="shared" ref="Z2454:Z2488" si="573">CONCATENATE(I2457,J2457)</f>
        <v>ReencaucheReencauchadora RENOVA</v>
      </c>
    </row>
    <row r="2455" spans="2:26" ht="15.75" outlineLevel="1" thickBot="1">
      <c r="B2455" s="3276"/>
      <c r="E2455" s="307">
        <v>6</v>
      </c>
      <c r="F2455" s="328" t="s">
        <v>732</v>
      </c>
      <c r="G2455" s="329" t="s">
        <v>733</v>
      </c>
      <c r="H2455" s="330" t="s">
        <v>1823</v>
      </c>
      <c r="I2455" s="331" t="s">
        <v>744</v>
      </c>
      <c r="J2455" s="332" t="s">
        <v>1543</v>
      </c>
      <c r="K2455" s="333" t="s">
        <v>1822</v>
      </c>
      <c r="L2455" s="334">
        <v>41082</v>
      </c>
      <c r="M2455" s="335" t="s">
        <v>729</v>
      </c>
      <c r="N2455" s="336">
        <v>41094</v>
      </c>
      <c r="O2455" s="337">
        <f t="shared" si="569"/>
        <v>41094</v>
      </c>
      <c r="P2455" s="2798" t="s">
        <v>1818</v>
      </c>
      <c r="Q2455" s="2979"/>
      <c r="R2455" s="338">
        <v>0</v>
      </c>
      <c r="S2455" s="1965" t="s">
        <v>731</v>
      </c>
      <c r="T2455" s="77"/>
      <c r="U2455" s="1893"/>
      <c r="V2455" s="2079">
        <f t="shared" si="565"/>
        <v>0</v>
      </c>
      <c r="W2455" s="78">
        <f t="shared" si="566"/>
        <v>0</v>
      </c>
      <c r="X2455" s="1878" t="str">
        <f t="shared" si="564"/>
        <v xml:space="preserve">6.- C Lima Caucho 0380707-OT_001237  Sacar_Banda 001-002519 </v>
      </c>
      <c r="Z2455" s="19" t="str">
        <f t="shared" si="573"/>
        <v>ReencaucheReencauchadora RENOVA</v>
      </c>
    </row>
    <row r="2456" spans="2:26" ht="15.75" outlineLevel="1" thickBot="1">
      <c r="B2456" s="3310">
        <f>+B2457</f>
        <v>41061</v>
      </c>
      <c r="C2456" s="3310"/>
      <c r="D2456" s="258">
        <f>+D2457</f>
        <v>26</v>
      </c>
      <c r="E2456" s="66"/>
      <c r="F2456" s="67"/>
      <c r="G2456" s="68"/>
      <c r="H2456" s="69"/>
      <c r="I2456" s="257"/>
      <c r="J2456" s="92"/>
      <c r="K2456" s="71"/>
      <c r="L2456" s="72"/>
      <c r="M2456" s="73"/>
      <c r="N2456" s="74"/>
      <c r="O2456" s="75"/>
      <c r="P2456" s="2765"/>
      <c r="Q2456" s="2954"/>
      <c r="R2456" s="76"/>
      <c r="S2456" s="1945"/>
      <c r="T2456" s="77"/>
      <c r="U2456" s="1893"/>
      <c r="V2456" s="2079">
        <f t="shared" si="565"/>
        <v>0</v>
      </c>
      <c r="W2456" s="78">
        <f t="shared" si="566"/>
        <v>0</v>
      </c>
      <c r="X2456" s="1878" t="str">
        <f t="shared" si="564"/>
        <v xml:space="preserve">.-   -OT_    </v>
      </c>
      <c r="Z2456" s="19" t="str">
        <f t="shared" si="573"/>
        <v>ReencaucheReencauchadora RENOVA</v>
      </c>
    </row>
    <row r="2457" spans="2:26" outlineLevel="1">
      <c r="B2457" s="3274">
        <v>41061</v>
      </c>
      <c r="C2457" s="2">
        <f t="shared" ref="C2457:C2476" si="574">1+C2458</f>
        <v>120</v>
      </c>
      <c r="D2457" s="306">
        <f t="shared" ref="D2457:D2476" si="575">1+D2458</f>
        <v>26</v>
      </c>
      <c r="E2457" s="66">
        <v>1</v>
      </c>
      <c r="F2457" s="67" t="s">
        <v>732</v>
      </c>
      <c r="G2457" s="68" t="s">
        <v>737</v>
      </c>
      <c r="H2457" s="69" t="s">
        <v>1265</v>
      </c>
      <c r="I2457" s="68" t="s">
        <v>726</v>
      </c>
      <c r="J2457" s="70" t="s">
        <v>760</v>
      </c>
      <c r="K2457" s="71" t="s">
        <v>1824</v>
      </c>
      <c r="L2457" s="72">
        <v>41065</v>
      </c>
      <c r="M2457" s="73" t="s">
        <v>729</v>
      </c>
      <c r="N2457" s="74">
        <v>41080</v>
      </c>
      <c r="O2457" s="75">
        <f t="shared" ref="O2457:O2491" si="576">+N2457</f>
        <v>41080</v>
      </c>
      <c r="P2457" s="2765" t="s">
        <v>1825</v>
      </c>
      <c r="Q2457" s="2954">
        <v>104.24</v>
      </c>
      <c r="R2457" s="76"/>
      <c r="S2457" s="1945" t="s">
        <v>731</v>
      </c>
      <c r="T2457" s="77"/>
      <c r="U2457" s="1893"/>
      <c r="V2457" s="2079">
        <f t="shared" si="565"/>
        <v>123.00319999999999</v>
      </c>
      <c r="W2457" s="78">
        <f t="shared" si="566"/>
        <v>0</v>
      </c>
      <c r="X2457" s="1878" t="str">
        <f t="shared" si="564"/>
        <v xml:space="preserve">1.- C Vikrant 06022010-OT_167350  Reencauche 030-0018804 </v>
      </c>
      <c r="Z2457" s="19" t="str">
        <f t="shared" si="573"/>
        <v>ReencaucheReencauchadora RENOVA</v>
      </c>
    </row>
    <row r="2458" spans="2:26" outlineLevel="1">
      <c r="B2458" s="3275"/>
      <c r="C2458" s="2">
        <f t="shared" si="574"/>
        <v>119</v>
      </c>
      <c r="D2458" s="3">
        <f t="shared" si="575"/>
        <v>25</v>
      </c>
      <c r="E2458" s="66">
        <v>2</v>
      </c>
      <c r="F2458" s="67" t="s">
        <v>732</v>
      </c>
      <c r="G2458" s="68" t="s">
        <v>737</v>
      </c>
      <c r="H2458" s="69" t="s">
        <v>1669</v>
      </c>
      <c r="I2458" s="68" t="s">
        <v>726</v>
      </c>
      <c r="J2458" s="70" t="s">
        <v>760</v>
      </c>
      <c r="K2458" s="71" t="s">
        <v>1824</v>
      </c>
      <c r="L2458" s="72">
        <v>41065</v>
      </c>
      <c r="M2458" s="73" t="s">
        <v>729</v>
      </c>
      <c r="N2458" s="74">
        <v>41080</v>
      </c>
      <c r="O2458" s="75">
        <f t="shared" si="576"/>
        <v>41080</v>
      </c>
      <c r="P2458" s="2765" t="s">
        <v>1825</v>
      </c>
      <c r="Q2458" s="2954">
        <v>104.24</v>
      </c>
      <c r="R2458" s="76"/>
      <c r="S2458" s="1945" t="s">
        <v>731</v>
      </c>
      <c r="T2458" s="77"/>
      <c r="U2458" s="1893"/>
      <c r="V2458" s="2079">
        <f t="shared" si="565"/>
        <v>123.00319999999999</v>
      </c>
      <c r="W2458" s="78">
        <f t="shared" si="566"/>
        <v>0</v>
      </c>
      <c r="X2458" s="1878" t="str">
        <f t="shared" si="564"/>
        <v xml:space="preserve">2.- C Vikrant 0240211-OT_167350  Reencauche 030-0018804 </v>
      </c>
      <c r="Z2458" s="19" t="str">
        <f t="shared" si="573"/>
        <v>ReencaucheReencauchadora RENOVA</v>
      </c>
    </row>
    <row r="2459" spans="2:26" outlineLevel="1">
      <c r="B2459" s="3275"/>
      <c r="C2459" s="2">
        <f t="shared" si="574"/>
        <v>118</v>
      </c>
      <c r="D2459" s="3">
        <f t="shared" si="575"/>
        <v>24</v>
      </c>
      <c r="E2459" s="66">
        <v>3</v>
      </c>
      <c r="F2459" s="67" t="s">
        <v>732</v>
      </c>
      <c r="G2459" s="68" t="s">
        <v>737</v>
      </c>
      <c r="H2459" s="69" t="s">
        <v>1199</v>
      </c>
      <c r="I2459" s="68" t="s">
        <v>726</v>
      </c>
      <c r="J2459" s="70" t="s">
        <v>760</v>
      </c>
      <c r="K2459" s="71" t="s">
        <v>1824</v>
      </c>
      <c r="L2459" s="72">
        <v>41065</v>
      </c>
      <c r="M2459" s="73" t="s">
        <v>729</v>
      </c>
      <c r="N2459" s="74">
        <v>41080</v>
      </c>
      <c r="O2459" s="75">
        <f t="shared" si="576"/>
        <v>41080</v>
      </c>
      <c r="P2459" s="2765" t="s">
        <v>1826</v>
      </c>
      <c r="Q2459" s="2954">
        <v>104.24</v>
      </c>
      <c r="R2459" s="76"/>
      <c r="S2459" s="1945" t="s">
        <v>731</v>
      </c>
      <c r="T2459" s="77"/>
      <c r="U2459" s="1893"/>
      <c r="V2459" s="2079">
        <f t="shared" si="565"/>
        <v>123.00319999999999</v>
      </c>
      <c r="W2459" s="78">
        <f t="shared" si="566"/>
        <v>0</v>
      </c>
      <c r="X2459" s="1878" t="str">
        <f t="shared" si="564"/>
        <v xml:space="preserve">3.- C Vikrant 0040109-OT_167350  Reencauche 030-0018805 </v>
      </c>
      <c r="Z2459" s="19" t="str">
        <f t="shared" si="573"/>
        <v>ReencaucheReencauchadora RENOVA</v>
      </c>
    </row>
    <row r="2460" spans="2:26" outlineLevel="1">
      <c r="B2460" s="3275"/>
      <c r="C2460" s="2">
        <f t="shared" si="574"/>
        <v>117</v>
      </c>
      <c r="D2460" s="3">
        <f t="shared" si="575"/>
        <v>23</v>
      </c>
      <c r="E2460" s="66">
        <v>4</v>
      </c>
      <c r="F2460" s="67" t="s">
        <v>732</v>
      </c>
      <c r="G2460" s="68" t="s">
        <v>737</v>
      </c>
      <c r="H2460" s="69" t="s">
        <v>1200</v>
      </c>
      <c r="I2460" s="68" t="s">
        <v>726</v>
      </c>
      <c r="J2460" s="70" t="s">
        <v>760</v>
      </c>
      <c r="K2460" s="71" t="s">
        <v>1824</v>
      </c>
      <c r="L2460" s="72">
        <v>41065</v>
      </c>
      <c r="M2460" s="73" t="s">
        <v>729</v>
      </c>
      <c r="N2460" s="74">
        <v>41080</v>
      </c>
      <c r="O2460" s="75">
        <f t="shared" si="576"/>
        <v>41080</v>
      </c>
      <c r="P2460" s="2765" t="s">
        <v>1826</v>
      </c>
      <c r="Q2460" s="2954">
        <v>104.24</v>
      </c>
      <c r="R2460" s="76"/>
      <c r="S2460" s="1945" t="s">
        <v>731</v>
      </c>
      <c r="T2460" s="77"/>
      <c r="U2460" s="1893"/>
      <c r="V2460" s="2079">
        <f t="shared" si="565"/>
        <v>123.00319999999999</v>
      </c>
      <c r="W2460" s="78">
        <f t="shared" si="566"/>
        <v>0</v>
      </c>
      <c r="X2460" s="1878" t="str">
        <f t="shared" si="564"/>
        <v xml:space="preserve">4.- C Vikrant 1390805-OT_167350  Reencauche 030-0018805 </v>
      </c>
      <c r="Z2460" s="19" t="str">
        <f t="shared" si="573"/>
        <v>ReencaucheReencauchadora RENOVA</v>
      </c>
    </row>
    <row r="2461" spans="2:26" outlineLevel="1">
      <c r="B2461" s="3275"/>
      <c r="C2461" s="2">
        <f t="shared" si="574"/>
        <v>116</v>
      </c>
      <c r="D2461" s="3">
        <f t="shared" si="575"/>
        <v>22</v>
      </c>
      <c r="E2461" s="66">
        <v>5</v>
      </c>
      <c r="F2461" s="67" t="s">
        <v>732</v>
      </c>
      <c r="G2461" s="68" t="s">
        <v>737</v>
      </c>
      <c r="H2461" s="69" t="s">
        <v>1003</v>
      </c>
      <c r="I2461" s="68" t="s">
        <v>726</v>
      </c>
      <c r="J2461" s="70" t="s">
        <v>760</v>
      </c>
      <c r="K2461" s="71" t="s">
        <v>1824</v>
      </c>
      <c r="L2461" s="72">
        <v>41065</v>
      </c>
      <c r="M2461" s="73" t="s">
        <v>729</v>
      </c>
      <c r="N2461" s="74">
        <v>41080</v>
      </c>
      <c r="O2461" s="75">
        <f t="shared" si="576"/>
        <v>41080</v>
      </c>
      <c r="P2461" s="2765" t="s">
        <v>1826</v>
      </c>
      <c r="Q2461" s="2954">
        <v>104.24</v>
      </c>
      <c r="R2461" s="76"/>
      <c r="S2461" s="1945" t="s">
        <v>731</v>
      </c>
      <c r="T2461" s="77"/>
      <c r="U2461" s="1893"/>
      <c r="V2461" s="2079">
        <f t="shared" si="565"/>
        <v>123.00319999999999</v>
      </c>
      <c r="W2461" s="78">
        <f t="shared" si="566"/>
        <v>0</v>
      </c>
      <c r="X2461" s="1878" t="str">
        <f t="shared" si="564"/>
        <v xml:space="preserve">5.- C Vikrant 1451105-OT_167350  Reencauche 030-0018805 </v>
      </c>
      <c r="Z2461" s="19" t="str">
        <f t="shared" si="573"/>
        <v>ReencaucheReencauchadora RENOVA</v>
      </c>
    </row>
    <row r="2462" spans="2:26" outlineLevel="1">
      <c r="B2462" s="3275"/>
      <c r="C2462" s="2">
        <f t="shared" si="574"/>
        <v>115</v>
      </c>
      <c r="D2462" s="3">
        <f t="shared" si="575"/>
        <v>21</v>
      </c>
      <c r="E2462" s="66">
        <v>6</v>
      </c>
      <c r="F2462" s="67" t="s">
        <v>732</v>
      </c>
      <c r="G2462" s="68" t="s">
        <v>737</v>
      </c>
      <c r="H2462" s="69" t="s">
        <v>845</v>
      </c>
      <c r="I2462" s="68" t="s">
        <v>726</v>
      </c>
      <c r="J2462" s="70" t="s">
        <v>760</v>
      </c>
      <c r="K2462" s="71" t="s">
        <v>1824</v>
      </c>
      <c r="L2462" s="72">
        <v>41065</v>
      </c>
      <c r="M2462" s="73" t="s">
        <v>729</v>
      </c>
      <c r="N2462" s="74">
        <v>41080</v>
      </c>
      <c r="O2462" s="75">
        <f t="shared" si="576"/>
        <v>41080</v>
      </c>
      <c r="P2462" s="2765" t="s">
        <v>1825</v>
      </c>
      <c r="Q2462" s="2954">
        <v>104.24</v>
      </c>
      <c r="R2462" s="76"/>
      <c r="S2462" s="1945" t="s">
        <v>731</v>
      </c>
      <c r="T2462" s="77"/>
      <c r="U2462" s="1893"/>
      <c r="V2462" s="2079">
        <f t="shared" si="565"/>
        <v>123.00319999999999</v>
      </c>
      <c r="W2462" s="78">
        <f t="shared" si="566"/>
        <v>0</v>
      </c>
      <c r="X2462" s="1878" t="str">
        <f t="shared" si="564"/>
        <v xml:space="preserve">6.- C Vikrant 1010705-OT_167350  Reencauche 030-0018804 </v>
      </c>
      <c r="Z2462" s="19" t="str">
        <f t="shared" si="573"/>
        <v>ReencaucheReencauchadora RENOVA</v>
      </c>
    </row>
    <row r="2463" spans="2:26" outlineLevel="1">
      <c r="B2463" s="3275"/>
      <c r="C2463" s="2">
        <f t="shared" si="574"/>
        <v>114</v>
      </c>
      <c r="D2463" s="3">
        <f t="shared" si="575"/>
        <v>20</v>
      </c>
      <c r="E2463" s="66">
        <v>7</v>
      </c>
      <c r="F2463" s="67" t="s">
        <v>732</v>
      </c>
      <c r="G2463" s="68" t="s">
        <v>737</v>
      </c>
      <c r="H2463" s="69" t="s">
        <v>1827</v>
      </c>
      <c r="I2463" s="68" t="s">
        <v>726</v>
      </c>
      <c r="J2463" s="70" t="s">
        <v>760</v>
      </c>
      <c r="K2463" s="71" t="s">
        <v>1824</v>
      </c>
      <c r="L2463" s="72">
        <v>41065</v>
      </c>
      <c r="M2463" s="73" t="s">
        <v>729</v>
      </c>
      <c r="N2463" s="74">
        <v>41080</v>
      </c>
      <c r="O2463" s="75">
        <f t="shared" si="576"/>
        <v>41080</v>
      </c>
      <c r="P2463" s="2765" t="s">
        <v>1826</v>
      </c>
      <c r="Q2463" s="2954">
        <v>104.24</v>
      </c>
      <c r="R2463" s="76"/>
      <c r="S2463" s="1945" t="s">
        <v>731</v>
      </c>
      <c r="T2463" s="77"/>
      <c r="U2463" s="1893"/>
      <c r="V2463" s="2079">
        <f t="shared" si="565"/>
        <v>123.00319999999999</v>
      </c>
      <c r="W2463" s="78">
        <f t="shared" si="566"/>
        <v>0</v>
      </c>
      <c r="X2463" s="1878" t="str">
        <f t="shared" si="564"/>
        <v xml:space="preserve">7.- C Vikrant 170310-OT_167350  Reencauche 030-0018805 </v>
      </c>
      <c r="Z2463" s="19" t="str">
        <f t="shared" si="573"/>
        <v>ReencaucheReencauchadora RENOVA</v>
      </c>
    </row>
    <row r="2464" spans="2:26" outlineLevel="1">
      <c r="B2464" s="3275"/>
      <c r="C2464" s="2">
        <f t="shared" si="574"/>
        <v>113</v>
      </c>
      <c r="D2464" s="3">
        <f t="shared" si="575"/>
        <v>19</v>
      </c>
      <c r="E2464" s="66">
        <v>8</v>
      </c>
      <c r="F2464" s="67" t="s">
        <v>732</v>
      </c>
      <c r="G2464" s="68" t="s">
        <v>737</v>
      </c>
      <c r="H2464" s="69" t="s">
        <v>998</v>
      </c>
      <c r="I2464" s="68" t="s">
        <v>726</v>
      </c>
      <c r="J2464" s="70" t="s">
        <v>760</v>
      </c>
      <c r="K2464" s="71" t="s">
        <v>1824</v>
      </c>
      <c r="L2464" s="72">
        <v>41065</v>
      </c>
      <c r="M2464" s="73" t="s">
        <v>729</v>
      </c>
      <c r="N2464" s="74">
        <v>41080</v>
      </c>
      <c r="O2464" s="75">
        <f t="shared" si="576"/>
        <v>41080</v>
      </c>
      <c r="P2464" s="2765" t="s">
        <v>1826</v>
      </c>
      <c r="Q2464" s="2954">
        <v>104.24</v>
      </c>
      <c r="R2464" s="76"/>
      <c r="S2464" s="1945" t="s">
        <v>731</v>
      </c>
      <c r="T2464" s="77"/>
      <c r="U2464" s="1893"/>
      <c r="V2464" s="2079">
        <f t="shared" si="565"/>
        <v>123.00319999999999</v>
      </c>
      <c r="W2464" s="78">
        <f t="shared" si="566"/>
        <v>0</v>
      </c>
      <c r="X2464" s="1878" t="str">
        <f t="shared" si="564"/>
        <v xml:space="preserve">8.- C Vikrant 0090111-OT_167350  Reencauche 030-0018805 </v>
      </c>
      <c r="Z2464" s="19" t="str">
        <f t="shared" si="573"/>
        <v>ReencaucheReencauchadora RENOVA</v>
      </c>
    </row>
    <row r="2465" spans="2:26" outlineLevel="1">
      <c r="B2465" s="3275"/>
      <c r="C2465" s="2">
        <f t="shared" si="574"/>
        <v>112</v>
      </c>
      <c r="D2465" s="3">
        <f t="shared" si="575"/>
        <v>18</v>
      </c>
      <c r="E2465" s="66">
        <v>9</v>
      </c>
      <c r="F2465" s="67" t="s">
        <v>732</v>
      </c>
      <c r="G2465" s="68" t="s">
        <v>737</v>
      </c>
      <c r="H2465" s="69" t="s">
        <v>1118</v>
      </c>
      <c r="I2465" s="68" t="s">
        <v>726</v>
      </c>
      <c r="J2465" s="70" t="s">
        <v>760</v>
      </c>
      <c r="K2465" s="71" t="s">
        <v>1824</v>
      </c>
      <c r="L2465" s="72">
        <v>41065</v>
      </c>
      <c r="M2465" s="73" t="s">
        <v>729</v>
      </c>
      <c r="N2465" s="74">
        <v>41080</v>
      </c>
      <c r="O2465" s="75">
        <f t="shared" si="576"/>
        <v>41080</v>
      </c>
      <c r="P2465" s="2765" t="s">
        <v>1825</v>
      </c>
      <c r="Q2465" s="2954">
        <v>104.24</v>
      </c>
      <c r="R2465" s="76"/>
      <c r="S2465" s="1945" t="s">
        <v>731</v>
      </c>
      <c r="T2465" s="77"/>
      <c r="U2465" s="1893"/>
      <c r="V2465" s="2079">
        <f t="shared" si="565"/>
        <v>123.00319999999999</v>
      </c>
      <c r="W2465" s="78">
        <f t="shared" si="566"/>
        <v>0</v>
      </c>
      <c r="X2465" s="1878" t="str">
        <f t="shared" si="564"/>
        <v xml:space="preserve">9.- C Vikrant 012022010-OT_167350  Reencauche 030-0018804 </v>
      </c>
      <c r="Z2465" s="19" t="str">
        <f t="shared" si="573"/>
        <v>ReencaucheReencauchadora RENOVA</v>
      </c>
    </row>
    <row r="2466" spans="2:26" outlineLevel="1">
      <c r="B2466" s="3275"/>
      <c r="C2466" s="2">
        <f t="shared" si="574"/>
        <v>111</v>
      </c>
      <c r="D2466" s="3">
        <f t="shared" si="575"/>
        <v>17</v>
      </c>
      <c r="E2466" s="66">
        <v>10</v>
      </c>
      <c r="F2466" s="67" t="s">
        <v>732</v>
      </c>
      <c r="G2466" s="68" t="s">
        <v>737</v>
      </c>
      <c r="H2466" s="69" t="s">
        <v>1320</v>
      </c>
      <c r="I2466" s="68" t="s">
        <v>726</v>
      </c>
      <c r="J2466" s="70" t="s">
        <v>760</v>
      </c>
      <c r="K2466" s="71" t="s">
        <v>1824</v>
      </c>
      <c r="L2466" s="72">
        <v>41065</v>
      </c>
      <c r="M2466" s="73" t="s">
        <v>729</v>
      </c>
      <c r="N2466" s="74">
        <v>41080</v>
      </c>
      <c r="O2466" s="75">
        <f t="shared" si="576"/>
        <v>41080</v>
      </c>
      <c r="P2466" s="2765" t="s">
        <v>1825</v>
      </c>
      <c r="Q2466" s="2954">
        <v>104.24</v>
      </c>
      <c r="R2466" s="76"/>
      <c r="S2466" s="1945" t="s">
        <v>731</v>
      </c>
      <c r="T2466" s="77"/>
      <c r="U2466" s="1893"/>
      <c r="V2466" s="2079">
        <f t="shared" si="565"/>
        <v>123.00319999999999</v>
      </c>
      <c r="W2466" s="78">
        <f t="shared" si="566"/>
        <v>0</v>
      </c>
      <c r="X2466" s="1878" t="str">
        <f t="shared" ref="X2466:X2529" si="577">CONCATENATE(E2466,".- ",F2466," ",G2466," ",H2466,"-OT_",K2466," "," ",I2466," ",P2466," ",T2466)</f>
        <v xml:space="preserve">10.- C Vikrant 0010109-OT_167350  Reencauche 030-0018804 </v>
      </c>
      <c r="Z2466" s="19" t="str">
        <f t="shared" si="573"/>
        <v>ReencaucheReencauchadora RENOVA</v>
      </c>
    </row>
    <row r="2467" spans="2:26" outlineLevel="1">
      <c r="B2467" s="3275"/>
      <c r="C2467" s="2">
        <f t="shared" si="574"/>
        <v>110</v>
      </c>
      <c r="D2467" s="3">
        <f t="shared" si="575"/>
        <v>16</v>
      </c>
      <c r="E2467" s="66">
        <v>11</v>
      </c>
      <c r="F2467" s="67" t="s">
        <v>732</v>
      </c>
      <c r="G2467" s="68" t="s">
        <v>733</v>
      </c>
      <c r="H2467" s="69" t="s">
        <v>1073</v>
      </c>
      <c r="I2467" s="68" t="s">
        <v>726</v>
      </c>
      <c r="J2467" s="70" t="s">
        <v>760</v>
      </c>
      <c r="K2467" s="71" t="s">
        <v>1828</v>
      </c>
      <c r="L2467" s="72">
        <v>41065</v>
      </c>
      <c r="M2467" s="73" t="s">
        <v>729</v>
      </c>
      <c r="N2467" s="74">
        <v>41080</v>
      </c>
      <c r="O2467" s="75">
        <f t="shared" si="576"/>
        <v>41080</v>
      </c>
      <c r="P2467" s="2765" t="s">
        <v>1825</v>
      </c>
      <c r="Q2467" s="2954">
        <v>104.24</v>
      </c>
      <c r="R2467" s="76"/>
      <c r="S2467" s="1945" t="s">
        <v>731</v>
      </c>
      <c r="T2467" s="77"/>
      <c r="U2467" s="1893"/>
      <c r="V2467" s="2079">
        <f t="shared" ref="V2467:V2530" si="578">+Q2467*(1.18)</f>
        <v>123.00319999999999</v>
      </c>
      <c r="W2467" s="78">
        <f t="shared" ref="W2467:W2530" si="579">+R2467*(1.18)</f>
        <v>0</v>
      </c>
      <c r="X2467" s="1878" t="str">
        <f t="shared" si="577"/>
        <v xml:space="preserve">11.- C Lima Caucho 0220108-OT_168426  Reencauche 030-0018804 </v>
      </c>
      <c r="Z2467" s="19" t="str">
        <f t="shared" si="573"/>
        <v>ReencaucheReencauchadora RENOVA</v>
      </c>
    </row>
    <row r="2468" spans="2:26" outlineLevel="1">
      <c r="B2468" s="3275"/>
      <c r="C2468" s="2">
        <f t="shared" si="574"/>
        <v>109</v>
      </c>
      <c r="D2468" s="3">
        <f t="shared" si="575"/>
        <v>15</v>
      </c>
      <c r="E2468" s="66">
        <v>12</v>
      </c>
      <c r="F2468" s="67" t="s">
        <v>732</v>
      </c>
      <c r="G2468" s="68" t="s">
        <v>733</v>
      </c>
      <c r="H2468" s="69" t="s">
        <v>1829</v>
      </c>
      <c r="I2468" s="68" t="s">
        <v>726</v>
      </c>
      <c r="J2468" s="70" t="s">
        <v>760</v>
      </c>
      <c r="K2468" s="71" t="s">
        <v>1828</v>
      </c>
      <c r="L2468" s="72">
        <v>41065</v>
      </c>
      <c r="M2468" s="73" t="s">
        <v>729</v>
      </c>
      <c r="N2468" s="74">
        <v>41080</v>
      </c>
      <c r="O2468" s="75">
        <f t="shared" si="576"/>
        <v>41080</v>
      </c>
      <c r="P2468" s="2765" t="s">
        <v>1825</v>
      </c>
      <c r="Q2468" s="2954">
        <v>104.24</v>
      </c>
      <c r="R2468" s="76"/>
      <c r="S2468" s="1945" t="s">
        <v>731</v>
      </c>
      <c r="T2468" s="77"/>
      <c r="U2468" s="1893"/>
      <c r="V2468" s="2079">
        <f t="shared" si="578"/>
        <v>123.00319999999999</v>
      </c>
      <c r="W2468" s="78">
        <f t="shared" si="579"/>
        <v>0</v>
      </c>
      <c r="X2468" s="1878" t="str">
        <f t="shared" si="577"/>
        <v xml:space="preserve">12.- C Lima Caucho 1151210-OT_168426  Reencauche 030-0018804 </v>
      </c>
      <c r="Z2468" s="19" t="str">
        <f t="shared" si="573"/>
        <v>ReencaucheReencauchadora RENOVA</v>
      </c>
    </row>
    <row r="2469" spans="2:26" outlineLevel="1">
      <c r="B2469" s="3275"/>
      <c r="C2469" s="2">
        <f t="shared" si="574"/>
        <v>108</v>
      </c>
      <c r="D2469" s="3">
        <f t="shared" si="575"/>
        <v>14</v>
      </c>
      <c r="E2469" s="66">
        <v>13</v>
      </c>
      <c r="F2469" s="67" t="s">
        <v>732</v>
      </c>
      <c r="G2469" s="68" t="s">
        <v>733</v>
      </c>
      <c r="H2469" s="69" t="s">
        <v>986</v>
      </c>
      <c r="I2469" s="68" t="s">
        <v>726</v>
      </c>
      <c r="J2469" s="70" t="s">
        <v>760</v>
      </c>
      <c r="K2469" s="71" t="s">
        <v>1828</v>
      </c>
      <c r="L2469" s="72">
        <v>41065</v>
      </c>
      <c r="M2469" s="73" t="s">
        <v>729</v>
      </c>
      <c r="N2469" s="74">
        <v>41080</v>
      </c>
      <c r="O2469" s="75">
        <f t="shared" si="576"/>
        <v>41080</v>
      </c>
      <c r="P2469" s="2765" t="s">
        <v>1826</v>
      </c>
      <c r="Q2469" s="2954">
        <v>104.24</v>
      </c>
      <c r="R2469" s="76"/>
      <c r="S2469" s="1945" t="s">
        <v>731</v>
      </c>
      <c r="T2469" s="77"/>
      <c r="U2469" s="1893"/>
      <c r="V2469" s="2079">
        <f t="shared" si="578"/>
        <v>123.00319999999999</v>
      </c>
      <c r="W2469" s="78">
        <f t="shared" si="579"/>
        <v>0</v>
      </c>
      <c r="X2469" s="1878" t="str">
        <f t="shared" si="577"/>
        <v xml:space="preserve">13.- C Lima Caucho 1181107-OT_168426  Reencauche 030-0018805 </v>
      </c>
      <c r="Z2469" s="19" t="str">
        <f t="shared" si="573"/>
        <v>ReencaucheReencauchadora RENOVA</v>
      </c>
    </row>
    <row r="2470" spans="2:26" outlineLevel="1">
      <c r="B2470" s="3275"/>
      <c r="C2470" s="2">
        <f t="shared" si="574"/>
        <v>107</v>
      </c>
      <c r="D2470" s="3">
        <f t="shared" si="575"/>
        <v>13</v>
      </c>
      <c r="E2470" s="66">
        <v>14</v>
      </c>
      <c r="F2470" s="67" t="s">
        <v>732</v>
      </c>
      <c r="G2470" s="68" t="s">
        <v>733</v>
      </c>
      <c r="H2470" s="69" t="s">
        <v>1723</v>
      </c>
      <c r="I2470" s="68" t="s">
        <v>726</v>
      </c>
      <c r="J2470" s="70" t="s">
        <v>760</v>
      </c>
      <c r="K2470" s="71" t="s">
        <v>1828</v>
      </c>
      <c r="L2470" s="72">
        <v>41065</v>
      </c>
      <c r="M2470" s="73" t="s">
        <v>729</v>
      </c>
      <c r="N2470" s="74">
        <v>41080</v>
      </c>
      <c r="O2470" s="75">
        <f t="shared" si="576"/>
        <v>41080</v>
      </c>
      <c r="P2470" s="2765" t="s">
        <v>1826</v>
      </c>
      <c r="Q2470" s="2954">
        <v>104.24</v>
      </c>
      <c r="R2470" s="76"/>
      <c r="S2470" s="1945" t="s">
        <v>731</v>
      </c>
      <c r="T2470" s="77"/>
      <c r="U2470" s="1893"/>
      <c r="V2470" s="2079">
        <f t="shared" si="578"/>
        <v>123.00319999999999</v>
      </c>
      <c r="W2470" s="78">
        <f t="shared" si="579"/>
        <v>0</v>
      </c>
      <c r="X2470" s="1878" t="str">
        <f t="shared" si="577"/>
        <v xml:space="preserve">14.- C Lima Caucho 1021208-OT_168426  Reencauche 030-0018805 </v>
      </c>
      <c r="Z2470" s="19" t="str">
        <f t="shared" si="573"/>
        <v>ReencaucheReencauchadora RENOVA</v>
      </c>
    </row>
    <row r="2471" spans="2:26" outlineLevel="1">
      <c r="B2471" s="3275"/>
      <c r="C2471" s="2">
        <f t="shared" si="574"/>
        <v>106</v>
      </c>
      <c r="D2471" s="3">
        <f t="shared" si="575"/>
        <v>12</v>
      </c>
      <c r="E2471" s="66">
        <v>15</v>
      </c>
      <c r="F2471" s="67" t="s">
        <v>732</v>
      </c>
      <c r="G2471" s="68" t="s">
        <v>733</v>
      </c>
      <c r="H2471" s="69" t="s">
        <v>1830</v>
      </c>
      <c r="I2471" s="68" t="s">
        <v>726</v>
      </c>
      <c r="J2471" s="70" t="s">
        <v>760</v>
      </c>
      <c r="K2471" s="71" t="s">
        <v>1828</v>
      </c>
      <c r="L2471" s="72">
        <v>41065</v>
      </c>
      <c r="M2471" s="73" t="s">
        <v>729</v>
      </c>
      <c r="N2471" s="74">
        <v>41080</v>
      </c>
      <c r="O2471" s="75">
        <f t="shared" si="576"/>
        <v>41080</v>
      </c>
      <c r="P2471" s="2765" t="s">
        <v>1825</v>
      </c>
      <c r="Q2471" s="2954">
        <v>104.24</v>
      </c>
      <c r="R2471" s="76"/>
      <c r="S2471" s="1945" t="s">
        <v>731</v>
      </c>
      <c r="T2471" s="77"/>
      <c r="U2471" s="1893"/>
      <c r="V2471" s="2079">
        <f t="shared" si="578"/>
        <v>123.00319999999999</v>
      </c>
      <c r="W2471" s="78">
        <f t="shared" si="579"/>
        <v>0</v>
      </c>
      <c r="X2471" s="1878" t="str">
        <f t="shared" si="577"/>
        <v xml:space="preserve">15.- C Lima Caucho 1031210-OT_168426  Reencauche 030-0018804 </v>
      </c>
      <c r="Z2471" s="19" t="str">
        <f t="shared" si="573"/>
        <v>ReencaucheReencauchadora RENOVA</v>
      </c>
    </row>
    <row r="2472" spans="2:26" outlineLevel="1">
      <c r="B2472" s="3275"/>
      <c r="C2472" s="2">
        <f t="shared" si="574"/>
        <v>105</v>
      </c>
      <c r="D2472" s="3">
        <f t="shared" si="575"/>
        <v>11</v>
      </c>
      <c r="E2472" s="66">
        <v>16</v>
      </c>
      <c r="F2472" s="67" t="s">
        <v>732</v>
      </c>
      <c r="G2472" s="68" t="s">
        <v>1233</v>
      </c>
      <c r="H2472" s="69" t="s">
        <v>1831</v>
      </c>
      <c r="I2472" s="68" t="s">
        <v>726</v>
      </c>
      <c r="J2472" s="70" t="s">
        <v>760</v>
      </c>
      <c r="K2472" s="71" t="s">
        <v>1828</v>
      </c>
      <c r="L2472" s="72">
        <v>41065</v>
      </c>
      <c r="M2472" s="73" t="s">
        <v>729</v>
      </c>
      <c r="N2472" s="74">
        <v>41080</v>
      </c>
      <c r="O2472" s="75">
        <f t="shared" si="576"/>
        <v>41080</v>
      </c>
      <c r="P2472" s="2765" t="s">
        <v>1825</v>
      </c>
      <c r="Q2472" s="2954">
        <v>104.24</v>
      </c>
      <c r="R2472" s="76"/>
      <c r="S2472" s="1945" t="s">
        <v>731</v>
      </c>
      <c r="T2472" s="77"/>
      <c r="U2472" s="1893"/>
      <c r="V2472" s="2079">
        <f t="shared" si="578"/>
        <v>123.00319999999999</v>
      </c>
      <c r="W2472" s="78">
        <f t="shared" si="579"/>
        <v>0</v>
      </c>
      <c r="X2472" s="1878" t="str">
        <f t="shared" si="577"/>
        <v xml:space="preserve">16.- C Saratoga 0110306-OT_168426  Reencauche 030-0018804 </v>
      </c>
      <c r="Z2472" s="19" t="str">
        <f t="shared" si="573"/>
        <v>ReencaucheReencauchadora RENOVA</v>
      </c>
    </row>
    <row r="2473" spans="2:26" outlineLevel="1">
      <c r="B2473" s="3275"/>
      <c r="C2473" s="2">
        <f t="shared" si="574"/>
        <v>104</v>
      </c>
      <c r="D2473" s="3">
        <f t="shared" si="575"/>
        <v>10</v>
      </c>
      <c r="E2473" s="66">
        <v>17</v>
      </c>
      <c r="F2473" s="67" t="s">
        <v>732</v>
      </c>
      <c r="G2473" s="68" t="s">
        <v>757</v>
      </c>
      <c r="H2473" s="69" t="s">
        <v>991</v>
      </c>
      <c r="I2473" s="68" t="s">
        <v>726</v>
      </c>
      <c r="J2473" s="70" t="s">
        <v>760</v>
      </c>
      <c r="K2473" s="71" t="s">
        <v>1832</v>
      </c>
      <c r="L2473" s="72">
        <v>41065</v>
      </c>
      <c r="M2473" s="73" t="s">
        <v>729</v>
      </c>
      <c r="N2473" s="74">
        <v>41080</v>
      </c>
      <c r="O2473" s="75">
        <f t="shared" si="576"/>
        <v>41080</v>
      </c>
      <c r="P2473" s="2765" t="s">
        <v>1826</v>
      </c>
      <c r="Q2473" s="2954">
        <v>104.24</v>
      </c>
      <c r="R2473" s="76"/>
      <c r="S2473" s="1945" t="s">
        <v>731</v>
      </c>
      <c r="T2473" s="77"/>
      <c r="U2473" s="1893"/>
      <c r="V2473" s="2079">
        <f t="shared" si="578"/>
        <v>123.00319999999999</v>
      </c>
      <c r="W2473" s="78">
        <f t="shared" si="579"/>
        <v>0</v>
      </c>
      <c r="X2473" s="1878" t="str">
        <f t="shared" si="577"/>
        <v xml:space="preserve">17.- C Goodyear 062112002-OT_168427  Reencauche 030-0018805 </v>
      </c>
      <c r="Z2473" s="19" t="str">
        <f t="shared" si="573"/>
        <v>ReencaucheReencauchadora RENOVA</v>
      </c>
    </row>
    <row r="2474" spans="2:26" outlineLevel="1">
      <c r="B2474" s="3275"/>
      <c r="C2474" s="2">
        <f t="shared" si="574"/>
        <v>103</v>
      </c>
      <c r="D2474" s="3">
        <f t="shared" si="575"/>
        <v>9</v>
      </c>
      <c r="E2474" s="66">
        <v>18</v>
      </c>
      <c r="F2474" s="67" t="s">
        <v>732</v>
      </c>
      <c r="G2474" s="68" t="s">
        <v>757</v>
      </c>
      <c r="H2474" s="69" t="s">
        <v>1698</v>
      </c>
      <c r="I2474" s="68" t="s">
        <v>726</v>
      </c>
      <c r="J2474" s="70" t="s">
        <v>760</v>
      </c>
      <c r="K2474" s="71" t="s">
        <v>1832</v>
      </c>
      <c r="L2474" s="72">
        <v>41065</v>
      </c>
      <c r="M2474" s="73" t="s">
        <v>729</v>
      </c>
      <c r="N2474" s="74">
        <v>41080</v>
      </c>
      <c r="O2474" s="75">
        <f t="shared" si="576"/>
        <v>41080</v>
      </c>
      <c r="P2474" s="2765" t="s">
        <v>1825</v>
      </c>
      <c r="Q2474" s="2954">
        <v>104.24</v>
      </c>
      <c r="R2474" s="76"/>
      <c r="S2474" s="1945" t="s">
        <v>731</v>
      </c>
      <c r="T2474" s="77"/>
      <c r="U2474" s="1893"/>
      <c r="V2474" s="2079">
        <f t="shared" si="578"/>
        <v>123.00319999999999</v>
      </c>
      <c r="W2474" s="78">
        <f t="shared" si="579"/>
        <v>0</v>
      </c>
      <c r="X2474" s="1878" t="str">
        <f t="shared" si="577"/>
        <v xml:space="preserve">18.- C Goodyear 055032004-OT_168427  Reencauche 030-0018804 </v>
      </c>
      <c r="Z2474" s="19" t="str">
        <f t="shared" si="573"/>
        <v>ReencaucheReencauchadora RENOVA</v>
      </c>
    </row>
    <row r="2475" spans="2:26" outlineLevel="1">
      <c r="B2475" s="3275"/>
      <c r="C2475" s="2">
        <f t="shared" si="574"/>
        <v>102</v>
      </c>
      <c r="D2475" s="3">
        <f t="shared" si="575"/>
        <v>8</v>
      </c>
      <c r="E2475" s="66">
        <v>19</v>
      </c>
      <c r="F2475" s="67" t="s">
        <v>732</v>
      </c>
      <c r="G2475" s="68" t="s">
        <v>757</v>
      </c>
      <c r="H2475" s="69" t="s">
        <v>1379</v>
      </c>
      <c r="I2475" s="68" t="s">
        <v>726</v>
      </c>
      <c r="J2475" s="70" t="s">
        <v>760</v>
      </c>
      <c r="K2475" s="71" t="s">
        <v>1832</v>
      </c>
      <c r="L2475" s="72">
        <v>41065</v>
      </c>
      <c r="M2475" s="73" t="s">
        <v>729</v>
      </c>
      <c r="N2475" s="74">
        <v>41080</v>
      </c>
      <c r="O2475" s="75">
        <f t="shared" si="576"/>
        <v>41080</v>
      </c>
      <c r="P2475" s="2765" t="s">
        <v>1825</v>
      </c>
      <c r="Q2475" s="2954">
        <v>104.24</v>
      </c>
      <c r="R2475" s="76"/>
      <c r="S2475" s="1945" t="s">
        <v>731</v>
      </c>
      <c r="T2475" s="77"/>
      <c r="U2475" s="1893"/>
      <c r="V2475" s="2079">
        <f t="shared" si="578"/>
        <v>123.00319999999999</v>
      </c>
      <c r="W2475" s="78">
        <f t="shared" si="579"/>
        <v>0</v>
      </c>
      <c r="X2475" s="1878" t="str">
        <f t="shared" si="577"/>
        <v xml:space="preserve">19.- C Goodyear 0580502-OT_168427  Reencauche 030-0018804 </v>
      </c>
      <c r="Z2475" s="19" t="str">
        <f t="shared" si="573"/>
        <v/>
      </c>
    </row>
    <row r="2476" spans="2:26" outlineLevel="1">
      <c r="B2476" s="3275"/>
      <c r="C2476" s="2">
        <f t="shared" si="574"/>
        <v>101</v>
      </c>
      <c r="D2476" s="3">
        <f t="shared" si="575"/>
        <v>7</v>
      </c>
      <c r="E2476" s="66">
        <v>20</v>
      </c>
      <c r="F2476" s="67" t="s">
        <v>732</v>
      </c>
      <c r="G2476" s="68" t="s">
        <v>737</v>
      </c>
      <c r="H2476" s="69" t="s">
        <v>1419</v>
      </c>
      <c r="I2476" s="68" t="s">
        <v>726</v>
      </c>
      <c r="J2476" s="70" t="s">
        <v>760</v>
      </c>
      <c r="K2476" s="71" t="s">
        <v>1832</v>
      </c>
      <c r="L2476" s="72">
        <v>41065</v>
      </c>
      <c r="M2476" s="73" t="s">
        <v>729</v>
      </c>
      <c r="N2476" s="74">
        <v>41080</v>
      </c>
      <c r="O2476" s="75">
        <f t="shared" si="576"/>
        <v>41080</v>
      </c>
      <c r="P2476" s="2765" t="s">
        <v>1826</v>
      </c>
      <c r="Q2476" s="2954">
        <v>104.24</v>
      </c>
      <c r="R2476" s="76"/>
      <c r="S2476" s="1945" t="s">
        <v>731</v>
      </c>
      <c r="T2476" s="77"/>
      <c r="U2476" s="1893"/>
      <c r="V2476" s="2079">
        <f t="shared" si="578"/>
        <v>123.00319999999999</v>
      </c>
      <c r="W2476" s="78">
        <f t="shared" si="579"/>
        <v>0</v>
      </c>
      <c r="X2476" s="1878" t="str">
        <f t="shared" si="577"/>
        <v xml:space="preserve">20.- C Vikrant 0811009-OT_168427  Reencauche 030-0018805 </v>
      </c>
      <c r="Z2476" s="19" t="str">
        <f t="shared" si="573"/>
        <v/>
      </c>
    </row>
    <row r="2477" spans="2:26" outlineLevel="1">
      <c r="B2477" s="3275"/>
      <c r="C2477" s="2">
        <f>1+C2481</f>
        <v>100</v>
      </c>
      <c r="D2477" s="3">
        <f>1+D2481</f>
        <v>6</v>
      </c>
      <c r="E2477" s="66">
        <v>21</v>
      </c>
      <c r="F2477" s="67" t="s">
        <v>732</v>
      </c>
      <c r="G2477" s="68" t="s">
        <v>776</v>
      </c>
      <c r="H2477" s="69" t="s">
        <v>1169</v>
      </c>
      <c r="I2477" s="68" t="s">
        <v>726</v>
      </c>
      <c r="J2477" s="70" t="s">
        <v>760</v>
      </c>
      <c r="K2477" s="71" t="s">
        <v>1832</v>
      </c>
      <c r="L2477" s="72">
        <v>41065</v>
      </c>
      <c r="M2477" s="73" t="s">
        <v>729</v>
      </c>
      <c r="N2477" s="74">
        <v>41080</v>
      </c>
      <c r="O2477" s="75">
        <f t="shared" si="576"/>
        <v>41080</v>
      </c>
      <c r="P2477" s="2765" t="s">
        <v>1825</v>
      </c>
      <c r="Q2477" s="2954">
        <v>104.24</v>
      </c>
      <c r="R2477" s="76"/>
      <c r="S2477" s="1945" t="s">
        <v>731</v>
      </c>
      <c r="T2477" s="77"/>
      <c r="U2477" s="1893"/>
      <c r="V2477" s="2079">
        <f t="shared" si="578"/>
        <v>123.00319999999999</v>
      </c>
      <c r="W2477" s="78">
        <f t="shared" si="579"/>
        <v>0</v>
      </c>
      <c r="X2477" s="1878" t="str">
        <f t="shared" si="577"/>
        <v xml:space="preserve">21.- C Altura 0600911-OT_168427  Reencauche 030-0018804 </v>
      </c>
      <c r="Z2477" s="19" t="str">
        <f t="shared" si="573"/>
        <v/>
      </c>
    </row>
    <row r="2478" spans="2:26" outlineLevel="1">
      <c r="B2478" s="3275"/>
      <c r="E2478" s="66">
        <v>22</v>
      </c>
      <c r="F2478" s="67" t="s">
        <v>732</v>
      </c>
      <c r="G2478" s="290" t="s">
        <v>733</v>
      </c>
      <c r="H2478" s="289" t="s">
        <v>1833</v>
      </c>
      <c r="I2478" s="290"/>
      <c r="J2478" s="291"/>
      <c r="K2478" s="292" t="s">
        <v>1828</v>
      </c>
      <c r="L2478" s="293">
        <v>41065</v>
      </c>
      <c r="M2478" s="294" t="s">
        <v>1815</v>
      </c>
      <c r="N2478" s="295">
        <v>41080</v>
      </c>
      <c r="O2478" s="296">
        <f t="shared" si="576"/>
        <v>41080</v>
      </c>
      <c r="P2478" s="2795" t="s">
        <v>1834</v>
      </c>
      <c r="Q2478" s="2976">
        <v>0</v>
      </c>
      <c r="R2478" s="286"/>
      <c r="S2478" s="1962" t="s">
        <v>731</v>
      </c>
      <c r="T2478" s="274" t="s">
        <v>1617</v>
      </c>
      <c r="U2478" s="1895"/>
      <c r="V2478" s="2079">
        <f t="shared" si="578"/>
        <v>0</v>
      </c>
      <c r="W2478" s="78">
        <f t="shared" si="579"/>
        <v>0</v>
      </c>
      <c r="X2478" s="1878" t="str">
        <f t="shared" si="577"/>
        <v>22.- C Lima Caucho 1111107-OT_168426   G033-0009042  Llanta Rechazada, no se facturo</v>
      </c>
      <c r="Z2478" s="19" t="str">
        <f t="shared" si="573"/>
        <v>Transpl BandaReencauchadora Espinoza</v>
      </c>
    </row>
    <row r="2479" spans="2:26" outlineLevel="1">
      <c r="B2479" s="3275"/>
      <c r="E2479" s="66">
        <v>23</v>
      </c>
      <c r="F2479" s="67" t="s">
        <v>732</v>
      </c>
      <c r="G2479" s="290" t="s">
        <v>733</v>
      </c>
      <c r="H2479" s="289" t="s">
        <v>1508</v>
      </c>
      <c r="I2479" s="290"/>
      <c r="J2479" s="291"/>
      <c r="K2479" s="292" t="s">
        <v>1828</v>
      </c>
      <c r="L2479" s="293">
        <v>41065</v>
      </c>
      <c r="M2479" s="294" t="s">
        <v>1815</v>
      </c>
      <c r="N2479" s="295">
        <v>41080</v>
      </c>
      <c r="O2479" s="296">
        <f t="shared" si="576"/>
        <v>41080</v>
      </c>
      <c r="P2479" s="2795" t="s">
        <v>1834</v>
      </c>
      <c r="Q2479" s="2976">
        <v>0</v>
      </c>
      <c r="R2479" s="286"/>
      <c r="S2479" s="1962" t="s">
        <v>731</v>
      </c>
      <c r="T2479" s="274" t="s">
        <v>1617</v>
      </c>
      <c r="U2479" s="1895"/>
      <c r="V2479" s="2079">
        <f t="shared" si="578"/>
        <v>0</v>
      </c>
      <c r="W2479" s="78">
        <f t="shared" si="579"/>
        <v>0</v>
      </c>
      <c r="X2479" s="1878" t="str">
        <f t="shared" si="577"/>
        <v>23.- C Lima Caucho 0320508-OT_168426   G033-0009042  Llanta Rechazada, no se facturo</v>
      </c>
      <c r="Z2479" s="19" t="str">
        <f t="shared" si="573"/>
        <v>Transpl BandaReencauchadora Espinoza</v>
      </c>
    </row>
    <row r="2480" spans="2:26" outlineLevel="1">
      <c r="B2480" s="3275"/>
      <c r="E2480" s="79">
        <v>24</v>
      </c>
      <c r="F2480" s="80" t="s">
        <v>732</v>
      </c>
      <c r="G2480" s="319" t="s">
        <v>757</v>
      </c>
      <c r="H2480" s="320" t="s">
        <v>1644</v>
      </c>
      <c r="I2480" s="319"/>
      <c r="J2480" s="321"/>
      <c r="K2480" s="322" t="s">
        <v>1832</v>
      </c>
      <c r="L2480" s="323">
        <v>41065</v>
      </c>
      <c r="M2480" s="324" t="s">
        <v>1815</v>
      </c>
      <c r="N2480" s="325">
        <v>41080</v>
      </c>
      <c r="O2480" s="326">
        <f t="shared" si="576"/>
        <v>41080</v>
      </c>
      <c r="P2480" s="2797" t="s">
        <v>1834</v>
      </c>
      <c r="Q2480" s="2978">
        <v>0</v>
      </c>
      <c r="R2480" s="327"/>
      <c r="S2480" s="1964" t="s">
        <v>731</v>
      </c>
      <c r="T2480" s="274" t="s">
        <v>1617</v>
      </c>
      <c r="U2480" s="1895"/>
      <c r="V2480" s="2079">
        <f t="shared" si="578"/>
        <v>0</v>
      </c>
      <c r="W2480" s="78">
        <f t="shared" si="579"/>
        <v>0</v>
      </c>
      <c r="X2480" s="1878" t="str">
        <f t="shared" si="577"/>
        <v>24.- C Goodyear 068112002-OT_168427   G033-0009042  Llanta Rechazada, no se facturo</v>
      </c>
      <c r="Z2480" s="19" t="str">
        <f t="shared" si="573"/>
        <v>Transpl BandaReencauchadora Espinoza</v>
      </c>
    </row>
    <row r="2481" spans="2:26" outlineLevel="1">
      <c r="B2481" s="3275"/>
      <c r="C2481" s="2">
        <f t="shared" ref="C2481:D2484" si="580">1+C2482</f>
        <v>99</v>
      </c>
      <c r="D2481" s="3">
        <f t="shared" si="580"/>
        <v>5</v>
      </c>
      <c r="E2481" s="66">
        <v>1</v>
      </c>
      <c r="F2481" s="67" t="s">
        <v>732</v>
      </c>
      <c r="G2481" s="68" t="s">
        <v>757</v>
      </c>
      <c r="H2481" s="69" t="s">
        <v>1835</v>
      </c>
      <c r="I2481" s="257" t="s">
        <v>740</v>
      </c>
      <c r="J2481" s="92" t="s">
        <v>1543</v>
      </c>
      <c r="K2481" s="71" t="s">
        <v>1836</v>
      </c>
      <c r="L2481" s="72">
        <v>41058</v>
      </c>
      <c r="M2481" s="73" t="s">
        <v>729</v>
      </c>
      <c r="N2481" s="74">
        <v>41068</v>
      </c>
      <c r="O2481" s="75">
        <f t="shared" si="576"/>
        <v>41068</v>
      </c>
      <c r="P2481" s="2765" t="s">
        <v>1837</v>
      </c>
      <c r="Q2481" s="2954"/>
      <c r="R2481" s="76">
        <f>(150/1.18)</f>
        <v>127.11864406779662</v>
      </c>
      <c r="S2481" s="1945" t="s">
        <v>731</v>
      </c>
      <c r="T2481" s="77"/>
      <c r="U2481" s="1893"/>
      <c r="V2481" s="2079">
        <f t="shared" si="578"/>
        <v>0</v>
      </c>
      <c r="W2481" s="78">
        <f t="shared" si="579"/>
        <v>150</v>
      </c>
      <c r="X2481" s="1878" t="str">
        <f t="shared" si="577"/>
        <v xml:space="preserve">1.- C Goodyear 0010102-OT_001214  Transpl Banda 001-002430 </v>
      </c>
      <c r="Z2481" s="19" t="str">
        <f t="shared" si="573"/>
        <v>Transpl BandaReencauchadora Espinoza</v>
      </c>
    </row>
    <row r="2482" spans="2:26" outlineLevel="1">
      <c r="B2482" s="3275"/>
      <c r="C2482" s="2">
        <f t="shared" si="580"/>
        <v>98</v>
      </c>
      <c r="D2482" s="3">
        <f t="shared" si="580"/>
        <v>4</v>
      </c>
      <c r="E2482" s="66">
        <v>2</v>
      </c>
      <c r="F2482" s="67" t="s">
        <v>732</v>
      </c>
      <c r="G2482" s="68" t="s">
        <v>1108</v>
      </c>
      <c r="H2482" s="69" t="s">
        <v>1838</v>
      </c>
      <c r="I2482" s="257" t="s">
        <v>740</v>
      </c>
      <c r="J2482" s="92" t="s">
        <v>1543</v>
      </c>
      <c r="K2482" s="71" t="s">
        <v>1836</v>
      </c>
      <c r="L2482" s="72">
        <v>41058</v>
      </c>
      <c r="M2482" s="73" t="s">
        <v>729</v>
      </c>
      <c r="N2482" s="74">
        <v>41068</v>
      </c>
      <c r="O2482" s="75">
        <f t="shared" si="576"/>
        <v>41068</v>
      </c>
      <c r="P2482" s="2765" t="s">
        <v>1837</v>
      </c>
      <c r="Q2482" s="2954"/>
      <c r="R2482" s="76">
        <f>(150/1.18)</f>
        <v>127.11864406779662</v>
      </c>
      <c r="S2482" s="1945" t="s">
        <v>731</v>
      </c>
      <c r="T2482" s="77"/>
      <c r="U2482" s="1893"/>
      <c r="V2482" s="2079">
        <f t="shared" si="578"/>
        <v>0</v>
      </c>
      <c r="W2482" s="78">
        <f t="shared" si="579"/>
        <v>150</v>
      </c>
      <c r="X2482" s="1878" t="str">
        <f t="shared" si="577"/>
        <v xml:space="preserve">2.- C Hankook 0470305-OT_001214  Transpl Banda 001-002430 </v>
      </c>
      <c r="Z2482" s="19" t="str">
        <f t="shared" si="573"/>
        <v>Transpl BandaReencauchadora Espinoza</v>
      </c>
    </row>
    <row r="2483" spans="2:26" outlineLevel="1">
      <c r="B2483" s="3275"/>
      <c r="C2483" s="2">
        <f t="shared" si="580"/>
        <v>97</v>
      </c>
      <c r="D2483" s="3">
        <f t="shared" si="580"/>
        <v>3</v>
      </c>
      <c r="E2483" s="66">
        <v>3</v>
      </c>
      <c r="F2483" s="67" t="s">
        <v>732</v>
      </c>
      <c r="G2483" s="68" t="s">
        <v>733</v>
      </c>
      <c r="H2483" s="69" t="s">
        <v>1839</v>
      </c>
      <c r="I2483" s="257" t="s">
        <v>740</v>
      </c>
      <c r="J2483" s="92" t="s">
        <v>1543</v>
      </c>
      <c r="K2483" s="71" t="s">
        <v>1840</v>
      </c>
      <c r="L2483" s="72">
        <v>41058</v>
      </c>
      <c r="M2483" s="73" t="s">
        <v>729</v>
      </c>
      <c r="N2483" s="74">
        <v>41068</v>
      </c>
      <c r="O2483" s="75">
        <f t="shared" si="576"/>
        <v>41068</v>
      </c>
      <c r="P2483" s="2765" t="s">
        <v>1837</v>
      </c>
      <c r="Q2483" s="2954"/>
      <c r="R2483" s="76">
        <f>(150/1.18)</f>
        <v>127.11864406779662</v>
      </c>
      <c r="S2483" s="1945" t="s">
        <v>731</v>
      </c>
      <c r="T2483" s="77"/>
      <c r="U2483" s="1893"/>
      <c r="V2483" s="2079">
        <f t="shared" si="578"/>
        <v>0</v>
      </c>
      <c r="W2483" s="78">
        <f t="shared" si="579"/>
        <v>150</v>
      </c>
      <c r="X2483" s="1878" t="str">
        <f t="shared" si="577"/>
        <v xml:space="preserve">3.- C Lima Caucho 0270508-OT_001215  Transpl Banda 001-002430 </v>
      </c>
      <c r="Z2483" s="19" t="str">
        <f t="shared" si="573"/>
        <v>Sacar_BandaReencauchadora Espinoza</v>
      </c>
    </row>
    <row r="2484" spans="2:26" outlineLevel="1">
      <c r="B2484" s="3275"/>
      <c r="C2484" s="2">
        <f t="shared" si="580"/>
        <v>96</v>
      </c>
      <c r="D2484" s="3">
        <f t="shared" si="580"/>
        <v>2</v>
      </c>
      <c r="E2484" s="66">
        <v>4</v>
      </c>
      <c r="F2484" s="67" t="s">
        <v>732</v>
      </c>
      <c r="G2484" s="68" t="s">
        <v>737</v>
      </c>
      <c r="H2484" s="69" t="s">
        <v>1841</v>
      </c>
      <c r="I2484" s="257" t="s">
        <v>740</v>
      </c>
      <c r="J2484" s="92" t="s">
        <v>1543</v>
      </c>
      <c r="K2484" s="71" t="s">
        <v>1840</v>
      </c>
      <c r="L2484" s="72">
        <v>41058</v>
      </c>
      <c r="M2484" s="73" t="s">
        <v>729</v>
      </c>
      <c r="N2484" s="74">
        <v>41068</v>
      </c>
      <c r="O2484" s="75">
        <f t="shared" si="576"/>
        <v>41068</v>
      </c>
      <c r="P2484" s="2765" t="s">
        <v>1837</v>
      </c>
      <c r="Q2484" s="2954"/>
      <c r="R2484" s="76">
        <f>(150/1.18)</f>
        <v>127.11864406779662</v>
      </c>
      <c r="S2484" s="1945" t="s">
        <v>731</v>
      </c>
      <c r="T2484" s="77"/>
      <c r="U2484" s="1893"/>
      <c r="V2484" s="2079">
        <f t="shared" si="578"/>
        <v>0</v>
      </c>
      <c r="W2484" s="78">
        <f t="shared" si="579"/>
        <v>150</v>
      </c>
      <c r="X2484" s="1878" t="str">
        <f t="shared" si="577"/>
        <v xml:space="preserve">4.- C Vikrant 0460506-OT_001215  Transpl Banda 001-002430 </v>
      </c>
      <c r="Z2484" s="19" t="str">
        <f t="shared" si="573"/>
        <v>Sacar_BandaReencauchadora Espinoza</v>
      </c>
    </row>
    <row r="2485" spans="2:26" outlineLevel="1">
      <c r="B2485" s="3275"/>
      <c r="C2485" s="2">
        <f>1+C2493</f>
        <v>95</v>
      </c>
      <c r="D2485" s="3">
        <v>1</v>
      </c>
      <c r="E2485" s="66">
        <v>5</v>
      </c>
      <c r="F2485" s="67" t="s">
        <v>732</v>
      </c>
      <c r="G2485" s="68" t="s">
        <v>757</v>
      </c>
      <c r="H2485" s="69" t="s">
        <v>1842</v>
      </c>
      <c r="I2485" s="257" t="s">
        <v>740</v>
      </c>
      <c r="J2485" s="92" t="s">
        <v>1543</v>
      </c>
      <c r="K2485" s="71" t="s">
        <v>1840</v>
      </c>
      <c r="L2485" s="72">
        <v>41058</v>
      </c>
      <c r="M2485" s="73" t="s">
        <v>729</v>
      </c>
      <c r="N2485" s="74">
        <v>41068</v>
      </c>
      <c r="O2485" s="75">
        <f t="shared" si="576"/>
        <v>41068</v>
      </c>
      <c r="P2485" s="2765" t="s">
        <v>1837</v>
      </c>
      <c r="Q2485" s="2954"/>
      <c r="R2485" s="76">
        <f>(150/1.18)</f>
        <v>127.11864406779662</v>
      </c>
      <c r="S2485" s="1945" t="s">
        <v>731</v>
      </c>
      <c r="T2485" s="77"/>
      <c r="U2485" s="1893"/>
      <c r="V2485" s="2079">
        <f t="shared" si="578"/>
        <v>0</v>
      </c>
      <c r="W2485" s="78">
        <f t="shared" si="579"/>
        <v>150</v>
      </c>
      <c r="X2485" s="1878" t="str">
        <f t="shared" si="577"/>
        <v xml:space="preserve">5.- C Goodyear 1220804-OT_001215  Transpl Banda 001-002430 </v>
      </c>
      <c r="Z2485" s="19" t="str">
        <f t="shared" si="573"/>
        <v>Sacar_BandaReencauchadora Espinoza</v>
      </c>
    </row>
    <row r="2486" spans="2:26" outlineLevel="1">
      <c r="B2486" s="3275"/>
      <c r="E2486" s="66">
        <v>6</v>
      </c>
      <c r="F2486" s="67" t="s">
        <v>732</v>
      </c>
      <c r="G2486" s="68" t="s">
        <v>1233</v>
      </c>
      <c r="H2486" s="69" t="s">
        <v>1234</v>
      </c>
      <c r="I2486" s="257" t="s">
        <v>744</v>
      </c>
      <c r="J2486" s="92" t="s">
        <v>1543</v>
      </c>
      <c r="K2486" s="71" t="s">
        <v>1836</v>
      </c>
      <c r="L2486" s="72">
        <v>41058</v>
      </c>
      <c r="M2486" s="73" t="s">
        <v>729</v>
      </c>
      <c r="N2486" s="74">
        <v>41068</v>
      </c>
      <c r="O2486" s="75">
        <f t="shared" si="576"/>
        <v>41068</v>
      </c>
      <c r="P2486" s="2765" t="s">
        <v>1837</v>
      </c>
      <c r="Q2486" s="2954"/>
      <c r="R2486" s="76">
        <v>0</v>
      </c>
      <c r="S2486" s="1945" t="s">
        <v>731</v>
      </c>
      <c r="T2486" s="77"/>
      <c r="U2486" s="1893"/>
      <c r="V2486" s="2079">
        <f t="shared" si="578"/>
        <v>0</v>
      </c>
      <c r="W2486" s="78">
        <f t="shared" si="579"/>
        <v>0</v>
      </c>
      <c r="X2486" s="1878" t="str">
        <f t="shared" si="577"/>
        <v xml:space="preserve">6.- C Saratoga 0090306-OT_001214  Sacar_Banda 001-002430 </v>
      </c>
      <c r="Z2486" s="19" t="str">
        <f t="shared" si="573"/>
        <v>Sacar_BandaReencauchadora Espinoza</v>
      </c>
    </row>
    <row r="2487" spans="2:26" outlineLevel="1">
      <c r="B2487" s="3275"/>
      <c r="E2487" s="66">
        <v>7</v>
      </c>
      <c r="F2487" s="67" t="s">
        <v>732</v>
      </c>
      <c r="G2487" s="68" t="s">
        <v>757</v>
      </c>
      <c r="H2487" s="69" t="s">
        <v>1843</v>
      </c>
      <c r="I2487" s="257" t="s">
        <v>744</v>
      </c>
      <c r="J2487" s="92" t="s">
        <v>1543</v>
      </c>
      <c r="K2487" s="71" t="s">
        <v>1836</v>
      </c>
      <c r="L2487" s="72">
        <v>41058</v>
      </c>
      <c r="M2487" s="73" t="s">
        <v>729</v>
      </c>
      <c r="N2487" s="74">
        <v>41068</v>
      </c>
      <c r="O2487" s="75">
        <f t="shared" si="576"/>
        <v>41068</v>
      </c>
      <c r="P2487" s="2765" t="s">
        <v>1837</v>
      </c>
      <c r="Q2487" s="2954"/>
      <c r="R2487" s="76">
        <v>0</v>
      </c>
      <c r="S2487" s="1945" t="s">
        <v>731</v>
      </c>
      <c r="T2487" s="77"/>
      <c r="U2487" s="1893"/>
      <c r="V2487" s="2079">
        <f t="shared" si="578"/>
        <v>0</v>
      </c>
      <c r="W2487" s="78">
        <f t="shared" si="579"/>
        <v>0</v>
      </c>
      <c r="X2487" s="1878" t="str">
        <f t="shared" si="577"/>
        <v xml:space="preserve">7.- C Goodyear 052092003-OT_001214  Sacar_Banda 001-002430 </v>
      </c>
      <c r="Z2487" s="19" t="str">
        <f t="shared" si="573"/>
        <v>Sacar_BandaReencauchadora Espinoza</v>
      </c>
    </row>
    <row r="2488" spans="2:26" outlineLevel="1">
      <c r="B2488" s="3275"/>
      <c r="E2488" s="66">
        <v>8</v>
      </c>
      <c r="F2488" s="67" t="s">
        <v>732</v>
      </c>
      <c r="G2488" s="68" t="s">
        <v>737</v>
      </c>
      <c r="H2488" s="69" t="s">
        <v>1693</v>
      </c>
      <c r="I2488" s="257" t="s">
        <v>744</v>
      </c>
      <c r="J2488" s="92" t="s">
        <v>1543</v>
      </c>
      <c r="K2488" s="71" t="s">
        <v>1836</v>
      </c>
      <c r="L2488" s="72">
        <v>41058</v>
      </c>
      <c r="M2488" s="73" t="s">
        <v>729</v>
      </c>
      <c r="N2488" s="74">
        <v>41068</v>
      </c>
      <c r="O2488" s="75">
        <f t="shared" si="576"/>
        <v>41068</v>
      </c>
      <c r="P2488" s="2765" t="s">
        <v>1837</v>
      </c>
      <c r="Q2488" s="2954"/>
      <c r="R2488" s="76">
        <v>0</v>
      </c>
      <c r="S2488" s="1945" t="s">
        <v>731</v>
      </c>
      <c r="T2488" s="77"/>
      <c r="U2488" s="1893"/>
      <c r="V2488" s="2079">
        <f t="shared" si="578"/>
        <v>0</v>
      </c>
      <c r="W2488" s="78">
        <f t="shared" si="579"/>
        <v>0</v>
      </c>
      <c r="X2488" s="1878" t="str">
        <f t="shared" si="577"/>
        <v xml:space="preserve">8.- C Vikrant 0700809-OT_001214  Sacar_Banda 001-002430 </v>
      </c>
      <c r="Z2488" s="19" t="str">
        <f t="shared" si="573"/>
        <v>Reencauchadora Espinoza</v>
      </c>
    </row>
    <row r="2489" spans="2:26">
      <c r="B2489" s="3275"/>
      <c r="E2489" s="66">
        <v>9</v>
      </c>
      <c r="F2489" s="67" t="s">
        <v>732</v>
      </c>
      <c r="G2489" s="68" t="s">
        <v>737</v>
      </c>
      <c r="H2489" s="69" t="s">
        <v>1844</v>
      </c>
      <c r="I2489" s="257" t="s">
        <v>744</v>
      </c>
      <c r="J2489" s="92" t="s">
        <v>1543</v>
      </c>
      <c r="K2489" s="71" t="s">
        <v>1836</v>
      </c>
      <c r="L2489" s="72">
        <v>41058</v>
      </c>
      <c r="M2489" s="73" t="s">
        <v>729</v>
      </c>
      <c r="N2489" s="74">
        <v>41068</v>
      </c>
      <c r="O2489" s="75">
        <f t="shared" si="576"/>
        <v>41068</v>
      </c>
      <c r="P2489" s="2765" t="s">
        <v>1837</v>
      </c>
      <c r="Q2489" s="2954"/>
      <c r="R2489" s="76">
        <v>0</v>
      </c>
      <c r="S2489" s="1945" t="s">
        <v>731</v>
      </c>
      <c r="T2489" s="77"/>
      <c r="U2489" s="1893"/>
      <c r="V2489" s="2079">
        <f t="shared" si="578"/>
        <v>0</v>
      </c>
      <c r="W2489" s="78">
        <f t="shared" si="579"/>
        <v>0</v>
      </c>
      <c r="X2489" s="1878" t="str">
        <f t="shared" si="577"/>
        <v xml:space="preserve">9.- C Vikrant 0911206-OT_001214  Sacar_Banda 001-002430 </v>
      </c>
    </row>
    <row r="2490" spans="2:26" ht="14.25" customHeight="1" outlineLevel="1">
      <c r="B2490" s="3275"/>
      <c r="E2490" s="66">
        <v>10</v>
      </c>
      <c r="F2490" s="67" t="s">
        <v>732</v>
      </c>
      <c r="G2490" s="68" t="s">
        <v>733</v>
      </c>
      <c r="H2490" s="69" t="s">
        <v>949</v>
      </c>
      <c r="I2490" s="257" t="s">
        <v>744</v>
      </c>
      <c r="J2490" s="92" t="s">
        <v>1543</v>
      </c>
      <c r="K2490" s="71" t="s">
        <v>1840</v>
      </c>
      <c r="L2490" s="72">
        <v>41058</v>
      </c>
      <c r="M2490" s="73" t="s">
        <v>729</v>
      </c>
      <c r="N2490" s="74">
        <v>41068</v>
      </c>
      <c r="O2490" s="75">
        <f t="shared" si="576"/>
        <v>41068</v>
      </c>
      <c r="P2490" s="2765" t="s">
        <v>1837</v>
      </c>
      <c r="Q2490" s="2954"/>
      <c r="R2490" s="76">
        <v>0</v>
      </c>
      <c r="S2490" s="1945" t="s">
        <v>731</v>
      </c>
      <c r="T2490" s="77"/>
      <c r="U2490" s="1893"/>
      <c r="V2490" s="2079">
        <f t="shared" si="578"/>
        <v>0</v>
      </c>
      <c r="W2490" s="78">
        <f t="shared" si="579"/>
        <v>0</v>
      </c>
      <c r="X2490" s="1878" t="str">
        <f t="shared" si="577"/>
        <v xml:space="preserve">10.- C Lima Caucho 1241207-OT_001215  Sacar_Banda 001-002430 </v>
      </c>
      <c r="Z2490" s="19" t="str">
        <f t="shared" ref="Z2490:Z2513" si="581">CONCATENATE(I2493,J2493)</f>
        <v>ReencaucheReencauchadora RENOVA</v>
      </c>
    </row>
    <row r="2491" spans="2:26" ht="15.75" outlineLevel="1" thickBot="1">
      <c r="B2491" s="3276"/>
      <c r="E2491" s="307">
        <v>11</v>
      </c>
      <c r="F2491" s="328" t="s">
        <v>732</v>
      </c>
      <c r="G2491" s="329" t="s">
        <v>757</v>
      </c>
      <c r="H2491" s="330" t="s">
        <v>1845</v>
      </c>
      <c r="I2491" s="331"/>
      <c r="J2491" s="339" t="s">
        <v>1543</v>
      </c>
      <c r="K2491" s="333" t="s">
        <v>1840</v>
      </c>
      <c r="L2491" s="334">
        <v>41058</v>
      </c>
      <c r="M2491" s="335" t="s">
        <v>1815</v>
      </c>
      <c r="N2491" s="336">
        <v>41068</v>
      </c>
      <c r="O2491" s="337">
        <f t="shared" si="576"/>
        <v>41068</v>
      </c>
      <c r="P2491" s="2798" t="s">
        <v>1837</v>
      </c>
      <c r="Q2491" s="2979"/>
      <c r="R2491" s="338">
        <v>0</v>
      </c>
      <c r="S2491" s="1965" t="s">
        <v>731</v>
      </c>
      <c r="T2491" s="274" t="s">
        <v>1617</v>
      </c>
      <c r="U2491" s="1895"/>
      <c r="V2491" s="2079">
        <f t="shared" si="578"/>
        <v>0</v>
      </c>
      <c r="W2491" s="78">
        <f t="shared" si="579"/>
        <v>0</v>
      </c>
      <c r="X2491" s="1878" t="str">
        <f t="shared" si="577"/>
        <v>11.- C Goodyear 0100205-OT_001215   001-002430  Llanta Rechazada, no se facturo</v>
      </c>
      <c r="Z2491" s="19" t="str">
        <f t="shared" si="581"/>
        <v>ReencaucheReencauchadora RENOVA</v>
      </c>
    </row>
    <row r="2492" spans="2:26" ht="15.75" outlineLevel="1" thickBot="1">
      <c r="B2492" s="3310">
        <f>+B2493</f>
        <v>41030</v>
      </c>
      <c r="C2492" s="3310"/>
      <c r="D2492" s="258">
        <f>+D2493</f>
        <v>21</v>
      </c>
      <c r="E2492" s="66"/>
      <c r="F2492" s="67"/>
      <c r="G2492" s="68"/>
      <c r="H2492" s="69"/>
      <c r="I2492" s="257"/>
      <c r="J2492" s="219"/>
      <c r="K2492" s="71"/>
      <c r="L2492" s="72"/>
      <c r="M2492" s="73"/>
      <c r="N2492" s="74"/>
      <c r="O2492" s="75"/>
      <c r="P2492" s="2765"/>
      <c r="Q2492" s="2954"/>
      <c r="R2492" s="76"/>
      <c r="S2492" s="1945"/>
      <c r="T2492" s="282"/>
      <c r="U2492" s="1898"/>
      <c r="V2492" s="2079">
        <f t="shared" si="578"/>
        <v>0</v>
      </c>
      <c r="W2492" s="78">
        <f t="shared" si="579"/>
        <v>0</v>
      </c>
      <c r="X2492" s="1878" t="str">
        <f t="shared" si="577"/>
        <v xml:space="preserve">.-   -OT_    </v>
      </c>
      <c r="Z2492" s="19" t="str">
        <f t="shared" si="581"/>
        <v>ReencaucheReencauchadora RENOVA</v>
      </c>
    </row>
    <row r="2493" spans="2:26" outlineLevel="1">
      <c r="B2493" s="3274">
        <v>41030</v>
      </c>
      <c r="C2493" s="2">
        <f t="shared" ref="C2493:C2512" si="582">1+C2494</f>
        <v>94</v>
      </c>
      <c r="D2493" s="306">
        <f t="shared" ref="D2493:D2512" si="583">1+D2494</f>
        <v>21</v>
      </c>
      <c r="E2493" s="66">
        <v>1</v>
      </c>
      <c r="F2493" s="67" t="s">
        <v>732</v>
      </c>
      <c r="G2493" s="68" t="s">
        <v>757</v>
      </c>
      <c r="H2493" s="69" t="s">
        <v>1162</v>
      </c>
      <c r="I2493" s="68" t="s">
        <v>726</v>
      </c>
      <c r="J2493" s="70" t="s">
        <v>760</v>
      </c>
      <c r="K2493" s="71" t="s">
        <v>1846</v>
      </c>
      <c r="L2493" s="72">
        <v>41036</v>
      </c>
      <c r="M2493" s="73" t="s">
        <v>729</v>
      </c>
      <c r="N2493" s="74">
        <v>41053</v>
      </c>
      <c r="O2493" s="75">
        <f t="shared" ref="O2493:O2516" si="584">+N2493</f>
        <v>41053</v>
      </c>
      <c r="P2493" s="2765" t="s">
        <v>1847</v>
      </c>
      <c r="Q2493" s="2954">
        <v>104.24</v>
      </c>
      <c r="R2493" s="76"/>
      <c r="S2493" s="1945" t="s">
        <v>731</v>
      </c>
      <c r="T2493" s="77"/>
      <c r="U2493" s="1893"/>
      <c r="V2493" s="2079">
        <f t="shared" si="578"/>
        <v>123.00319999999999</v>
      </c>
      <c r="W2493" s="78">
        <f t="shared" si="579"/>
        <v>0</v>
      </c>
      <c r="X2493" s="1878" t="str">
        <f t="shared" si="577"/>
        <v xml:space="preserve">1.- C Goodyear 1090704-OT_167578  Reencauche 030-0018028 </v>
      </c>
      <c r="Z2493" s="19" t="str">
        <f t="shared" si="581"/>
        <v>ReencaucheReencauchadora RENOVA</v>
      </c>
    </row>
    <row r="2494" spans="2:26" outlineLevel="1">
      <c r="B2494" s="3275"/>
      <c r="C2494" s="2">
        <f t="shared" si="582"/>
        <v>93</v>
      </c>
      <c r="D2494" s="3">
        <f t="shared" si="583"/>
        <v>20</v>
      </c>
      <c r="E2494" s="66">
        <v>2</v>
      </c>
      <c r="F2494" s="67" t="s">
        <v>732</v>
      </c>
      <c r="G2494" s="68" t="s">
        <v>733</v>
      </c>
      <c r="H2494" s="69" t="s">
        <v>1172</v>
      </c>
      <c r="I2494" s="68" t="s">
        <v>726</v>
      </c>
      <c r="J2494" s="70" t="s">
        <v>760</v>
      </c>
      <c r="K2494" s="71" t="s">
        <v>1848</v>
      </c>
      <c r="L2494" s="72">
        <v>41036</v>
      </c>
      <c r="M2494" s="73" t="s">
        <v>729</v>
      </c>
      <c r="N2494" s="74">
        <v>41053</v>
      </c>
      <c r="O2494" s="75">
        <f t="shared" si="584"/>
        <v>41053</v>
      </c>
      <c r="P2494" s="2765" t="s">
        <v>1847</v>
      </c>
      <c r="Q2494" s="2954">
        <v>104.24</v>
      </c>
      <c r="R2494" s="76"/>
      <c r="S2494" s="1945" t="s">
        <v>731</v>
      </c>
      <c r="T2494" s="77"/>
      <c r="U2494" s="1893"/>
      <c r="V2494" s="2079">
        <f t="shared" si="578"/>
        <v>123.00319999999999</v>
      </c>
      <c r="W2494" s="78">
        <f t="shared" si="579"/>
        <v>0</v>
      </c>
      <c r="X2494" s="1878" t="str">
        <f t="shared" si="577"/>
        <v xml:space="preserve">2.- C Lima Caucho 0300508-OT_167579  Reencauche 030-0018028 </v>
      </c>
      <c r="Z2494" s="19" t="str">
        <f t="shared" si="581"/>
        <v>ReencaucheReencauchadora RENOVA</v>
      </c>
    </row>
    <row r="2495" spans="2:26" outlineLevel="1">
      <c r="B2495" s="3275"/>
      <c r="C2495" s="2">
        <f t="shared" si="582"/>
        <v>92</v>
      </c>
      <c r="D2495" s="3">
        <f t="shared" si="583"/>
        <v>19</v>
      </c>
      <c r="E2495" s="66">
        <v>3</v>
      </c>
      <c r="F2495" s="67" t="s">
        <v>732</v>
      </c>
      <c r="G2495" s="68" t="s">
        <v>737</v>
      </c>
      <c r="H2495" s="69" t="s">
        <v>1554</v>
      </c>
      <c r="I2495" s="68" t="s">
        <v>726</v>
      </c>
      <c r="J2495" s="70" t="s">
        <v>760</v>
      </c>
      <c r="K2495" s="71" t="s">
        <v>1849</v>
      </c>
      <c r="L2495" s="72">
        <v>41036</v>
      </c>
      <c r="M2495" s="73" t="s">
        <v>729</v>
      </c>
      <c r="N2495" s="74">
        <v>41053</v>
      </c>
      <c r="O2495" s="75">
        <f t="shared" si="584"/>
        <v>41053</v>
      </c>
      <c r="P2495" s="2765" t="s">
        <v>1847</v>
      </c>
      <c r="Q2495" s="2954">
        <v>104.24</v>
      </c>
      <c r="R2495" s="76"/>
      <c r="S2495" s="1945" t="s">
        <v>731</v>
      </c>
      <c r="T2495" s="77"/>
      <c r="U2495" s="1893"/>
      <c r="V2495" s="2079">
        <f t="shared" si="578"/>
        <v>123.00319999999999</v>
      </c>
      <c r="W2495" s="78">
        <f t="shared" si="579"/>
        <v>0</v>
      </c>
      <c r="X2495" s="1878" t="str">
        <f t="shared" si="577"/>
        <v xml:space="preserve">3.- C Vikrant 0010111-OT_167577  Reencauche 030-0018028 </v>
      </c>
      <c r="Z2495" s="19" t="str">
        <f t="shared" si="581"/>
        <v>ReencaucheReencauchadora RENOVA</v>
      </c>
    </row>
    <row r="2496" spans="2:26" outlineLevel="1">
      <c r="B2496" s="3275"/>
      <c r="C2496" s="2">
        <f t="shared" si="582"/>
        <v>91</v>
      </c>
      <c r="D2496" s="3">
        <f t="shared" si="583"/>
        <v>18</v>
      </c>
      <c r="E2496" s="66">
        <v>4</v>
      </c>
      <c r="F2496" s="67" t="s">
        <v>732</v>
      </c>
      <c r="G2496" s="68" t="s">
        <v>733</v>
      </c>
      <c r="H2496" s="69" t="s">
        <v>1850</v>
      </c>
      <c r="I2496" s="68" t="s">
        <v>726</v>
      </c>
      <c r="J2496" s="70" t="s">
        <v>760</v>
      </c>
      <c r="K2496" s="71" t="s">
        <v>1848</v>
      </c>
      <c r="L2496" s="72">
        <v>41036</v>
      </c>
      <c r="M2496" s="73" t="s">
        <v>729</v>
      </c>
      <c r="N2496" s="74">
        <v>41053</v>
      </c>
      <c r="O2496" s="75">
        <f t="shared" si="584"/>
        <v>41053</v>
      </c>
      <c r="P2496" s="2765" t="s">
        <v>1847</v>
      </c>
      <c r="Q2496" s="2954">
        <v>104.24</v>
      </c>
      <c r="R2496" s="76"/>
      <c r="S2496" s="1945" t="s">
        <v>731</v>
      </c>
      <c r="T2496" s="77"/>
      <c r="U2496" s="1893"/>
      <c r="V2496" s="2079">
        <f t="shared" si="578"/>
        <v>123.00319999999999</v>
      </c>
      <c r="W2496" s="78">
        <f t="shared" si="579"/>
        <v>0</v>
      </c>
      <c r="X2496" s="1878" t="str">
        <f t="shared" si="577"/>
        <v xml:space="preserve">4.- C Lima Caucho 0020108-OT_167579  Reencauche 030-0018028 </v>
      </c>
      <c r="Z2496" s="19" t="str">
        <f t="shared" si="581"/>
        <v>ReencaucheReencauchadora RENOVA</v>
      </c>
    </row>
    <row r="2497" spans="2:26" outlineLevel="1">
      <c r="B2497" s="3275"/>
      <c r="C2497" s="2">
        <f t="shared" si="582"/>
        <v>90</v>
      </c>
      <c r="D2497" s="3">
        <f t="shared" si="583"/>
        <v>17</v>
      </c>
      <c r="E2497" s="66">
        <v>5</v>
      </c>
      <c r="F2497" s="67" t="s">
        <v>732</v>
      </c>
      <c r="G2497" s="68" t="s">
        <v>737</v>
      </c>
      <c r="H2497" s="69" t="s">
        <v>1362</v>
      </c>
      <c r="I2497" s="68" t="s">
        <v>726</v>
      </c>
      <c r="J2497" s="70" t="s">
        <v>760</v>
      </c>
      <c r="K2497" s="71" t="s">
        <v>1849</v>
      </c>
      <c r="L2497" s="72">
        <v>41036</v>
      </c>
      <c r="M2497" s="73" t="s">
        <v>729</v>
      </c>
      <c r="N2497" s="74">
        <v>41053</v>
      </c>
      <c r="O2497" s="75">
        <f t="shared" si="584"/>
        <v>41053</v>
      </c>
      <c r="P2497" s="2765" t="s">
        <v>1847</v>
      </c>
      <c r="Q2497" s="2954">
        <v>104.24</v>
      </c>
      <c r="R2497" s="76"/>
      <c r="S2497" s="1945" t="s">
        <v>731</v>
      </c>
      <c r="T2497" s="77"/>
      <c r="U2497" s="1893"/>
      <c r="V2497" s="2079">
        <f t="shared" si="578"/>
        <v>123.00319999999999</v>
      </c>
      <c r="W2497" s="78">
        <f t="shared" si="579"/>
        <v>0</v>
      </c>
      <c r="X2497" s="1878" t="str">
        <f t="shared" si="577"/>
        <v xml:space="preserve">5.- C Vikrant 0020109-OT_167577  Reencauche 030-0018028 </v>
      </c>
      <c r="Z2497" s="19" t="str">
        <f t="shared" si="581"/>
        <v>ReencaucheReencauchadora RENOVA</v>
      </c>
    </row>
    <row r="2498" spans="2:26" outlineLevel="1">
      <c r="B2498" s="3275"/>
      <c r="C2498" s="2">
        <f t="shared" si="582"/>
        <v>89</v>
      </c>
      <c r="D2498" s="3">
        <f t="shared" si="583"/>
        <v>16</v>
      </c>
      <c r="E2498" s="66">
        <v>6</v>
      </c>
      <c r="F2498" s="67" t="s">
        <v>732</v>
      </c>
      <c r="G2498" s="68" t="s">
        <v>737</v>
      </c>
      <c r="H2498" s="69" t="s">
        <v>1851</v>
      </c>
      <c r="I2498" s="68" t="s">
        <v>726</v>
      </c>
      <c r="J2498" s="70" t="s">
        <v>760</v>
      </c>
      <c r="K2498" s="71" t="s">
        <v>1849</v>
      </c>
      <c r="L2498" s="72">
        <v>41036</v>
      </c>
      <c r="M2498" s="73" t="s">
        <v>729</v>
      </c>
      <c r="N2498" s="74">
        <v>41053</v>
      </c>
      <c r="O2498" s="75">
        <f t="shared" si="584"/>
        <v>41053</v>
      </c>
      <c r="P2498" s="2765" t="s">
        <v>1847</v>
      </c>
      <c r="Q2498" s="2954">
        <v>104.24</v>
      </c>
      <c r="R2498" s="76"/>
      <c r="S2498" s="1945" t="s">
        <v>731</v>
      </c>
      <c r="T2498" s="77"/>
      <c r="U2498" s="1893"/>
      <c r="V2498" s="2079">
        <f t="shared" si="578"/>
        <v>123.00319999999999</v>
      </c>
      <c r="W2498" s="78">
        <f t="shared" si="579"/>
        <v>0</v>
      </c>
      <c r="X2498" s="1878" t="str">
        <f t="shared" si="577"/>
        <v xml:space="preserve">6.- C Vikrant 1210805-OT_167577  Reencauche 030-0018028 </v>
      </c>
      <c r="Z2498" s="19" t="str">
        <f t="shared" si="581"/>
        <v>ReencaucheReencauchadora RENOVA</v>
      </c>
    </row>
    <row r="2499" spans="2:26" outlineLevel="1">
      <c r="B2499" s="3275"/>
      <c r="C2499" s="2">
        <f t="shared" si="582"/>
        <v>88</v>
      </c>
      <c r="D2499" s="3">
        <f t="shared" si="583"/>
        <v>15</v>
      </c>
      <c r="E2499" s="66">
        <v>7</v>
      </c>
      <c r="F2499" s="67" t="s">
        <v>732</v>
      </c>
      <c r="G2499" s="68" t="s">
        <v>733</v>
      </c>
      <c r="H2499" s="69" t="s">
        <v>1160</v>
      </c>
      <c r="I2499" s="68" t="s">
        <v>726</v>
      </c>
      <c r="J2499" s="70" t="s">
        <v>760</v>
      </c>
      <c r="K2499" s="71" t="s">
        <v>1848</v>
      </c>
      <c r="L2499" s="72">
        <v>41036</v>
      </c>
      <c r="M2499" s="73" t="s">
        <v>729</v>
      </c>
      <c r="N2499" s="74">
        <v>41053</v>
      </c>
      <c r="O2499" s="75">
        <f t="shared" si="584"/>
        <v>41053</v>
      </c>
      <c r="P2499" s="2765" t="s">
        <v>1847</v>
      </c>
      <c r="Q2499" s="2954">
        <v>104.24</v>
      </c>
      <c r="R2499" s="76"/>
      <c r="S2499" s="1945" t="s">
        <v>731</v>
      </c>
      <c r="T2499" s="77"/>
      <c r="U2499" s="1893"/>
      <c r="V2499" s="2079">
        <f t="shared" si="578"/>
        <v>123.00319999999999</v>
      </c>
      <c r="W2499" s="78">
        <f t="shared" si="579"/>
        <v>0</v>
      </c>
      <c r="X2499" s="1878" t="str">
        <f t="shared" si="577"/>
        <v xml:space="preserve">7.- C Lima Caucho 0931010-OT_167579  Reencauche 030-0018028 </v>
      </c>
      <c r="Z2499" s="19" t="str">
        <f t="shared" si="581"/>
        <v>ReencaucheReencauchadora RENOVA</v>
      </c>
    </row>
    <row r="2500" spans="2:26" outlineLevel="1">
      <c r="B2500" s="3275"/>
      <c r="C2500" s="2">
        <f t="shared" si="582"/>
        <v>87</v>
      </c>
      <c r="D2500" s="3">
        <f t="shared" si="583"/>
        <v>14</v>
      </c>
      <c r="E2500" s="66">
        <v>8</v>
      </c>
      <c r="F2500" s="67" t="s">
        <v>732</v>
      </c>
      <c r="G2500" s="68" t="s">
        <v>737</v>
      </c>
      <c r="H2500" s="69" t="s">
        <v>1187</v>
      </c>
      <c r="I2500" s="68" t="s">
        <v>726</v>
      </c>
      <c r="J2500" s="70" t="s">
        <v>760</v>
      </c>
      <c r="K2500" s="71" t="s">
        <v>1849</v>
      </c>
      <c r="L2500" s="72">
        <v>41036</v>
      </c>
      <c r="M2500" s="73" t="s">
        <v>729</v>
      </c>
      <c r="N2500" s="74">
        <v>41053</v>
      </c>
      <c r="O2500" s="75">
        <f t="shared" si="584"/>
        <v>41053</v>
      </c>
      <c r="P2500" s="2765" t="s">
        <v>1847</v>
      </c>
      <c r="Q2500" s="2954">
        <v>104.24</v>
      </c>
      <c r="R2500" s="76"/>
      <c r="S2500" s="1945" t="s">
        <v>731</v>
      </c>
      <c r="T2500" s="77"/>
      <c r="U2500" s="1893"/>
      <c r="V2500" s="2079">
        <f t="shared" si="578"/>
        <v>123.00319999999999</v>
      </c>
      <c r="W2500" s="78">
        <f t="shared" si="579"/>
        <v>0</v>
      </c>
      <c r="X2500" s="1878" t="str">
        <f t="shared" si="577"/>
        <v xml:space="preserve">8.- C Vikrant 1501105-OT_167577  Reencauche 030-0018028 </v>
      </c>
      <c r="Z2500" s="19" t="str">
        <f t="shared" si="581"/>
        <v>ReencaucheReencauchadora RENOVA</v>
      </c>
    </row>
    <row r="2501" spans="2:26" outlineLevel="1">
      <c r="B2501" s="3275"/>
      <c r="C2501" s="2">
        <f t="shared" si="582"/>
        <v>86</v>
      </c>
      <c r="D2501" s="3">
        <f t="shared" si="583"/>
        <v>13</v>
      </c>
      <c r="E2501" s="66">
        <v>9</v>
      </c>
      <c r="F2501" s="67" t="s">
        <v>732</v>
      </c>
      <c r="G2501" s="68" t="s">
        <v>757</v>
      </c>
      <c r="H2501" s="69" t="s">
        <v>1531</v>
      </c>
      <c r="I2501" s="68" t="s">
        <v>726</v>
      </c>
      <c r="J2501" s="70" t="s">
        <v>760</v>
      </c>
      <c r="K2501" s="71" t="s">
        <v>1846</v>
      </c>
      <c r="L2501" s="72">
        <v>41036</v>
      </c>
      <c r="M2501" s="73" t="s">
        <v>729</v>
      </c>
      <c r="N2501" s="74">
        <v>41053</v>
      </c>
      <c r="O2501" s="75">
        <f t="shared" si="584"/>
        <v>41053</v>
      </c>
      <c r="P2501" s="2765" t="s">
        <v>1847</v>
      </c>
      <c r="Q2501" s="2954">
        <v>104.24</v>
      </c>
      <c r="R2501" s="76"/>
      <c r="S2501" s="1945" t="s">
        <v>731</v>
      </c>
      <c r="T2501" s="77"/>
      <c r="U2501" s="1893"/>
      <c r="V2501" s="2079">
        <f t="shared" si="578"/>
        <v>123.00319999999999</v>
      </c>
      <c r="W2501" s="78">
        <f t="shared" si="579"/>
        <v>0</v>
      </c>
      <c r="X2501" s="1878" t="str">
        <f t="shared" si="577"/>
        <v xml:space="preserve">9.- C Goodyear 0190205-OT_167578  Reencauche 030-0018028 </v>
      </c>
      <c r="Z2501" s="19" t="str">
        <f t="shared" si="581"/>
        <v>ReencaucheReencauchadora RENOVA</v>
      </c>
    </row>
    <row r="2502" spans="2:26" outlineLevel="1">
      <c r="B2502" s="3275"/>
      <c r="C2502" s="2">
        <f t="shared" si="582"/>
        <v>85</v>
      </c>
      <c r="D2502" s="3">
        <f t="shared" si="583"/>
        <v>12</v>
      </c>
      <c r="E2502" s="66">
        <v>10</v>
      </c>
      <c r="F2502" s="67" t="s">
        <v>732</v>
      </c>
      <c r="G2502" s="68" t="s">
        <v>769</v>
      </c>
      <c r="H2502" s="69" t="s">
        <v>1852</v>
      </c>
      <c r="I2502" s="68" t="s">
        <v>726</v>
      </c>
      <c r="J2502" s="70" t="s">
        <v>760</v>
      </c>
      <c r="K2502" s="71" t="s">
        <v>1846</v>
      </c>
      <c r="L2502" s="72">
        <v>41036</v>
      </c>
      <c r="M2502" s="73" t="s">
        <v>729</v>
      </c>
      <c r="N2502" s="74">
        <v>41053</v>
      </c>
      <c r="O2502" s="75">
        <f t="shared" si="584"/>
        <v>41053</v>
      </c>
      <c r="P2502" s="2765" t="s">
        <v>1847</v>
      </c>
      <c r="Q2502" s="2954">
        <v>104.24</v>
      </c>
      <c r="R2502" s="76"/>
      <c r="S2502" s="1945" t="s">
        <v>731</v>
      </c>
      <c r="T2502" s="77"/>
      <c r="U2502" s="1893"/>
      <c r="V2502" s="2079">
        <f t="shared" si="578"/>
        <v>123.00319999999999</v>
      </c>
      <c r="W2502" s="78">
        <f t="shared" si="579"/>
        <v>0</v>
      </c>
      <c r="X2502" s="1878" t="str">
        <f t="shared" si="577"/>
        <v xml:space="preserve">10.- C Lu He 0290209-OT_167578  Reencauche 030-0018028 </v>
      </c>
      <c r="Z2502" s="19" t="str">
        <f t="shared" si="581"/>
        <v>ReencaucheReencauchadora RENOVA</v>
      </c>
    </row>
    <row r="2503" spans="2:26" outlineLevel="1">
      <c r="B2503" s="3275"/>
      <c r="C2503" s="2">
        <f t="shared" si="582"/>
        <v>84</v>
      </c>
      <c r="D2503" s="3">
        <f t="shared" si="583"/>
        <v>11</v>
      </c>
      <c r="E2503" s="66">
        <v>11</v>
      </c>
      <c r="F2503" s="67" t="s">
        <v>732</v>
      </c>
      <c r="G2503" s="68" t="s">
        <v>737</v>
      </c>
      <c r="H2503" s="69" t="s">
        <v>1434</v>
      </c>
      <c r="I2503" s="68" t="s">
        <v>726</v>
      </c>
      <c r="J2503" s="70" t="s">
        <v>760</v>
      </c>
      <c r="K2503" s="71" t="s">
        <v>1849</v>
      </c>
      <c r="L2503" s="72">
        <v>41036</v>
      </c>
      <c r="M2503" s="73" t="s">
        <v>729</v>
      </c>
      <c r="N2503" s="74">
        <v>41053</v>
      </c>
      <c r="O2503" s="75">
        <f t="shared" si="584"/>
        <v>41053</v>
      </c>
      <c r="P2503" s="2765" t="s">
        <v>1847</v>
      </c>
      <c r="Q2503" s="2954">
        <v>104.24</v>
      </c>
      <c r="R2503" s="76"/>
      <c r="S2503" s="1945" t="s">
        <v>731</v>
      </c>
      <c r="T2503" s="77"/>
      <c r="U2503" s="1893"/>
      <c r="V2503" s="2079">
        <f t="shared" si="578"/>
        <v>123.00319999999999</v>
      </c>
      <c r="W2503" s="78">
        <f t="shared" si="579"/>
        <v>0</v>
      </c>
      <c r="X2503" s="1878" t="str">
        <f t="shared" si="577"/>
        <v xml:space="preserve">11.- C Vikrant 1581105-OT_167577  Reencauche 030-0018028 </v>
      </c>
      <c r="Z2503" s="19" t="str">
        <f t="shared" si="581"/>
        <v>ReencaucheReencauchadora RENOVA</v>
      </c>
    </row>
    <row r="2504" spans="2:26" outlineLevel="1">
      <c r="B2504" s="3275"/>
      <c r="C2504" s="2">
        <f t="shared" si="582"/>
        <v>83</v>
      </c>
      <c r="D2504" s="3">
        <f t="shared" si="583"/>
        <v>10</v>
      </c>
      <c r="E2504" s="66">
        <v>12</v>
      </c>
      <c r="F2504" s="67" t="s">
        <v>732</v>
      </c>
      <c r="G2504" s="68" t="s">
        <v>737</v>
      </c>
      <c r="H2504" s="69" t="s">
        <v>1853</v>
      </c>
      <c r="I2504" s="68" t="s">
        <v>726</v>
      </c>
      <c r="J2504" s="70" t="s">
        <v>760</v>
      </c>
      <c r="K2504" s="71" t="s">
        <v>1849</v>
      </c>
      <c r="L2504" s="72">
        <v>41036</v>
      </c>
      <c r="M2504" s="73" t="s">
        <v>729</v>
      </c>
      <c r="N2504" s="74">
        <v>41053</v>
      </c>
      <c r="O2504" s="75">
        <f t="shared" si="584"/>
        <v>41053</v>
      </c>
      <c r="P2504" s="2765" t="s">
        <v>1847</v>
      </c>
      <c r="Q2504" s="2954">
        <v>104.24</v>
      </c>
      <c r="R2504" s="76"/>
      <c r="S2504" s="1945" t="s">
        <v>731</v>
      </c>
      <c r="T2504" s="77"/>
      <c r="U2504" s="1893"/>
      <c r="V2504" s="2079">
        <f t="shared" si="578"/>
        <v>123.00319999999999</v>
      </c>
      <c r="W2504" s="78">
        <f t="shared" si="579"/>
        <v>0</v>
      </c>
      <c r="X2504" s="1878" t="str">
        <f t="shared" si="577"/>
        <v xml:space="preserve">12.- C Vikrant 1541105-OT_167577  Reencauche 030-0018028 </v>
      </c>
      <c r="Z2504" s="19" t="str">
        <f t="shared" si="581"/>
        <v>ReencaucheReencauchadora RENOVA</v>
      </c>
    </row>
    <row r="2505" spans="2:26" outlineLevel="1">
      <c r="B2505" s="3275"/>
      <c r="C2505" s="2">
        <f t="shared" si="582"/>
        <v>82</v>
      </c>
      <c r="D2505" s="3">
        <f t="shared" si="583"/>
        <v>9</v>
      </c>
      <c r="E2505" s="66">
        <v>13</v>
      </c>
      <c r="F2505" s="67" t="s">
        <v>732</v>
      </c>
      <c r="G2505" s="68" t="s">
        <v>737</v>
      </c>
      <c r="H2505" s="69" t="s">
        <v>1261</v>
      </c>
      <c r="I2505" s="68" t="s">
        <v>726</v>
      </c>
      <c r="J2505" s="70" t="s">
        <v>760</v>
      </c>
      <c r="K2505" s="71" t="s">
        <v>1849</v>
      </c>
      <c r="L2505" s="72">
        <v>41036</v>
      </c>
      <c r="M2505" s="73" t="s">
        <v>729</v>
      </c>
      <c r="N2505" s="74">
        <v>41053</v>
      </c>
      <c r="O2505" s="75">
        <f t="shared" si="584"/>
        <v>41053</v>
      </c>
      <c r="P2505" s="2765" t="s">
        <v>1847</v>
      </c>
      <c r="Q2505" s="2954">
        <v>104.24</v>
      </c>
      <c r="R2505" s="76"/>
      <c r="S2505" s="1945" t="s">
        <v>731</v>
      </c>
      <c r="T2505" s="77"/>
      <c r="U2505" s="1893"/>
      <c r="V2505" s="2079">
        <f t="shared" si="578"/>
        <v>123.00319999999999</v>
      </c>
      <c r="W2505" s="78">
        <f t="shared" si="579"/>
        <v>0</v>
      </c>
      <c r="X2505" s="1878" t="str">
        <f t="shared" si="577"/>
        <v xml:space="preserve">13.- C Vikrant 0730906-OT_167577  Reencauche 030-0018028 </v>
      </c>
      <c r="Z2505" s="19" t="str">
        <f t="shared" si="581"/>
        <v>ReencaucheReencauchadora RENOVA</v>
      </c>
    </row>
    <row r="2506" spans="2:26" outlineLevel="1">
      <c r="B2506" s="3275"/>
      <c r="C2506" s="2">
        <f t="shared" si="582"/>
        <v>81</v>
      </c>
      <c r="D2506" s="3">
        <f t="shared" si="583"/>
        <v>8</v>
      </c>
      <c r="E2506" s="66">
        <v>14</v>
      </c>
      <c r="F2506" s="67" t="s">
        <v>732</v>
      </c>
      <c r="G2506" s="68" t="s">
        <v>757</v>
      </c>
      <c r="H2506" s="69" t="s">
        <v>1070</v>
      </c>
      <c r="I2506" s="68" t="s">
        <v>726</v>
      </c>
      <c r="J2506" s="70" t="s">
        <v>760</v>
      </c>
      <c r="K2506" s="71" t="s">
        <v>1846</v>
      </c>
      <c r="L2506" s="72">
        <v>41036</v>
      </c>
      <c r="M2506" s="73" t="s">
        <v>729</v>
      </c>
      <c r="N2506" s="74">
        <v>41053</v>
      </c>
      <c r="O2506" s="75">
        <f t="shared" si="584"/>
        <v>41053</v>
      </c>
      <c r="P2506" s="2765" t="s">
        <v>1854</v>
      </c>
      <c r="Q2506" s="2954">
        <v>104.24</v>
      </c>
      <c r="R2506" s="76"/>
      <c r="S2506" s="1945" t="s">
        <v>731</v>
      </c>
      <c r="T2506" s="77"/>
      <c r="U2506" s="1893"/>
      <c r="V2506" s="2079">
        <f t="shared" si="578"/>
        <v>123.00319999999999</v>
      </c>
      <c r="W2506" s="78">
        <f t="shared" si="579"/>
        <v>0</v>
      </c>
      <c r="X2506" s="1878" t="str">
        <f t="shared" si="577"/>
        <v xml:space="preserve">14.- C Goodyear 0700404-OT_167578  Reencauche 030-0018027 </v>
      </c>
      <c r="Z2506" s="19" t="str">
        <f t="shared" si="581"/>
        <v>ReencaucheReencauchadora RENOVA</v>
      </c>
    </row>
    <row r="2507" spans="2:26" outlineLevel="1">
      <c r="B2507" s="3275"/>
      <c r="C2507" s="2">
        <f t="shared" si="582"/>
        <v>80</v>
      </c>
      <c r="D2507" s="3">
        <f t="shared" si="583"/>
        <v>7</v>
      </c>
      <c r="E2507" s="66">
        <v>15</v>
      </c>
      <c r="F2507" s="67" t="s">
        <v>732</v>
      </c>
      <c r="G2507" s="68" t="s">
        <v>737</v>
      </c>
      <c r="H2507" s="69" t="s">
        <v>1282</v>
      </c>
      <c r="I2507" s="68" t="s">
        <v>726</v>
      </c>
      <c r="J2507" s="70" t="s">
        <v>760</v>
      </c>
      <c r="K2507" s="71" t="s">
        <v>1849</v>
      </c>
      <c r="L2507" s="72">
        <v>41036</v>
      </c>
      <c r="M2507" s="73" t="s">
        <v>729</v>
      </c>
      <c r="N2507" s="74">
        <v>41053</v>
      </c>
      <c r="O2507" s="75">
        <f t="shared" si="584"/>
        <v>41053</v>
      </c>
      <c r="P2507" s="2765" t="s">
        <v>1854</v>
      </c>
      <c r="Q2507" s="2954">
        <v>104.24</v>
      </c>
      <c r="R2507" s="76"/>
      <c r="S2507" s="1945" t="s">
        <v>731</v>
      </c>
      <c r="T2507" s="77"/>
      <c r="U2507" s="1893"/>
      <c r="V2507" s="2079">
        <f t="shared" si="578"/>
        <v>123.00319999999999</v>
      </c>
      <c r="W2507" s="78">
        <f t="shared" si="579"/>
        <v>0</v>
      </c>
      <c r="X2507" s="1878" t="str">
        <f t="shared" si="577"/>
        <v xml:space="preserve">15.- C Vikrant 0140310-OT_167577  Reencauche 030-0018027 </v>
      </c>
      <c r="Z2507" s="19" t="str">
        <f t="shared" si="581"/>
        <v>ReencaucheReencauchadora RENOVA</v>
      </c>
    </row>
    <row r="2508" spans="2:26" outlineLevel="1">
      <c r="B2508" s="3275"/>
      <c r="C2508" s="2">
        <f t="shared" si="582"/>
        <v>79</v>
      </c>
      <c r="D2508" s="3">
        <f t="shared" si="583"/>
        <v>6</v>
      </c>
      <c r="E2508" s="66">
        <v>16</v>
      </c>
      <c r="F2508" s="67" t="s">
        <v>732</v>
      </c>
      <c r="G2508" s="68" t="s">
        <v>733</v>
      </c>
      <c r="H2508" s="69" t="s">
        <v>1239</v>
      </c>
      <c r="I2508" s="68" t="s">
        <v>726</v>
      </c>
      <c r="J2508" s="70" t="s">
        <v>760</v>
      </c>
      <c r="K2508" s="71" t="s">
        <v>1848</v>
      </c>
      <c r="L2508" s="72">
        <v>41036</v>
      </c>
      <c r="M2508" s="73" t="s">
        <v>729</v>
      </c>
      <c r="N2508" s="74">
        <v>41053</v>
      </c>
      <c r="O2508" s="75">
        <f t="shared" si="584"/>
        <v>41053</v>
      </c>
      <c r="P2508" s="2765" t="s">
        <v>1854</v>
      </c>
      <c r="Q2508" s="2954">
        <v>104.24</v>
      </c>
      <c r="R2508" s="76"/>
      <c r="S2508" s="1945" t="s">
        <v>731</v>
      </c>
      <c r="T2508" s="77"/>
      <c r="U2508" s="1893"/>
      <c r="V2508" s="2079">
        <f t="shared" si="578"/>
        <v>123.00319999999999</v>
      </c>
      <c r="W2508" s="78">
        <f t="shared" si="579"/>
        <v>0</v>
      </c>
      <c r="X2508" s="1878" t="str">
        <f t="shared" si="577"/>
        <v xml:space="preserve">16.- C Lima Caucho 0080107-OT_167579  Reencauche 030-0018027 </v>
      </c>
      <c r="Z2508" s="19" t="str">
        <f t="shared" si="581"/>
        <v>ReencaucheReencauchadora RENOVA</v>
      </c>
    </row>
    <row r="2509" spans="2:26" outlineLevel="1">
      <c r="B2509" s="3275"/>
      <c r="C2509" s="2">
        <f t="shared" si="582"/>
        <v>78</v>
      </c>
      <c r="D2509" s="3">
        <f t="shared" si="583"/>
        <v>5</v>
      </c>
      <c r="E2509" s="66">
        <v>17</v>
      </c>
      <c r="F2509" s="67" t="s">
        <v>732</v>
      </c>
      <c r="G2509" s="68" t="s">
        <v>831</v>
      </c>
      <c r="H2509" s="69" t="s">
        <v>832</v>
      </c>
      <c r="I2509" s="68" t="s">
        <v>726</v>
      </c>
      <c r="J2509" s="70" t="s">
        <v>760</v>
      </c>
      <c r="K2509" s="71" t="s">
        <v>1846</v>
      </c>
      <c r="L2509" s="72">
        <v>41036</v>
      </c>
      <c r="M2509" s="73" t="s">
        <v>729</v>
      </c>
      <c r="N2509" s="74">
        <v>41053</v>
      </c>
      <c r="O2509" s="75">
        <f t="shared" si="584"/>
        <v>41053</v>
      </c>
      <c r="P2509" s="2765" t="s">
        <v>1854</v>
      </c>
      <c r="Q2509" s="2954">
        <v>104.24</v>
      </c>
      <c r="R2509" s="76"/>
      <c r="S2509" s="1945" t="s">
        <v>731</v>
      </c>
      <c r="T2509" s="77"/>
      <c r="U2509" s="1893"/>
      <c r="V2509" s="2079">
        <f t="shared" si="578"/>
        <v>123.00319999999999</v>
      </c>
      <c r="W2509" s="78">
        <f t="shared" si="579"/>
        <v>0</v>
      </c>
      <c r="X2509" s="1878" t="str">
        <f t="shared" si="577"/>
        <v xml:space="preserve">17.- C Kumho 0230305-OT_167578  Reencauche 030-0018027 </v>
      </c>
      <c r="Z2509" s="19" t="str">
        <f t="shared" si="581"/>
        <v>ReencaucheReencauchadora RENOVA</v>
      </c>
    </row>
    <row r="2510" spans="2:26" outlineLevel="1">
      <c r="B2510" s="3275"/>
      <c r="C2510" s="2">
        <f t="shared" si="582"/>
        <v>77</v>
      </c>
      <c r="D2510" s="3">
        <f t="shared" si="583"/>
        <v>4</v>
      </c>
      <c r="E2510" s="66">
        <v>18</v>
      </c>
      <c r="F2510" s="67" t="s">
        <v>732</v>
      </c>
      <c r="G2510" s="68" t="s">
        <v>737</v>
      </c>
      <c r="H2510" s="69" t="s">
        <v>1623</v>
      </c>
      <c r="I2510" s="68" t="s">
        <v>726</v>
      </c>
      <c r="J2510" s="70" t="s">
        <v>760</v>
      </c>
      <c r="K2510" s="71" t="s">
        <v>1849</v>
      </c>
      <c r="L2510" s="72">
        <v>41036</v>
      </c>
      <c r="M2510" s="73" t="s">
        <v>729</v>
      </c>
      <c r="N2510" s="74">
        <v>41053</v>
      </c>
      <c r="O2510" s="75">
        <f t="shared" si="584"/>
        <v>41053</v>
      </c>
      <c r="P2510" s="2765" t="s">
        <v>1854</v>
      </c>
      <c r="Q2510" s="2954">
        <v>104.24</v>
      </c>
      <c r="R2510" s="76"/>
      <c r="S2510" s="1945" t="s">
        <v>731</v>
      </c>
      <c r="T2510" s="77"/>
      <c r="U2510" s="1893"/>
      <c r="V2510" s="2079">
        <f t="shared" si="578"/>
        <v>123.00319999999999</v>
      </c>
      <c r="W2510" s="78">
        <f t="shared" si="579"/>
        <v>0</v>
      </c>
      <c r="X2510" s="1878" t="str">
        <f t="shared" si="577"/>
        <v xml:space="preserve">18.- C Vikrant 0751009-OT_167577  Reencauche 030-0018027 </v>
      </c>
      <c r="Z2510" s="19" t="str">
        <f t="shared" si="581"/>
        <v>ReencaucheReencauchadora RENOVA</v>
      </c>
    </row>
    <row r="2511" spans="2:26" outlineLevel="1">
      <c r="B2511" s="3275"/>
      <c r="C2511" s="2">
        <f t="shared" si="582"/>
        <v>76</v>
      </c>
      <c r="D2511" s="3">
        <f t="shared" si="583"/>
        <v>3</v>
      </c>
      <c r="E2511" s="66">
        <v>19</v>
      </c>
      <c r="F2511" s="67" t="s">
        <v>732</v>
      </c>
      <c r="G2511" s="68" t="s">
        <v>757</v>
      </c>
      <c r="H2511" s="69" t="s">
        <v>1674</v>
      </c>
      <c r="I2511" s="68" t="s">
        <v>726</v>
      </c>
      <c r="J2511" s="70" t="s">
        <v>760</v>
      </c>
      <c r="K2511" s="71" t="s">
        <v>1846</v>
      </c>
      <c r="L2511" s="72">
        <v>41036</v>
      </c>
      <c r="M2511" s="73" t="s">
        <v>729</v>
      </c>
      <c r="N2511" s="74">
        <v>41053</v>
      </c>
      <c r="O2511" s="75">
        <f t="shared" si="584"/>
        <v>41053</v>
      </c>
      <c r="P2511" s="2765" t="s">
        <v>1854</v>
      </c>
      <c r="Q2511" s="2954">
        <v>104.24</v>
      </c>
      <c r="R2511" s="76"/>
      <c r="S2511" s="1945" t="s">
        <v>731</v>
      </c>
      <c r="T2511" s="77"/>
      <c r="U2511" s="1893"/>
      <c r="V2511" s="2079">
        <f t="shared" si="578"/>
        <v>123.00319999999999</v>
      </c>
      <c r="W2511" s="78">
        <f t="shared" si="579"/>
        <v>0</v>
      </c>
      <c r="X2511" s="1878" t="str">
        <f t="shared" si="577"/>
        <v xml:space="preserve">19.- C Goodyear 058032004-OT_167578  Reencauche 030-0018027 </v>
      </c>
      <c r="Z2511" s="19" t="str">
        <f t="shared" si="581"/>
        <v/>
      </c>
    </row>
    <row r="2512" spans="2:26" outlineLevel="1">
      <c r="B2512" s="3275"/>
      <c r="C2512" s="2">
        <f t="shared" si="582"/>
        <v>75</v>
      </c>
      <c r="D2512" s="3">
        <f t="shared" si="583"/>
        <v>2</v>
      </c>
      <c r="E2512" s="66">
        <v>20</v>
      </c>
      <c r="F2512" s="67" t="s">
        <v>732</v>
      </c>
      <c r="G2512" s="68" t="s">
        <v>737</v>
      </c>
      <c r="H2512" s="69" t="s">
        <v>1524</v>
      </c>
      <c r="I2512" s="68" t="s">
        <v>726</v>
      </c>
      <c r="J2512" s="70" t="s">
        <v>760</v>
      </c>
      <c r="K2512" s="71" t="s">
        <v>1849</v>
      </c>
      <c r="L2512" s="72">
        <v>41036</v>
      </c>
      <c r="M2512" s="73" t="s">
        <v>729</v>
      </c>
      <c r="N2512" s="74">
        <v>41053</v>
      </c>
      <c r="O2512" s="75">
        <f t="shared" si="584"/>
        <v>41053</v>
      </c>
      <c r="P2512" s="2765" t="s">
        <v>1854</v>
      </c>
      <c r="Q2512" s="2954">
        <v>104.24</v>
      </c>
      <c r="R2512" s="76"/>
      <c r="S2512" s="1945" t="s">
        <v>731</v>
      </c>
      <c r="T2512" s="77"/>
      <c r="U2512" s="1893"/>
      <c r="V2512" s="2079">
        <f t="shared" si="578"/>
        <v>123.00319999999999</v>
      </c>
      <c r="W2512" s="78">
        <f t="shared" si="579"/>
        <v>0</v>
      </c>
      <c r="X2512" s="1878" t="str">
        <f t="shared" si="577"/>
        <v xml:space="preserve">20.- C Vikrant 1621205-OT_167577  Reencauche 030-0018027 </v>
      </c>
      <c r="Z2512" s="19" t="str">
        <f t="shared" si="581"/>
        <v/>
      </c>
    </row>
    <row r="2513" spans="1:26" outlineLevel="1">
      <c r="B2513" s="3275"/>
      <c r="C2513" s="2">
        <f>1+C2521</f>
        <v>74</v>
      </c>
      <c r="D2513" s="3">
        <v>1</v>
      </c>
      <c r="E2513" s="66">
        <v>21</v>
      </c>
      <c r="F2513" s="67" t="s">
        <v>732</v>
      </c>
      <c r="G2513" s="68" t="s">
        <v>733</v>
      </c>
      <c r="H2513" s="69" t="s">
        <v>1408</v>
      </c>
      <c r="I2513" s="68" t="s">
        <v>726</v>
      </c>
      <c r="J2513" s="70" t="s">
        <v>760</v>
      </c>
      <c r="K2513" s="71" t="s">
        <v>1848</v>
      </c>
      <c r="L2513" s="72">
        <v>41036</v>
      </c>
      <c r="M2513" s="73" t="s">
        <v>729</v>
      </c>
      <c r="N2513" s="121">
        <v>41053</v>
      </c>
      <c r="O2513" s="75">
        <f t="shared" si="584"/>
        <v>41053</v>
      </c>
      <c r="P2513" s="2765" t="s">
        <v>1854</v>
      </c>
      <c r="Q2513" s="2954">
        <v>104.24</v>
      </c>
      <c r="R2513" s="76"/>
      <c r="S2513" s="1945" t="s">
        <v>731</v>
      </c>
      <c r="T2513" s="77"/>
      <c r="U2513" s="1893"/>
      <c r="V2513" s="2079">
        <f t="shared" si="578"/>
        <v>123.00319999999999</v>
      </c>
      <c r="W2513" s="78">
        <f t="shared" si="579"/>
        <v>0</v>
      </c>
      <c r="X2513" s="1878" t="str">
        <f t="shared" si="577"/>
        <v xml:space="preserve">21.- C Lima Caucho 0970908-OT_167579  Reencauche 030-0018027 </v>
      </c>
      <c r="Z2513" s="19" t="str">
        <f t="shared" si="581"/>
        <v/>
      </c>
    </row>
    <row r="2514" spans="1:26" s="342" customFormat="1">
      <c r="A2514"/>
      <c r="B2514" s="3275"/>
      <c r="C2514" s="2"/>
      <c r="D2514" s="3"/>
      <c r="E2514" s="66">
        <v>22</v>
      </c>
      <c r="F2514" s="67" t="s">
        <v>732</v>
      </c>
      <c r="G2514" s="290" t="s">
        <v>757</v>
      </c>
      <c r="H2514" s="289" t="s">
        <v>1843</v>
      </c>
      <c r="I2514" s="290"/>
      <c r="J2514" s="291"/>
      <c r="K2514" s="292" t="s">
        <v>1846</v>
      </c>
      <c r="L2514" s="293">
        <v>41036</v>
      </c>
      <c r="M2514" s="294" t="s">
        <v>1815</v>
      </c>
      <c r="N2514" s="295">
        <v>41053</v>
      </c>
      <c r="O2514" s="296">
        <f t="shared" si="584"/>
        <v>41053</v>
      </c>
      <c r="P2514" s="340" t="s">
        <v>1855</v>
      </c>
      <c r="Q2514" s="2976">
        <v>0</v>
      </c>
      <c r="R2514" s="286"/>
      <c r="S2514" s="1962" t="s">
        <v>731</v>
      </c>
      <c r="T2514" s="274" t="s">
        <v>1617</v>
      </c>
      <c r="U2514" s="1895"/>
      <c r="V2514" s="2079">
        <f t="shared" si="578"/>
        <v>0</v>
      </c>
      <c r="W2514" s="78">
        <f t="shared" si="579"/>
        <v>0</v>
      </c>
      <c r="X2514" s="1878" t="str">
        <f t="shared" si="577"/>
        <v>22.- C Goodyear 052092003-OT_167578   G033-0008783  Llanta Rechazada, no se facturo</v>
      </c>
      <c r="Y2514" s="16"/>
      <c r="Z2514" s="345"/>
    </row>
    <row r="2515" spans="1:26" outlineLevel="1">
      <c r="B2515" s="3275"/>
      <c r="E2515" s="66">
        <v>23</v>
      </c>
      <c r="F2515" s="67" t="s">
        <v>732</v>
      </c>
      <c r="G2515" s="290" t="s">
        <v>757</v>
      </c>
      <c r="H2515" s="289" t="s">
        <v>1835</v>
      </c>
      <c r="I2515" s="290"/>
      <c r="J2515" s="291"/>
      <c r="K2515" s="292" t="s">
        <v>1846</v>
      </c>
      <c r="L2515" s="293">
        <v>41036</v>
      </c>
      <c r="M2515" s="294" t="s">
        <v>1815</v>
      </c>
      <c r="N2515" s="295">
        <v>41053</v>
      </c>
      <c r="O2515" s="296">
        <f t="shared" si="584"/>
        <v>41053</v>
      </c>
      <c r="P2515" s="340" t="s">
        <v>1855</v>
      </c>
      <c r="Q2515" s="2976">
        <v>0</v>
      </c>
      <c r="R2515" s="286"/>
      <c r="S2515" s="1962" t="s">
        <v>731</v>
      </c>
      <c r="T2515" s="274" t="s">
        <v>1617</v>
      </c>
      <c r="U2515" s="1895"/>
      <c r="V2515" s="2079">
        <f t="shared" si="578"/>
        <v>0</v>
      </c>
      <c r="W2515" s="78">
        <f t="shared" si="579"/>
        <v>0</v>
      </c>
      <c r="X2515" s="1878" t="str">
        <f t="shared" si="577"/>
        <v>23.- C Goodyear 0010102-OT_167578   G033-0008783  Llanta Rechazada, no se facturo</v>
      </c>
      <c r="Z2515" s="19" t="str">
        <f t="shared" ref="Z2515:Z2543" si="585">CONCATENATE(I2518,J2518)</f>
        <v>Eval x ReclamoReencauchadora RENOVA</v>
      </c>
    </row>
    <row r="2516" spans="1:26" ht="15.75" outlineLevel="1" thickBot="1">
      <c r="B2516" s="3276"/>
      <c r="E2516" s="307">
        <v>24</v>
      </c>
      <c r="F2516" s="328" t="s">
        <v>732</v>
      </c>
      <c r="G2516" s="311" t="s">
        <v>1108</v>
      </c>
      <c r="H2516" s="310" t="s">
        <v>1838</v>
      </c>
      <c r="I2516" s="311"/>
      <c r="J2516" s="312"/>
      <c r="K2516" s="313" t="s">
        <v>1846</v>
      </c>
      <c r="L2516" s="314">
        <v>41036</v>
      </c>
      <c r="M2516" s="315" t="s">
        <v>1815</v>
      </c>
      <c r="N2516" s="316">
        <v>41053</v>
      </c>
      <c r="O2516" s="317">
        <f t="shared" si="584"/>
        <v>41053</v>
      </c>
      <c r="P2516" s="341" t="s">
        <v>1855</v>
      </c>
      <c r="Q2516" s="2977">
        <v>0</v>
      </c>
      <c r="R2516" s="318"/>
      <c r="S2516" s="1963" t="s">
        <v>731</v>
      </c>
      <c r="T2516" s="274" t="s">
        <v>1617</v>
      </c>
      <c r="U2516" s="1895"/>
      <c r="V2516" s="2079">
        <f t="shared" si="578"/>
        <v>0</v>
      </c>
      <c r="W2516" s="78">
        <f t="shared" si="579"/>
        <v>0</v>
      </c>
      <c r="X2516" s="1878" t="str">
        <f t="shared" si="577"/>
        <v>24.- C Hankook 0470305-OT_167578   G033-0008783  Llanta Rechazada, no se facturo</v>
      </c>
      <c r="Z2516" s="19" t="str">
        <f t="shared" si="585"/>
        <v>Eval x ReclamoReencauchadora RENOVA</v>
      </c>
    </row>
    <row r="2517" spans="1:26" ht="15.75" outlineLevel="1" thickBot="1">
      <c r="A2517" s="342"/>
      <c r="B2517" s="3310">
        <f>+B2518</f>
        <v>41000</v>
      </c>
      <c r="C2517" s="3310"/>
      <c r="D2517" s="258">
        <f>+D2521</f>
        <v>26</v>
      </c>
      <c r="E2517" s="343"/>
      <c r="F2517" s="94"/>
      <c r="G2517" s="275"/>
      <c r="H2517" s="276"/>
      <c r="I2517" s="275"/>
      <c r="J2517" s="277"/>
      <c r="K2517" s="278"/>
      <c r="L2517" s="279"/>
      <c r="M2517" s="280"/>
      <c r="N2517" s="153"/>
      <c r="O2517" s="154"/>
      <c r="P2517" s="344"/>
      <c r="Q2517" s="2959"/>
      <c r="R2517" s="281"/>
      <c r="S2517" s="1955"/>
      <c r="T2517" s="282"/>
      <c r="U2517" s="1898"/>
      <c r="V2517" s="2079">
        <f t="shared" si="578"/>
        <v>0</v>
      </c>
      <c r="W2517" s="78">
        <f t="shared" si="579"/>
        <v>0</v>
      </c>
      <c r="X2517" s="1878" t="str">
        <f t="shared" si="577"/>
        <v xml:space="preserve">.-   -OT_    </v>
      </c>
      <c r="Z2517" s="19" t="str">
        <f t="shared" si="585"/>
        <v>Eval x ReclamoReencauchadora RENOVA</v>
      </c>
    </row>
    <row r="2518" spans="1:26" outlineLevel="1">
      <c r="B2518" s="3274">
        <v>41000</v>
      </c>
      <c r="E2518" s="346">
        <v>1</v>
      </c>
      <c r="F2518" s="67" t="s">
        <v>732</v>
      </c>
      <c r="G2518" s="90" t="s">
        <v>733</v>
      </c>
      <c r="H2518" s="91" t="s">
        <v>1839</v>
      </c>
      <c r="I2518" s="90" t="s">
        <v>1856</v>
      </c>
      <c r="J2518" s="92" t="s">
        <v>760</v>
      </c>
      <c r="K2518" s="243" t="s">
        <v>1857</v>
      </c>
      <c r="L2518" s="244">
        <v>40996</v>
      </c>
      <c r="M2518" s="245" t="s">
        <v>729</v>
      </c>
      <c r="N2518" s="74">
        <v>41012</v>
      </c>
      <c r="O2518" s="75">
        <f t="shared" ref="O2518:O2546" si="586">+N2518</f>
        <v>41012</v>
      </c>
      <c r="P2518" s="2799" t="s">
        <v>1858</v>
      </c>
      <c r="Q2518" s="2954">
        <v>0</v>
      </c>
      <c r="R2518" s="248"/>
      <c r="S2518" s="1958" t="s">
        <v>731</v>
      </c>
      <c r="T2518" s="347" t="s">
        <v>1866</v>
      </c>
      <c r="U2518" s="1924"/>
      <c r="V2518" s="2079">
        <f t="shared" si="578"/>
        <v>0</v>
      </c>
      <c r="W2518" s="78">
        <f t="shared" si="579"/>
        <v>0</v>
      </c>
      <c r="X2518" s="1878" t="str">
        <f t="shared" si="577"/>
        <v>1.- C Lima Caucho 0270508-OT_165509  Eval x Reclamo G-031-0007732 Rodada Baja,  No Procede despred de banda</v>
      </c>
      <c r="Z2518" s="19" t="str">
        <f t="shared" si="585"/>
        <v>ReencaucheReencauchadora RENOVA</v>
      </c>
    </row>
    <row r="2519" spans="1:26" outlineLevel="1">
      <c r="B2519" s="3275"/>
      <c r="E2519" s="346">
        <v>2</v>
      </c>
      <c r="F2519" s="67" t="s">
        <v>732</v>
      </c>
      <c r="G2519" s="90" t="s">
        <v>733</v>
      </c>
      <c r="H2519" s="91" t="s">
        <v>949</v>
      </c>
      <c r="I2519" s="90" t="s">
        <v>1856</v>
      </c>
      <c r="J2519" s="92" t="s">
        <v>760</v>
      </c>
      <c r="K2519" s="243" t="s">
        <v>1857</v>
      </c>
      <c r="L2519" s="244">
        <v>40996</v>
      </c>
      <c r="M2519" s="245" t="s">
        <v>729</v>
      </c>
      <c r="N2519" s="74">
        <v>41012</v>
      </c>
      <c r="O2519" s="75">
        <f t="shared" si="586"/>
        <v>41012</v>
      </c>
      <c r="P2519" s="2799" t="s">
        <v>1858</v>
      </c>
      <c r="Q2519" s="2954">
        <v>0</v>
      </c>
      <c r="R2519" s="248"/>
      <c r="S2519" s="1958" t="s">
        <v>731</v>
      </c>
      <c r="T2519" s="348" t="s">
        <v>3859</v>
      </c>
      <c r="U2519" s="1925"/>
      <c r="V2519" s="2079">
        <f t="shared" si="578"/>
        <v>0</v>
      </c>
      <c r="W2519" s="78">
        <f t="shared" si="579"/>
        <v>0</v>
      </c>
      <c r="X2519" s="1878" t="str">
        <f t="shared" si="577"/>
        <v>2.- C Lima Caucho 1241207-OT_165509  Eval x Reclamo G-031-0007732 Reenc extraño No Procede (AMC) despred de banda</v>
      </c>
      <c r="Z2519" s="19" t="str">
        <f t="shared" si="585"/>
        <v>ReencaucheReencauchadora RENOVA</v>
      </c>
    </row>
    <row r="2520" spans="1:26" outlineLevel="1">
      <c r="B2520" s="3275"/>
      <c r="E2520" s="349">
        <v>3</v>
      </c>
      <c r="F2520" s="80" t="s">
        <v>732</v>
      </c>
      <c r="G2520" s="114" t="s">
        <v>733</v>
      </c>
      <c r="H2520" s="115" t="s">
        <v>1869</v>
      </c>
      <c r="I2520" s="114" t="s">
        <v>1856</v>
      </c>
      <c r="J2520" s="93" t="s">
        <v>760</v>
      </c>
      <c r="K2520" s="350" t="s">
        <v>1857</v>
      </c>
      <c r="L2520" s="351">
        <v>40996</v>
      </c>
      <c r="M2520" s="352" t="s">
        <v>729</v>
      </c>
      <c r="N2520" s="87">
        <v>41012</v>
      </c>
      <c r="O2520" s="88">
        <f t="shared" si="586"/>
        <v>41012</v>
      </c>
      <c r="P2520" s="2800" t="s">
        <v>1858</v>
      </c>
      <c r="Q2520" s="2955">
        <v>0</v>
      </c>
      <c r="R2520" s="353"/>
      <c r="S2520" s="1966" t="s">
        <v>731</v>
      </c>
      <c r="T2520" s="348" t="s">
        <v>3859</v>
      </c>
      <c r="U2520" s="1925"/>
      <c r="V2520" s="2079">
        <f t="shared" si="578"/>
        <v>0</v>
      </c>
      <c r="W2520" s="78">
        <f t="shared" si="579"/>
        <v>0</v>
      </c>
      <c r="X2520" s="1878" t="str">
        <f t="shared" si="577"/>
        <v>3.- C Lima Caucho 0040107-OT_165509  Eval x Reclamo G-031-0007732 Reenc extraño No Procede (AMC) despred de banda</v>
      </c>
      <c r="Z2520" s="19" t="str">
        <f t="shared" si="585"/>
        <v>ReencaucheReencauchadora RENOVA</v>
      </c>
    </row>
    <row r="2521" spans="1:26" outlineLevel="1">
      <c r="B2521" s="3275"/>
      <c r="C2521" s="2">
        <f t="shared" ref="C2521:C2545" si="587">1+C2522</f>
        <v>73</v>
      </c>
      <c r="D2521" s="306">
        <f t="shared" ref="D2521:D2545" si="588">1+D2522</f>
        <v>26</v>
      </c>
      <c r="E2521" s="66">
        <v>1</v>
      </c>
      <c r="F2521" s="67" t="s">
        <v>732</v>
      </c>
      <c r="G2521" s="68" t="s">
        <v>733</v>
      </c>
      <c r="H2521" s="69" t="s">
        <v>1461</v>
      </c>
      <c r="I2521" s="68" t="s">
        <v>726</v>
      </c>
      <c r="J2521" s="70" t="s">
        <v>760</v>
      </c>
      <c r="K2521" s="71" t="s">
        <v>1870</v>
      </c>
      <c r="L2521" s="72">
        <v>40996</v>
      </c>
      <c r="M2521" s="73" t="s">
        <v>729</v>
      </c>
      <c r="N2521" s="74">
        <v>41012</v>
      </c>
      <c r="O2521" s="75">
        <f t="shared" si="586"/>
        <v>41012</v>
      </c>
      <c r="P2521" s="2765" t="s">
        <v>1871</v>
      </c>
      <c r="Q2521" s="2954">
        <v>104.24</v>
      </c>
      <c r="R2521" s="76"/>
      <c r="S2521" s="1945" t="s">
        <v>731</v>
      </c>
      <c r="T2521" s="77"/>
      <c r="U2521" s="1893"/>
      <c r="V2521" s="2079">
        <f t="shared" si="578"/>
        <v>123.00319999999999</v>
      </c>
      <c r="W2521" s="78">
        <f t="shared" si="579"/>
        <v>0</v>
      </c>
      <c r="X2521" s="1878" t="str">
        <f t="shared" si="577"/>
        <v xml:space="preserve">1.- C Lima Caucho 0420707-OT_165506  Reencauche 031-0008539 </v>
      </c>
      <c r="Z2521" s="19" t="str">
        <f t="shared" si="585"/>
        <v>ReencaucheReencauchadora RENOVA</v>
      </c>
    </row>
    <row r="2522" spans="1:26" outlineLevel="1">
      <c r="B2522" s="3275"/>
      <c r="C2522" s="2">
        <f t="shared" si="587"/>
        <v>72</v>
      </c>
      <c r="D2522" s="3">
        <f t="shared" si="588"/>
        <v>25</v>
      </c>
      <c r="E2522" s="66">
        <v>2</v>
      </c>
      <c r="F2522" s="67" t="s">
        <v>732</v>
      </c>
      <c r="G2522" s="68" t="s">
        <v>733</v>
      </c>
      <c r="H2522" s="69" t="s">
        <v>1415</v>
      </c>
      <c r="I2522" s="68" t="s">
        <v>726</v>
      </c>
      <c r="J2522" s="70" t="s">
        <v>760</v>
      </c>
      <c r="K2522" s="71" t="s">
        <v>1870</v>
      </c>
      <c r="L2522" s="72">
        <v>40996</v>
      </c>
      <c r="M2522" s="73" t="s">
        <v>729</v>
      </c>
      <c r="N2522" s="74">
        <v>41012</v>
      </c>
      <c r="O2522" s="75">
        <f t="shared" si="586"/>
        <v>41012</v>
      </c>
      <c r="P2522" s="2765" t="s">
        <v>1871</v>
      </c>
      <c r="Q2522" s="2954">
        <v>104.24</v>
      </c>
      <c r="R2522" s="76"/>
      <c r="S2522" s="1945" t="s">
        <v>731</v>
      </c>
      <c r="T2522" s="77"/>
      <c r="U2522" s="1893"/>
      <c r="V2522" s="2079">
        <f t="shared" si="578"/>
        <v>123.00319999999999</v>
      </c>
      <c r="W2522" s="78">
        <f t="shared" si="579"/>
        <v>0</v>
      </c>
      <c r="X2522" s="1878" t="str">
        <f t="shared" si="577"/>
        <v xml:space="preserve">2.- C Lima Caucho 0670810-OT_165506  Reencauche 031-0008539 </v>
      </c>
      <c r="Z2522" s="19" t="str">
        <f t="shared" si="585"/>
        <v>ReencaucheReencauchadora RENOVA</v>
      </c>
    </row>
    <row r="2523" spans="1:26" outlineLevel="1">
      <c r="B2523" s="3275"/>
      <c r="C2523" s="2">
        <f t="shared" si="587"/>
        <v>71</v>
      </c>
      <c r="D2523" s="3">
        <f t="shared" si="588"/>
        <v>24</v>
      </c>
      <c r="E2523" s="66">
        <v>3</v>
      </c>
      <c r="F2523" s="67" t="s">
        <v>732</v>
      </c>
      <c r="G2523" s="68" t="s">
        <v>733</v>
      </c>
      <c r="H2523" s="69" t="s">
        <v>1872</v>
      </c>
      <c r="I2523" s="68" t="s">
        <v>726</v>
      </c>
      <c r="J2523" s="70" t="s">
        <v>760</v>
      </c>
      <c r="K2523" s="71" t="s">
        <v>1870</v>
      </c>
      <c r="L2523" s="72">
        <v>40996</v>
      </c>
      <c r="M2523" s="73" t="s">
        <v>729</v>
      </c>
      <c r="N2523" s="74">
        <v>41012</v>
      </c>
      <c r="O2523" s="75">
        <f t="shared" si="586"/>
        <v>41012</v>
      </c>
      <c r="P2523" s="2765" t="s">
        <v>1871</v>
      </c>
      <c r="Q2523" s="2954">
        <v>104.24</v>
      </c>
      <c r="R2523" s="76"/>
      <c r="S2523" s="1945" t="s">
        <v>731</v>
      </c>
      <c r="T2523" s="77"/>
      <c r="U2523" s="1893"/>
      <c r="V2523" s="2079">
        <f t="shared" si="578"/>
        <v>123.00319999999999</v>
      </c>
      <c r="W2523" s="78">
        <f t="shared" si="579"/>
        <v>0</v>
      </c>
      <c r="X2523" s="1878" t="str">
        <f t="shared" si="577"/>
        <v xml:space="preserve">3.- C Lima Caucho 1161210-OT_165506  Reencauche 031-0008539 </v>
      </c>
      <c r="Z2523" s="19" t="str">
        <f t="shared" si="585"/>
        <v>ReencaucheReencauchadora RENOVA</v>
      </c>
    </row>
    <row r="2524" spans="1:26" outlineLevel="1">
      <c r="B2524" s="3275"/>
      <c r="C2524" s="2">
        <f t="shared" si="587"/>
        <v>70</v>
      </c>
      <c r="D2524" s="3">
        <f t="shared" si="588"/>
        <v>23</v>
      </c>
      <c r="E2524" s="66">
        <v>4</v>
      </c>
      <c r="F2524" s="67" t="s">
        <v>732</v>
      </c>
      <c r="G2524" s="68" t="s">
        <v>737</v>
      </c>
      <c r="H2524" s="69" t="s">
        <v>1873</v>
      </c>
      <c r="I2524" s="68" t="s">
        <v>726</v>
      </c>
      <c r="J2524" s="70" t="s">
        <v>760</v>
      </c>
      <c r="K2524" s="71" t="s">
        <v>1874</v>
      </c>
      <c r="L2524" s="72">
        <v>40996</v>
      </c>
      <c r="M2524" s="73" t="s">
        <v>729</v>
      </c>
      <c r="N2524" s="74">
        <v>41012</v>
      </c>
      <c r="O2524" s="75">
        <f t="shared" si="586"/>
        <v>41012</v>
      </c>
      <c r="P2524" s="2765" t="s">
        <v>1871</v>
      </c>
      <c r="Q2524" s="2954">
        <v>104.24</v>
      </c>
      <c r="R2524" s="76"/>
      <c r="S2524" s="1945" t="s">
        <v>731</v>
      </c>
      <c r="T2524" s="77"/>
      <c r="U2524" s="1893"/>
      <c r="V2524" s="2079">
        <f t="shared" si="578"/>
        <v>123.00319999999999</v>
      </c>
      <c r="W2524" s="78">
        <f t="shared" si="579"/>
        <v>0</v>
      </c>
      <c r="X2524" s="1878" t="str">
        <f t="shared" si="577"/>
        <v xml:space="preserve">4.- C Vikrant 010210-OT_165507  Reencauche 031-0008539 </v>
      </c>
      <c r="Z2524" s="19" t="str">
        <f t="shared" si="585"/>
        <v>ReencaucheReencauchadora RENOVA</v>
      </c>
    </row>
    <row r="2525" spans="1:26" outlineLevel="1">
      <c r="B2525" s="3275"/>
      <c r="C2525" s="2">
        <f t="shared" si="587"/>
        <v>69</v>
      </c>
      <c r="D2525" s="3">
        <f t="shared" si="588"/>
        <v>22</v>
      </c>
      <c r="E2525" s="66">
        <v>5</v>
      </c>
      <c r="F2525" s="67" t="s">
        <v>732</v>
      </c>
      <c r="G2525" s="68" t="s">
        <v>737</v>
      </c>
      <c r="H2525" s="69" t="s">
        <v>1367</v>
      </c>
      <c r="I2525" s="68" t="s">
        <v>726</v>
      </c>
      <c r="J2525" s="70" t="s">
        <v>760</v>
      </c>
      <c r="K2525" s="71" t="s">
        <v>1874</v>
      </c>
      <c r="L2525" s="72">
        <v>40996</v>
      </c>
      <c r="M2525" s="73" t="s">
        <v>729</v>
      </c>
      <c r="N2525" s="74">
        <v>41012</v>
      </c>
      <c r="O2525" s="75">
        <f t="shared" si="586"/>
        <v>41012</v>
      </c>
      <c r="P2525" s="2765" t="s">
        <v>1871</v>
      </c>
      <c r="Q2525" s="2954">
        <v>104.24</v>
      </c>
      <c r="R2525" s="76"/>
      <c r="S2525" s="1945" t="s">
        <v>731</v>
      </c>
      <c r="T2525" s="77"/>
      <c r="U2525" s="1893"/>
      <c r="V2525" s="2079">
        <f t="shared" si="578"/>
        <v>123.00319999999999</v>
      </c>
      <c r="W2525" s="78">
        <f t="shared" si="579"/>
        <v>0</v>
      </c>
      <c r="X2525" s="1878" t="str">
        <f t="shared" si="577"/>
        <v xml:space="preserve">5.- C Vikrant 0480506-OT_165507  Reencauche 031-0008539 </v>
      </c>
      <c r="Z2525" s="19" t="str">
        <f t="shared" si="585"/>
        <v>ReencaucheReencauchadora RENOVA</v>
      </c>
    </row>
    <row r="2526" spans="1:26" outlineLevel="1">
      <c r="B2526" s="3275"/>
      <c r="C2526" s="2">
        <f t="shared" si="587"/>
        <v>68</v>
      </c>
      <c r="D2526" s="3">
        <f t="shared" si="588"/>
        <v>21</v>
      </c>
      <c r="E2526" s="66">
        <v>6</v>
      </c>
      <c r="F2526" s="67" t="s">
        <v>732</v>
      </c>
      <c r="G2526" s="68" t="s">
        <v>737</v>
      </c>
      <c r="H2526" s="69" t="s">
        <v>1066</v>
      </c>
      <c r="I2526" s="68" t="s">
        <v>726</v>
      </c>
      <c r="J2526" s="70" t="s">
        <v>760</v>
      </c>
      <c r="K2526" s="71" t="s">
        <v>1874</v>
      </c>
      <c r="L2526" s="72">
        <v>40996</v>
      </c>
      <c r="M2526" s="73" t="s">
        <v>729</v>
      </c>
      <c r="N2526" s="74">
        <v>41012</v>
      </c>
      <c r="O2526" s="75">
        <f t="shared" si="586"/>
        <v>41012</v>
      </c>
      <c r="P2526" s="2765" t="s">
        <v>1871</v>
      </c>
      <c r="Q2526" s="2954">
        <v>104.24</v>
      </c>
      <c r="R2526" s="76"/>
      <c r="S2526" s="1945" t="s">
        <v>731</v>
      </c>
      <c r="T2526" s="77"/>
      <c r="U2526" s="1893"/>
      <c r="V2526" s="2079">
        <f t="shared" si="578"/>
        <v>123.00319999999999</v>
      </c>
      <c r="W2526" s="78">
        <f t="shared" si="579"/>
        <v>0</v>
      </c>
      <c r="X2526" s="1878" t="str">
        <f t="shared" si="577"/>
        <v xml:space="preserve">6.- C Vikrant 0670809-OT_165507  Reencauche 031-0008539 </v>
      </c>
      <c r="Z2526" s="19" t="str">
        <f t="shared" si="585"/>
        <v>ReencaucheReencauchadora RENOVA</v>
      </c>
    </row>
    <row r="2527" spans="1:26" outlineLevel="1">
      <c r="B2527" s="3275"/>
      <c r="C2527" s="2">
        <f t="shared" si="587"/>
        <v>67</v>
      </c>
      <c r="D2527" s="3">
        <f t="shared" si="588"/>
        <v>20</v>
      </c>
      <c r="E2527" s="66">
        <v>7</v>
      </c>
      <c r="F2527" s="67" t="s">
        <v>732</v>
      </c>
      <c r="G2527" s="68" t="s">
        <v>737</v>
      </c>
      <c r="H2527" s="69" t="s">
        <v>743</v>
      </c>
      <c r="I2527" s="68" t="s">
        <v>726</v>
      </c>
      <c r="J2527" s="70" t="s">
        <v>760</v>
      </c>
      <c r="K2527" s="71" t="s">
        <v>1874</v>
      </c>
      <c r="L2527" s="72">
        <v>40996</v>
      </c>
      <c r="M2527" s="73" t="s">
        <v>729</v>
      </c>
      <c r="N2527" s="74">
        <v>41012</v>
      </c>
      <c r="O2527" s="75">
        <f t="shared" si="586"/>
        <v>41012</v>
      </c>
      <c r="P2527" s="2765" t="s">
        <v>1871</v>
      </c>
      <c r="Q2527" s="2954">
        <v>104.24</v>
      </c>
      <c r="R2527" s="76"/>
      <c r="S2527" s="1945" t="s">
        <v>731</v>
      </c>
      <c r="T2527" s="77"/>
      <c r="U2527" s="1893"/>
      <c r="V2527" s="2079">
        <f t="shared" si="578"/>
        <v>123.00319999999999</v>
      </c>
      <c r="W2527" s="78">
        <f t="shared" si="579"/>
        <v>0</v>
      </c>
      <c r="X2527" s="1878" t="str">
        <f t="shared" si="577"/>
        <v xml:space="preserve">7.- C Vikrant 0811007-OT_165507  Reencauche 031-0008539 </v>
      </c>
      <c r="Z2527" s="19" t="str">
        <f t="shared" si="585"/>
        <v>ReencaucheReencauchadora RENOVA</v>
      </c>
    </row>
    <row r="2528" spans="1:26" outlineLevel="1">
      <c r="B2528" s="3275"/>
      <c r="C2528" s="2">
        <f t="shared" si="587"/>
        <v>66</v>
      </c>
      <c r="D2528" s="3">
        <f t="shared" si="588"/>
        <v>19</v>
      </c>
      <c r="E2528" s="66">
        <v>8</v>
      </c>
      <c r="F2528" s="67" t="s">
        <v>732</v>
      </c>
      <c r="G2528" s="68" t="s">
        <v>737</v>
      </c>
      <c r="H2528" s="69" t="s">
        <v>1330</v>
      </c>
      <c r="I2528" s="68" t="s">
        <v>726</v>
      </c>
      <c r="J2528" s="70" t="s">
        <v>760</v>
      </c>
      <c r="K2528" s="71" t="s">
        <v>1874</v>
      </c>
      <c r="L2528" s="72">
        <v>40996</v>
      </c>
      <c r="M2528" s="73" t="s">
        <v>729</v>
      </c>
      <c r="N2528" s="74">
        <v>41012</v>
      </c>
      <c r="O2528" s="75">
        <f t="shared" si="586"/>
        <v>41012</v>
      </c>
      <c r="P2528" s="2765" t="s">
        <v>1871</v>
      </c>
      <c r="Q2528" s="2954">
        <v>104.24</v>
      </c>
      <c r="R2528" s="76"/>
      <c r="S2528" s="1945" t="s">
        <v>731</v>
      </c>
      <c r="T2528" s="77"/>
      <c r="U2528" s="1893"/>
      <c r="V2528" s="2079">
        <f t="shared" si="578"/>
        <v>123.00319999999999</v>
      </c>
      <c r="W2528" s="78">
        <f t="shared" si="579"/>
        <v>0</v>
      </c>
      <c r="X2528" s="1878" t="str">
        <f t="shared" si="577"/>
        <v xml:space="preserve">8.- C Vikrant 0831007-OT_165507  Reencauche 031-0008539 </v>
      </c>
      <c r="Z2528" s="19" t="str">
        <f t="shared" si="585"/>
        <v>ReencaucheReencauchadora RENOVA</v>
      </c>
    </row>
    <row r="2529" spans="2:26" outlineLevel="1">
      <c r="B2529" s="3275"/>
      <c r="C2529" s="2">
        <f t="shared" si="587"/>
        <v>65</v>
      </c>
      <c r="D2529" s="3">
        <f t="shared" si="588"/>
        <v>18</v>
      </c>
      <c r="E2529" s="66">
        <v>9</v>
      </c>
      <c r="F2529" s="67" t="s">
        <v>732</v>
      </c>
      <c r="G2529" s="68" t="s">
        <v>757</v>
      </c>
      <c r="H2529" s="69" t="s">
        <v>1875</v>
      </c>
      <c r="I2529" s="68" t="s">
        <v>726</v>
      </c>
      <c r="J2529" s="70" t="s">
        <v>760</v>
      </c>
      <c r="K2529" s="71" t="s">
        <v>1876</v>
      </c>
      <c r="L2529" s="72">
        <v>40996</v>
      </c>
      <c r="M2529" s="73" t="s">
        <v>729</v>
      </c>
      <c r="N2529" s="74">
        <v>41012</v>
      </c>
      <c r="O2529" s="75">
        <f t="shared" si="586"/>
        <v>41012</v>
      </c>
      <c r="P2529" s="2765" t="s">
        <v>1877</v>
      </c>
      <c r="Q2529" s="2954">
        <v>104.24</v>
      </c>
      <c r="R2529" s="76"/>
      <c r="S2529" s="1945" t="s">
        <v>731</v>
      </c>
      <c r="T2529" s="77"/>
      <c r="U2529" s="1893"/>
      <c r="V2529" s="2079">
        <f t="shared" si="578"/>
        <v>123.00319999999999</v>
      </c>
      <c r="W2529" s="78">
        <f t="shared" si="579"/>
        <v>0</v>
      </c>
      <c r="X2529" s="1878" t="str">
        <f t="shared" si="577"/>
        <v xml:space="preserve">9.- C Goodyear 038082003-OT_165508  Reencauche 031-0008540 </v>
      </c>
      <c r="Z2529" s="19" t="str">
        <f t="shared" si="585"/>
        <v>ReencaucheReencauchadora RENOVA</v>
      </c>
    </row>
    <row r="2530" spans="2:26" outlineLevel="1">
      <c r="B2530" s="3275"/>
      <c r="C2530" s="2">
        <f t="shared" si="587"/>
        <v>64</v>
      </c>
      <c r="D2530" s="3">
        <f t="shared" si="588"/>
        <v>17</v>
      </c>
      <c r="E2530" s="66">
        <v>10</v>
      </c>
      <c r="F2530" s="67" t="s">
        <v>732</v>
      </c>
      <c r="G2530" s="68" t="s">
        <v>757</v>
      </c>
      <c r="H2530" s="69" t="s">
        <v>1488</v>
      </c>
      <c r="I2530" s="68" t="s">
        <v>726</v>
      </c>
      <c r="J2530" s="70" t="s">
        <v>760</v>
      </c>
      <c r="K2530" s="71" t="s">
        <v>1876</v>
      </c>
      <c r="L2530" s="72">
        <v>40996</v>
      </c>
      <c r="M2530" s="73" t="s">
        <v>729</v>
      </c>
      <c r="N2530" s="74">
        <v>41012</v>
      </c>
      <c r="O2530" s="75">
        <f t="shared" si="586"/>
        <v>41012</v>
      </c>
      <c r="P2530" s="2765" t="s">
        <v>1877</v>
      </c>
      <c r="Q2530" s="2954">
        <v>104.24</v>
      </c>
      <c r="R2530" s="76"/>
      <c r="S2530" s="1945" t="s">
        <v>731</v>
      </c>
      <c r="T2530" s="77"/>
      <c r="U2530" s="1893"/>
      <c r="V2530" s="2079">
        <f t="shared" si="578"/>
        <v>123.00319999999999</v>
      </c>
      <c r="W2530" s="78">
        <f t="shared" si="579"/>
        <v>0</v>
      </c>
      <c r="X2530" s="1878" t="str">
        <f t="shared" ref="X2530:X2593" si="589">CONCATENATE(E2530,".- ",F2530," ",G2530," ",H2530,"-OT_",K2530," "," ",I2530," ",P2530," ",T2530)</f>
        <v xml:space="preserve">10.- C Goodyear 1941204-OT_165508  Reencauche 031-0008540 </v>
      </c>
      <c r="Z2530" s="19" t="str">
        <f t="shared" si="585"/>
        <v>ReencaucheReencauchadora RENOVA</v>
      </c>
    </row>
    <row r="2531" spans="2:26" outlineLevel="1">
      <c r="B2531" s="3275"/>
      <c r="C2531" s="2">
        <f t="shared" si="587"/>
        <v>63</v>
      </c>
      <c r="D2531" s="3">
        <f t="shared" si="588"/>
        <v>16</v>
      </c>
      <c r="E2531" s="66">
        <v>11</v>
      </c>
      <c r="F2531" s="67" t="s">
        <v>732</v>
      </c>
      <c r="G2531" s="68" t="s">
        <v>733</v>
      </c>
      <c r="H2531" s="69" t="s">
        <v>1064</v>
      </c>
      <c r="I2531" s="68" t="s">
        <v>726</v>
      </c>
      <c r="J2531" s="70" t="s">
        <v>760</v>
      </c>
      <c r="K2531" s="71" t="s">
        <v>1870</v>
      </c>
      <c r="L2531" s="72">
        <v>40996</v>
      </c>
      <c r="M2531" s="73" t="s">
        <v>729</v>
      </c>
      <c r="N2531" s="74">
        <v>41012</v>
      </c>
      <c r="O2531" s="75">
        <f t="shared" si="586"/>
        <v>41012</v>
      </c>
      <c r="P2531" s="2765" t="s">
        <v>1877</v>
      </c>
      <c r="Q2531" s="2954">
        <v>104.24</v>
      </c>
      <c r="R2531" s="76"/>
      <c r="S2531" s="1945" t="s">
        <v>731</v>
      </c>
      <c r="T2531" s="77"/>
      <c r="U2531" s="1893"/>
      <c r="V2531" s="2079">
        <f t="shared" ref="V2531:V2594" si="590">+Q2531*(1.18)</f>
        <v>123.00319999999999</v>
      </c>
      <c r="W2531" s="78">
        <f t="shared" ref="W2531:W2594" si="591">+R2531*(1.18)</f>
        <v>0</v>
      </c>
      <c r="X2531" s="1878" t="str">
        <f t="shared" si="589"/>
        <v xml:space="preserve">11.- C Lima Caucho 0920908-OT_165506  Reencauche 031-0008540 </v>
      </c>
      <c r="Z2531" s="19" t="str">
        <f t="shared" si="585"/>
        <v>ReencaucheReencauchadora RENOVA</v>
      </c>
    </row>
    <row r="2532" spans="2:26" outlineLevel="1">
      <c r="B2532" s="3275"/>
      <c r="C2532" s="2">
        <f t="shared" si="587"/>
        <v>62</v>
      </c>
      <c r="D2532" s="3">
        <f t="shared" si="588"/>
        <v>15</v>
      </c>
      <c r="E2532" s="66">
        <v>12</v>
      </c>
      <c r="F2532" s="67" t="s">
        <v>732</v>
      </c>
      <c r="G2532" s="68" t="s">
        <v>733</v>
      </c>
      <c r="H2532" s="69" t="s">
        <v>753</v>
      </c>
      <c r="I2532" s="68" t="s">
        <v>726</v>
      </c>
      <c r="J2532" s="70" t="s">
        <v>760</v>
      </c>
      <c r="K2532" s="71" t="s">
        <v>1870</v>
      </c>
      <c r="L2532" s="72">
        <v>40996</v>
      </c>
      <c r="M2532" s="73" t="s">
        <v>729</v>
      </c>
      <c r="N2532" s="74">
        <v>41012</v>
      </c>
      <c r="O2532" s="75">
        <f t="shared" si="586"/>
        <v>41012</v>
      </c>
      <c r="P2532" s="2765" t="s">
        <v>1877</v>
      </c>
      <c r="Q2532" s="2954">
        <v>104.24</v>
      </c>
      <c r="R2532" s="76"/>
      <c r="S2532" s="1945" t="s">
        <v>731</v>
      </c>
      <c r="T2532" s="77"/>
      <c r="U2532" s="1893"/>
      <c r="V2532" s="2079">
        <f t="shared" si="590"/>
        <v>123.00319999999999</v>
      </c>
      <c r="W2532" s="78">
        <f t="shared" si="591"/>
        <v>0</v>
      </c>
      <c r="X2532" s="1878" t="str">
        <f t="shared" si="589"/>
        <v xml:space="preserve">12.- C Lima Caucho 0950908-OT_165506  Reencauche 031-0008540 </v>
      </c>
      <c r="Z2532" s="19" t="str">
        <f t="shared" si="585"/>
        <v>ReencaucheReencauchadora RENOVA</v>
      </c>
    </row>
    <row r="2533" spans="2:26" outlineLevel="1">
      <c r="B2533" s="3275"/>
      <c r="C2533" s="2">
        <f t="shared" si="587"/>
        <v>61</v>
      </c>
      <c r="D2533" s="3">
        <f t="shared" si="588"/>
        <v>14</v>
      </c>
      <c r="E2533" s="66">
        <v>13</v>
      </c>
      <c r="F2533" s="67" t="s">
        <v>732</v>
      </c>
      <c r="G2533" s="68" t="s">
        <v>737</v>
      </c>
      <c r="H2533" s="69" t="s">
        <v>1583</v>
      </c>
      <c r="I2533" s="68" t="s">
        <v>726</v>
      </c>
      <c r="J2533" s="70" t="s">
        <v>760</v>
      </c>
      <c r="K2533" s="71" t="s">
        <v>1876</v>
      </c>
      <c r="L2533" s="72">
        <v>40996</v>
      </c>
      <c r="M2533" s="73" t="s">
        <v>729</v>
      </c>
      <c r="N2533" s="74">
        <v>41012</v>
      </c>
      <c r="O2533" s="75">
        <f t="shared" si="586"/>
        <v>41012</v>
      </c>
      <c r="P2533" s="2765" t="s">
        <v>1877</v>
      </c>
      <c r="Q2533" s="2954">
        <v>104.24</v>
      </c>
      <c r="R2533" s="76"/>
      <c r="S2533" s="1945" t="s">
        <v>731</v>
      </c>
      <c r="T2533" s="77"/>
      <c r="U2533" s="1893"/>
      <c r="V2533" s="2079">
        <f t="shared" si="590"/>
        <v>123.00319999999999</v>
      </c>
      <c r="W2533" s="78">
        <f t="shared" si="591"/>
        <v>0</v>
      </c>
      <c r="X2533" s="1878" t="str">
        <f t="shared" si="589"/>
        <v xml:space="preserve">13.- C Vikrant 0260410-OT_165508  Reencauche 031-0008540 </v>
      </c>
      <c r="Z2533" s="19" t="str">
        <f t="shared" si="585"/>
        <v>ReencaucheReencauchadora RENOVA</v>
      </c>
    </row>
    <row r="2534" spans="2:26" outlineLevel="1">
      <c r="B2534" s="3275"/>
      <c r="C2534" s="2">
        <f t="shared" si="587"/>
        <v>60</v>
      </c>
      <c r="D2534" s="3">
        <f t="shared" si="588"/>
        <v>13</v>
      </c>
      <c r="E2534" s="66">
        <v>14</v>
      </c>
      <c r="F2534" s="67" t="s">
        <v>732</v>
      </c>
      <c r="G2534" s="68" t="s">
        <v>737</v>
      </c>
      <c r="H2534" s="69" t="s">
        <v>1878</v>
      </c>
      <c r="I2534" s="68" t="s">
        <v>726</v>
      </c>
      <c r="J2534" s="70" t="s">
        <v>760</v>
      </c>
      <c r="K2534" s="71" t="s">
        <v>1874</v>
      </c>
      <c r="L2534" s="72">
        <v>40996</v>
      </c>
      <c r="M2534" s="73" t="s">
        <v>729</v>
      </c>
      <c r="N2534" s="74">
        <v>41012</v>
      </c>
      <c r="O2534" s="75">
        <f t="shared" si="586"/>
        <v>41012</v>
      </c>
      <c r="P2534" s="2765" t="s">
        <v>1877</v>
      </c>
      <c r="Q2534" s="2954">
        <v>104.24</v>
      </c>
      <c r="R2534" s="76"/>
      <c r="S2534" s="1945" t="s">
        <v>731</v>
      </c>
      <c r="T2534" s="77"/>
      <c r="U2534" s="1893"/>
      <c r="V2534" s="2079">
        <f t="shared" si="590"/>
        <v>123.00319999999999</v>
      </c>
      <c r="W2534" s="78">
        <f t="shared" si="591"/>
        <v>0</v>
      </c>
      <c r="X2534" s="1878" t="str">
        <f t="shared" si="589"/>
        <v xml:space="preserve">14.- C Vikrant 0740809-OT_165507  Reencauche 031-0008540 </v>
      </c>
      <c r="Z2534" s="19" t="str">
        <f t="shared" si="585"/>
        <v>ReencaucheReencauchadora RENOVA</v>
      </c>
    </row>
    <row r="2535" spans="2:26" outlineLevel="1">
      <c r="B2535" s="3275"/>
      <c r="C2535" s="2">
        <f t="shared" si="587"/>
        <v>59</v>
      </c>
      <c r="D2535" s="3">
        <f t="shared" si="588"/>
        <v>12</v>
      </c>
      <c r="E2535" s="66">
        <v>15</v>
      </c>
      <c r="F2535" s="67" t="s">
        <v>732</v>
      </c>
      <c r="G2535" s="68" t="s">
        <v>737</v>
      </c>
      <c r="H2535" s="69" t="s">
        <v>960</v>
      </c>
      <c r="I2535" s="68" t="s">
        <v>726</v>
      </c>
      <c r="J2535" s="70" t="s">
        <v>760</v>
      </c>
      <c r="K2535" s="71" t="s">
        <v>1874</v>
      </c>
      <c r="L2535" s="72">
        <v>40996</v>
      </c>
      <c r="M2535" s="73" t="s">
        <v>729</v>
      </c>
      <c r="N2535" s="74">
        <v>41012</v>
      </c>
      <c r="O2535" s="75">
        <f t="shared" si="586"/>
        <v>41012</v>
      </c>
      <c r="P2535" s="2765" t="s">
        <v>1877</v>
      </c>
      <c r="Q2535" s="2954">
        <v>104.24</v>
      </c>
      <c r="R2535" s="76"/>
      <c r="S2535" s="1945" t="s">
        <v>731</v>
      </c>
      <c r="T2535" s="77"/>
      <c r="U2535" s="1893"/>
      <c r="V2535" s="2079">
        <f t="shared" si="590"/>
        <v>123.00319999999999</v>
      </c>
      <c r="W2535" s="78">
        <f t="shared" si="591"/>
        <v>0</v>
      </c>
      <c r="X2535" s="1878" t="str">
        <f t="shared" si="589"/>
        <v xml:space="preserve">15.- C Vikrant 0800505-OT_165507  Reencauche 031-0008540 </v>
      </c>
      <c r="Z2535" s="19" t="str">
        <f t="shared" si="585"/>
        <v>ReencaucheReencauchadora RENOVA</v>
      </c>
    </row>
    <row r="2536" spans="2:26" outlineLevel="1">
      <c r="B2536" s="3275"/>
      <c r="C2536" s="2">
        <f t="shared" si="587"/>
        <v>58</v>
      </c>
      <c r="D2536" s="3">
        <f t="shared" si="588"/>
        <v>11</v>
      </c>
      <c r="E2536" s="66">
        <v>16</v>
      </c>
      <c r="F2536" s="67" t="s">
        <v>732</v>
      </c>
      <c r="G2536" s="68" t="s">
        <v>737</v>
      </c>
      <c r="H2536" s="69" t="s">
        <v>1879</v>
      </c>
      <c r="I2536" s="68" t="s">
        <v>726</v>
      </c>
      <c r="J2536" s="70" t="s">
        <v>760</v>
      </c>
      <c r="K2536" s="71" t="s">
        <v>1876</v>
      </c>
      <c r="L2536" s="72">
        <v>40996</v>
      </c>
      <c r="M2536" s="73" t="s">
        <v>729</v>
      </c>
      <c r="N2536" s="74">
        <v>41012</v>
      </c>
      <c r="O2536" s="75">
        <f t="shared" si="586"/>
        <v>41012</v>
      </c>
      <c r="P2536" s="2765" t="s">
        <v>1877</v>
      </c>
      <c r="Q2536" s="2954">
        <v>104.24</v>
      </c>
      <c r="R2536" s="76"/>
      <c r="S2536" s="1945" t="s">
        <v>731</v>
      </c>
      <c r="T2536" s="77"/>
      <c r="U2536" s="1893"/>
      <c r="V2536" s="2079">
        <f t="shared" si="590"/>
        <v>123.00319999999999</v>
      </c>
      <c r="W2536" s="78">
        <f t="shared" si="591"/>
        <v>0</v>
      </c>
      <c r="X2536" s="1878" t="str">
        <f t="shared" si="589"/>
        <v xml:space="preserve">16.- C Vikrant 1641205-OT_165508  Reencauche 031-0008540 </v>
      </c>
      <c r="Z2536" s="19" t="str">
        <f t="shared" si="585"/>
        <v>ReencaucheReencauchadora RENOVA</v>
      </c>
    </row>
    <row r="2537" spans="2:26" outlineLevel="1">
      <c r="B2537" s="3275"/>
      <c r="C2537" s="2">
        <f t="shared" si="587"/>
        <v>57</v>
      </c>
      <c r="D2537" s="3">
        <f t="shared" si="588"/>
        <v>10</v>
      </c>
      <c r="E2537" s="354">
        <v>17</v>
      </c>
      <c r="F2537" s="367" t="s">
        <v>732</v>
      </c>
      <c r="G2537" s="90" t="s">
        <v>733</v>
      </c>
      <c r="H2537" s="91" t="s">
        <v>1880</v>
      </c>
      <c r="I2537" s="90" t="s">
        <v>726</v>
      </c>
      <c r="J2537" s="92" t="s">
        <v>760</v>
      </c>
      <c r="K2537" s="243" t="s">
        <v>1881</v>
      </c>
      <c r="L2537" s="244">
        <v>40966</v>
      </c>
      <c r="M2537" s="73" t="s">
        <v>729</v>
      </c>
      <c r="N2537" s="74">
        <v>41012</v>
      </c>
      <c r="O2537" s="75">
        <f t="shared" si="586"/>
        <v>41012</v>
      </c>
      <c r="P2537" s="2765" t="s">
        <v>1882</v>
      </c>
      <c r="Q2537" s="2954">
        <v>104.24</v>
      </c>
      <c r="R2537" s="248"/>
      <c r="S2537" s="1958" t="s">
        <v>731</v>
      </c>
      <c r="T2537" s="77"/>
      <c r="U2537" s="1893"/>
      <c r="V2537" s="2079">
        <f t="shared" si="590"/>
        <v>123.00319999999999</v>
      </c>
      <c r="W2537" s="78">
        <f t="shared" si="591"/>
        <v>0</v>
      </c>
      <c r="X2537" s="1878" t="str">
        <f t="shared" si="589"/>
        <v xml:space="preserve">17.- C Lima Caucho 0620907-OT_163918  Reencauche 031-0008541 </v>
      </c>
      <c r="Z2537" s="19" t="str">
        <f t="shared" si="585"/>
        <v>ReencaucheReencauchadora RENOVA</v>
      </c>
    </row>
    <row r="2538" spans="2:26" outlineLevel="1">
      <c r="B2538" s="3275"/>
      <c r="C2538" s="2">
        <f t="shared" si="587"/>
        <v>56</v>
      </c>
      <c r="D2538" s="3">
        <f t="shared" si="588"/>
        <v>9</v>
      </c>
      <c r="E2538" s="66">
        <v>18</v>
      </c>
      <c r="F2538" s="67" t="s">
        <v>732</v>
      </c>
      <c r="G2538" s="68" t="s">
        <v>737</v>
      </c>
      <c r="H2538" s="69" t="s">
        <v>1327</v>
      </c>
      <c r="I2538" s="68" t="s">
        <v>726</v>
      </c>
      <c r="J2538" s="70" t="s">
        <v>760</v>
      </c>
      <c r="K2538" s="71" t="s">
        <v>1874</v>
      </c>
      <c r="L2538" s="72">
        <v>40996</v>
      </c>
      <c r="M2538" s="73" t="s">
        <v>729</v>
      </c>
      <c r="N2538" s="74">
        <v>41012</v>
      </c>
      <c r="O2538" s="75">
        <f t="shared" si="586"/>
        <v>41012</v>
      </c>
      <c r="P2538" s="2765" t="s">
        <v>1882</v>
      </c>
      <c r="Q2538" s="2954">
        <v>104.24</v>
      </c>
      <c r="R2538" s="76"/>
      <c r="S2538" s="1945" t="s">
        <v>731</v>
      </c>
      <c r="T2538" s="77"/>
      <c r="U2538" s="1893"/>
      <c r="V2538" s="2079">
        <f t="shared" si="590"/>
        <v>123.00319999999999</v>
      </c>
      <c r="W2538" s="78">
        <f t="shared" si="591"/>
        <v>0</v>
      </c>
      <c r="X2538" s="1878" t="str">
        <f t="shared" si="589"/>
        <v xml:space="preserve">18.- C Vikrant 0030109-OT_165507  Reencauche 031-0008541 </v>
      </c>
      <c r="Z2538" s="19" t="str">
        <f t="shared" si="585"/>
        <v>ReencaucheReencauchadora RENOVA</v>
      </c>
    </row>
    <row r="2539" spans="2:26" outlineLevel="1">
      <c r="B2539" s="3275"/>
      <c r="C2539" s="2">
        <f t="shared" si="587"/>
        <v>55</v>
      </c>
      <c r="D2539" s="3">
        <f t="shared" si="588"/>
        <v>8</v>
      </c>
      <c r="E2539" s="66">
        <v>19</v>
      </c>
      <c r="F2539" s="67" t="s">
        <v>732</v>
      </c>
      <c r="G2539" s="68" t="s">
        <v>757</v>
      </c>
      <c r="H2539" s="69" t="s">
        <v>1883</v>
      </c>
      <c r="I2539" s="68" t="s">
        <v>726</v>
      </c>
      <c r="J2539" s="70" t="s">
        <v>760</v>
      </c>
      <c r="K2539" s="71" t="s">
        <v>1876</v>
      </c>
      <c r="L2539" s="72">
        <v>40996</v>
      </c>
      <c r="M2539" s="73" t="s">
        <v>729</v>
      </c>
      <c r="N2539" s="74">
        <v>41012</v>
      </c>
      <c r="O2539" s="75">
        <f t="shared" si="586"/>
        <v>41012</v>
      </c>
      <c r="P2539" s="2765" t="s">
        <v>1884</v>
      </c>
      <c r="Q2539" s="2954">
        <v>104.24</v>
      </c>
      <c r="R2539" s="76"/>
      <c r="S2539" s="1945" t="s">
        <v>731</v>
      </c>
      <c r="T2539" s="355"/>
      <c r="U2539" s="1926"/>
      <c r="V2539" s="2079">
        <f t="shared" si="590"/>
        <v>123.00319999999999</v>
      </c>
      <c r="W2539" s="78">
        <f t="shared" si="591"/>
        <v>0</v>
      </c>
      <c r="X2539" s="1878" t="str">
        <f t="shared" si="589"/>
        <v xml:space="preserve">19.- C Goodyear 0440901-OT_165508  Reencauche 031-0008542 </v>
      </c>
      <c r="Z2539" s="19" t="str">
        <f t="shared" si="585"/>
        <v>ReencaucheReencauchadora RENOVA</v>
      </c>
    </row>
    <row r="2540" spans="2:26" outlineLevel="1">
      <c r="B2540" s="3275"/>
      <c r="C2540" s="2">
        <f t="shared" si="587"/>
        <v>54</v>
      </c>
      <c r="D2540" s="3">
        <f t="shared" si="588"/>
        <v>7</v>
      </c>
      <c r="E2540" s="66">
        <v>20</v>
      </c>
      <c r="F2540" s="67" t="s">
        <v>732</v>
      </c>
      <c r="G2540" s="68" t="s">
        <v>733</v>
      </c>
      <c r="H2540" s="69" t="s">
        <v>1370</v>
      </c>
      <c r="I2540" s="68" t="s">
        <v>726</v>
      </c>
      <c r="J2540" s="70" t="s">
        <v>760</v>
      </c>
      <c r="K2540" s="71" t="s">
        <v>1870</v>
      </c>
      <c r="L2540" s="72">
        <v>40996</v>
      </c>
      <c r="M2540" s="73" t="s">
        <v>729</v>
      </c>
      <c r="N2540" s="74">
        <v>41012</v>
      </c>
      <c r="O2540" s="75">
        <f t="shared" si="586"/>
        <v>41012</v>
      </c>
      <c r="P2540" s="2765" t="s">
        <v>1884</v>
      </c>
      <c r="Q2540" s="2954">
        <v>104.24</v>
      </c>
      <c r="R2540" s="76"/>
      <c r="S2540" s="1945" t="s">
        <v>731</v>
      </c>
      <c r="T2540" s="77"/>
      <c r="U2540" s="1893"/>
      <c r="V2540" s="2079">
        <f t="shared" si="590"/>
        <v>123.00319999999999</v>
      </c>
      <c r="W2540" s="78">
        <f t="shared" si="591"/>
        <v>0</v>
      </c>
      <c r="X2540" s="1878" t="str">
        <f t="shared" si="589"/>
        <v xml:space="preserve">20.- C Lima Caucho 0180108-OT_165506  Reencauche 031-0008542 </v>
      </c>
      <c r="Z2540" s="19" t="str">
        <f t="shared" si="585"/>
        <v>ReencaucheReencauchadora RENOVA</v>
      </c>
    </row>
    <row r="2541" spans="2:26" outlineLevel="1">
      <c r="B2541" s="3275"/>
      <c r="C2541" s="2">
        <f t="shared" si="587"/>
        <v>53</v>
      </c>
      <c r="D2541" s="3">
        <f t="shared" si="588"/>
        <v>6</v>
      </c>
      <c r="E2541" s="66">
        <v>21</v>
      </c>
      <c r="F2541" s="67" t="s">
        <v>732</v>
      </c>
      <c r="G2541" s="68" t="s">
        <v>733</v>
      </c>
      <c r="H2541" s="69" t="s">
        <v>1885</v>
      </c>
      <c r="I2541" s="68" t="s">
        <v>726</v>
      </c>
      <c r="J2541" s="70" t="s">
        <v>760</v>
      </c>
      <c r="K2541" s="71" t="s">
        <v>1870</v>
      </c>
      <c r="L2541" s="72">
        <v>40996</v>
      </c>
      <c r="M2541" s="73" t="s">
        <v>729</v>
      </c>
      <c r="N2541" s="74">
        <v>41012</v>
      </c>
      <c r="O2541" s="75">
        <f t="shared" si="586"/>
        <v>41012</v>
      </c>
      <c r="P2541" s="2765" t="s">
        <v>1884</v>
      </c>
      <c r="Q2541" s="2954">
        <v>104.24</v>
      </c>
      <c r="R2541" s="76"/>
      <c r="S2541" s="1945" t="s">
        <v>731</v>
      </c>
      <c r="T2541" s="355"/>
      <c r="U2541" s="1926"/>
      <c r="V2541" s="2079">
        <f t="shared" si="590"/>
        <v>123.00319999999999</v>
      </c>
      <c r="W2541" s="78">
        <f t="shared" si="591"/>
        <v>0</v>
      </c>
      <c r="X2541" s="1878" t="str">
        <f t="shared" si="589"/>
        <v xml:space="preserve">21.- C Lima Caucho 0320507-OT_165506  Reencauche 031-0008542 </v>
      </c>
      <c r="Z2541" s="19" t="str">
        <f t="shared" si="585"/>
        <v>ReencaucheReencauchadora RENOVA</v>
      </c>
    </row>
    <row r="2542" spans="2:26" outlineLevel="1">
      <c r="B2542" s="3275"/>
      <c r="C2542" s="2">
        <f t="shared" si="587"/>
        <v>52</v>
      </c>
      <c r="D2542" s="3">
        <f t="shared" si="588"/>
        <v>5</v>
      </c>
      <c r="E2542" s="66">
        <v>22</v>
      </c>
      <c r="F2542" s="67" t="s">
        <v>732</v>
      </c>
      <c r="G2542" s="68" t="s">
        <v>733</v>
      </c>
      <c r="H2542" s="69" t="s">
        <v>1285</v>
      </c>
      <c r="I2542" s="68" t="s">
        <v>726</v>
      </c>
      <c r="J2542" s="70" t="s">
        <v>760</v>
      </c>
      <c r="K2542" s="71" t="s">
        <v>1870</v>
      </c>
      <c r="L2542" s="72">
        <v>40996</v>
      </c>
      <c r="M2542" s="73" t="s">
        <v>729</v>
      </c>
      <c r="N2542" s="74">
        <v>41012</v>
      </c>
      <c r="O2542" s="75">
        <f t="shared" si="586"/>
        <v>41012</v>
      </c>
      <c r="P2542" s="2765" t="s">
        <v>1884</v>
      </c>
      <c r="Q2542" s="2954">
        <v>104.24</v>
      </c>
      <c r="R2542" s="76"/>
      <c r="S2542" s="1945" t="s">
        <v>731</v>
      </c>
      <c r="T2542" s="77"/>
      <c r="U2542" s="1893"/>
      <c r="V2542" s="2079">
        <f t="shared" si="590"/>
        <v>123.00319999999999</v>
      </c>
      <c r="W2542" s="78">
        <f t="shared" si="591"/>
        <v>0</v>
      </c>
      <c r="X2542" s="1878" t="str">
        <f t="shared" si="589"/>
        <v xml:space="preserve">22.- C Lima Caucho 0540807-OT_165506  Reencauche 031-0008542 </v>
      </c>
      <c r="Z2542" s="19" t="str">
        <f t="shared" si="585"/>
        <v>ReencaucheReencauchadora RENOVA</v>
      </c>
    </row>
    <row r="2543" spans="2:26" outlineLevel="1">
      <c r="B2543" s="3275"/>
      <c r="C2543" s="2">
        <f t="shared" si="587"/>
        <v>51</v>
      </c>
      <c r="D2543" s="3">
        <f t="shared" si="588"/>
        <v>4</v>
      </c>
      <c r="E2543" s="66">
        <v>23</v>
      </c>
      <c r="F2543" s="67" t="s">
        <v>732</v>
      </c>
      <c r="G2543" s="68" t="s">
        <v>733</v>
      </c>
      <c r="H2543" s="69" t="s">
        <v>1059</v>
      </c>
      <c r="I2543" s="68" t="s">
        <v>726</v>
      </c>
      <c r="J2543" s="70" t="s">
        <v>760</v>
      </c>
      <c r="K2543" s="71" t="s">
        <v>1870</v>
      </c>
      <c r="L2543" s="72">
        <v>40996</v>
      </c>
      <c r="M2543" s="73" t="s">
        <v>729</v>
      </c>
      <c r="N2543" s="74">
        <v>41012</v>
      </c>
      <c r="O2543" s="75">
        <f t="shared" si="586"/>
        <v>41012</v>
      </c>
      <c r="P2543" s="2765" t="s">
        <v>1884</v>
      </c>
      <c r="Q2543" s="2954">
        <v>104.24</v>
      </c>
      <c r="R2543" s="76"/>
      <c r="S2543" s="1945" t="s">
        <v>731</v>
      </c>
      <c r="T2543" s="77"/>
      <c r="U2543" s="1893"/>
      <c r="V2543" s="2079">
        <f t="shared" si="590"/>
        <v>123.00319999999999</v>
      </c>
      <c r="W2543" s="78">
        <f t="shared" si="591"/>
        <v>0</v>
      </c>
      <c r="X2543" s="1878" t="str">
        <f t="shared" si="589"/>
        <v xml:space="preserve">23.- C Lima Caucho 0750910-OT_165506  Reencauche 031-0008542 </v>
      </c>
      <c r="Z2543" s="19" t="str">
        <f t="shared" si="585"/>
        <v>ReencaucheReencauchadora RENOVA</v>
      </c>
    </row>
    <row r="2544" spans="2:26">
      <c r="B2544" s="3275"/>
      <c r="C2544" s="2">
        <f t="shared" si="587"/>
        <v>50</v>
      </c>
      <c r="D2544" s="3">
        <f t="shared" si="588"/>
        <v>3</v>
      </c>
      <c r="E2544" s="66">
        <v>24</v>
      </c>
      <c r="F2544" s="67" t="s">
        <v>732</v>
      </c>
      <c r="G2544" s="68" t="s">
        <v>733</v>
      </c>
      <c r="H2544" s="69" t="s">
        <v>1886</v>
      </c>
      <c r="I2544" s="68" t="s">
        <v>726</v>
      </c>
      <c r="J2544" s="70" t="s">
        <v>760</v>
      </c>
      <c r="K2544" s="71" t="s">
        <v>1870</v>
      </c>
      <c r="L2544" s="72">
        <v>40996</v>
      </c>
      <c r="M2544" s="73" t="s">
        <v>729</v>
      </c>
      <c r="N2544" s="74">
        <v>41012</v>
      </c>
      <c r="O2544" s="75">
        <f t="shared" si="586"/>
        <v>41012</v>
      </c>
      <c r="P2544" s="2765" t="s">
        <v>1884</v>
      </c>
      <c r="Q2544" s="2954">
        <v>104.24</v>
      </c>
      <c r="R2544" s="76"/>
      <c r="S2544" s="1945" t="s">
        <v>731</v>
      </c>
      <c r="T2544" s="77"/>
      <c r="U2544" s="1893"/>
      <c r="V2544" s="2079">
        <f t="shared" si="590"/>
        <v>123.00319999999999</v>
      </c>
      <c r="W2544" s="78">
        <f t="shared" si="591"/>
        <v>0</v>
      </c>
      <c r="X2544" s="1878" t="str">
        <f t="shared" si="589"/>
        <v xml:space="preserve">24.- C Lima Caucho 1501207-OT_165506  Reencauche 031-0008542 </v>
      </c>
    </row>
    <row r="2545" spans="2:26" ht="14.25" customHeight="1" outlineLevel="1">
      <c r="B2545" s="3275"/>
      <c r="C2545" s="2">
        <f t="shared" si="587"/>
        <v>49</v>
      </c>
      <c r="D2545" s="3">
        <f t="shared" si="588"/>
        <v>2</v>
      </c>
      <c r="E2545" s="66">
        <v>25</v>
      </c>
      <c r="F2545" s="67" t="s">
        <v>732</v>
      </c>
      <c r="G2545" s="68" t="s">
        <v>737</v>
      </c>
      <c r="H2545" s="69" t="s">
        <v>928</v>
      </c>
      <c r="I2545" s="68" t="s">
        <v>726</v>
      </c>
      <c r="J2545" s="70" t="s">
        <v>760</v>
      </c>
      <c r="K2545" s="71" t="s">
        <v>1874</v>
      </c>
      <c r="L2545" s="72">
        <v>40996</v>
      </c>
      <c r="M2545" s="73" t="s">
        <v>729</v>
      </c>
      <c r="N2545" s="74">
        <v>41012</v>
      </c>
      <c r="O2545" s="75">
        <f t="shared" si="586"/>
        <v>41012</v>
      </c>
      <c r="P2545" s="2765" t="s">
        <v>1884</v>
      </c>
      <c r="Q2545" s="2954">
        <v>104.24</v>
      </c>
      <c r="R2545" s="76"/>
      <c r="S2545" s="1945" t="s">
        <v>731</v>
      </c>
      <c r="T2545" s="77"/>
      <c r="U2545" s="1893"/>
      <c r="V2545" s="2079">
        <f t="shared" si="590"/>
        <v>123.00319999999999</v>
      </c>
      <c r="W2545" s="78">
        <f t="shared" si="591"/>
        <v>0</v>
      </c>
      <c r="X2545" s="1878" t="str">
        <f t="shared" si="589"/>
        <v xml:space="preserve">25.- C Vikrant 0750906-OT_165507  Reencauche 031-0008542 </v>
      </c>
      <c r="Z2545" s="19" t="str">
        <f t="shared" ref="Z2545:Z2573" si="592">CONCATENATE(I2548,J2548)</f>
        <v>ReencaucheReencauchadora RENOVA</v>
      </c>
    </row>
    <row r="2546" spans="2:26" ht="15.75" outlineLevel="1" thickBot="1">
      <c r="B2546" s="3276"/>
      <c r="C2546" s="2">
        <f>1+C2548</f>
        <v>48</v>
      </c>
      <c r="D2546" s="3">
        <v>1</v>
      </c>
      <c r="E2546" s="307">
        <v>26</v>
      </c>
      <c r="F2546" s="328" t="s">
        <v>732</v>
      </c>
      <c r="G2546" s="329" t="s">
        <v>737</v>
      </c>
      <c r="H2546" s="330" t="s">
        <v>842</v>
      </c>
      <c r="I2546" s="329" t="s">
        <v>726</v>
      </c>
      <c r="J2546" s="356" t="s">
        <v>760</v>
      </c>
      <c r="K2546" s="333" t="s">
        <v>1874</v>
      </c>
      <c r="L2546" s="334">
        <v>40996</v>
      </c>
      <c r="M2546" s="357" t="s">
        <v>729</v>
      </c>
      <c r="N2546" s="336">
        <v>41012</v>
      </c>
      <c r="O2546" s="337">
        <f t="shared" si="586"/>
        <v>41012</v>
      </c>
      <c r="P2546" s="2801" t="s">
        <v>1884</v>
      </c>
      <c r="Q2546" s="2980">
        <v>104.24</v>
      </c>
      <c r="R2546" s="338"/>
      <c r="S2546" s="1965" t="s">
        <v>731</v>
      </c>
      <c r="T2546" s="355"/>
      <c r="U2546" s="1926"/>
      <c r="V2546" s="2079">
        <f t="shared" si="590"/>
        <v>123.00319999999999</v>
      </c>
      <c r="W2546" s="78">
        <f t="shared" si="591"/>
        <v>0</v>
      </c>
      <c r="X2546" s="1878" t="str">
        <f t="shared" si="589"/>
        <v xml:space="preserve">26.- C Vikrant 0841007-OT_165507  Reencauche 031-0008542 </v>
      </c>
      <c r="Z2546" s="19" t="str">
        <f t="shared" si="592"/>
        <v>ReencaucheReencauchadora RENOVA</v>
      </c>
    </row>
    <row r="2547" spans="2:26" ht="15.75" outlineLevel="1" thickBot="1">
      <c r="B2547" s="3310">
        <f>+B2548</f>
        <v>40969</v>
      </c>
      <c r="C2547" s="3310"/>
      <c r="D2547" s="258">
        <f>+D2548</f>
        <v>23</v>
      </c>
      <c r="E2547" s="358"/>
      <c r="F2547" s="2051"/>
      <c r="G2547" s="90"/>
      <c r="H2547" s="91"/>
      <c r="I2547" s="90"/>
      <c r="J2547" s="92"/>
      <c r="K2547" s="243"/>
      <c r="L2547" s="244"/>
      <c r="M2547" s="73"/>
      <c r="N2547" s="74"/>
      <c r="O2547" s="75"/>
      <c r="P2547" s="2765"/>
      <c r="Q2547" s="2954"/>
      <c r="R2547" s="248"/>
      <c r="S2547" s="1958"/>
      <c r="T2547" s="355"/>
      <c r="U2547" s="1926"/>
      <c r="V2547" s="2079">
        <f t="shared" si="590"/>
        <v>0</v>
      </c>
      <c r="W2547" s="78">
        <f t="shared" si="591"/>
        <v>0</v>
      </c>
      <c r="X2547" s="1878" t="str">
        <f t="shared" si="589"/>
        <v xml:space="preserve">.-   -OT_    </v>
      </c>
      <c r="Z2547" s="19" t="str">
        <f t="shared" si="592"/>
        <v>ReencaucheReencauchadora RENOVA</v>
      </c>
    </row>
    <row r="2548" spans="2:26" outlineLevel="1">
      <c r="B2548" s="3274">
        <v>40969</v>
      </c>
      <c r="C2548" s="2">
        <f t="shared" ref="C2548:C2569" si="593">1+C2549</f>
        <v>47</v>
      </c>
      <c r="D2548" s="359">
        <f t="shared" ref="D2548:D2569" si="594">1+D2549</f>
        <v>23</v>
      </c>
      <c r="E2548" s="66">
        <v>1</v>
      </c>
      <c r="F2548" s="67" t="s">
        <v>732</v>
      </c>
      <c r="G2548" s="68" t="s">
        <v>769</v>
      </c>
      <c r="H2548" s="69" t="s">
        <v>1643</v>
      </c>
      <c r="I2548" s="68" t="s">
        <v>726</v>
      </c>
      <c r="J2548" s="70" t="s">
        <v>760</v>
      </c>
      <c r="K2548" s="71" t="s">
        <v>1887</v>
      </c>
      <c r="L2548" s="72">
        <v>40966</v>
      </c>
      <c r="M2548" s="73" t="s">
        <v>729</v>
      </c>
      <c r="N2548" s="74">
        <v>40980</v>
      </c>
      <c r="O2548" s="75">
        <f t="shared" ref="O2548:O2576" si="595">+N2548</f>
        <v>40980</v>
      </c>
      <c r="P2548" s="2765" t="s">
        <v>1888</v>
      </c>
      <c r="Q2548" s="2954">
        <v>104.24</v>
      </c>
      <c r="R2548" s="76"/>
      <c r="S2548" s="1945" t="s">
        <v>731</v>
      </c>
      <c r="T2548" s="77"/>
      <c r="U2548" s="1893"/>
      <c r="V2548" s="2079">
        <f t="shared" si="590"/>
        <v>123.00319999999999</v>
      </c>
      <c r="W2548" s="78">
        <f t="shared" si="591"/>
        <v>0</v>
      </c>
      <c r="X2548" s="1878" t="str">
        <f t="shared" si="589"/>
        <v xml:space="preserve">1.- C Lu He 0240209-OT_163919  Reencauche 030-0016043 </v>
      </c>
      <c r="Z2548" s="19" t="str">
        <f t="shared" si="592"/>
        <v>ReencaucheReencauchadora RENOVA</v>
      </c>
    </row>
    <row r="2549" spans="2:26" outlineLevel="1">
      <c r="B2549" s="3275"/>
      <c r="C2549" s="2">
        <f t="shared" si="593"/>
        <v>46</v>
      </c>
      <c r="D2549" s="3">
        <f t="shared" si="594"/>
        <v>22</v>
      </c>
      <c r="E2549" s="66">
        <v>2</v>
      </c>
      <c r="F2549" s="67" t="s">
        <v>732</v>
      </c>
      <c r="G2549" s="68" t="s">
        <v>769</v>
      </c>
      <c r="H2549" s="69" t="s">
        <v>1145</v>
      </c>
      <c r="I2549" s="68" t="s">
        <v>726</v>
      </c>
      <c r="J2549" s="70" t="s">
        <v>760</v>
      </c>
      <c r="K2549" s="71" t="s">
        <v>1887</v>
      </c>
      <c r="L2549" s="72">
        <v>40966</v>
      </c>
      <c r="M2549" s="73" t="s">
        <v>729</v>
      </c>
      <c r="N2549" s="74">
        <v>40980</v>
      </c>
      <c r="O2549" s="75">
        <f t="shared" si="595"/>
        <v>40980</v>
      </c>
      <c r="P2549" s="2765" t="s">
        <v>1889</v>
      </c>
      <c r="Q2549" s="2954">
        <v>104.24</v>
      </c>
      <c r="R2549" s="76"/>
      <c r="S2549" s="1945" t="s">
        <v>731</v>
      </c>
      <c r="T2549" s="77"/>
      <c r="U2549" s="1893"/>
      <c r="V2549" s="2079">
        <f t="shared" si="590"/>
        <v>123.00319999999999</v>
      </c>
      <c r="W2549" s="78">
        <f t="shared" si="591"/>
        <v>0</v>
      </c>
      <c r="X2549" s="1878" t="str">
        <f t="shared" si="589"/>
        <v xml:space="preserve">2.- C Lu He 0410509-OT_163919  Reencauche 030-0016041 </v>
      </c>
      <c r="Z2549" s="19" t="str">
        <f t="shared" si="592"/>
        <v>ReencaucheReencauchadora RENOVA</v>
      </c>
    </row>
    <row r="2550" spans="2:26" outlineLevel="1">
      <c r="B2550" s="3275"/>
      <c r="C2550" s="2">
        <f t="shared" si="593"/>
        <v>45</v>
      </c>
      <c r="D2550" s="3">
        <f t="shared" si="594"/>
        <v>21</v>
      </c>
      <c r="E2550" s="66">
        <v>3</v>
      </c>
      <c r="F2550" s="67" t="s">
        <v>732</v>
      </c>
      <c r="G2550" s="68" t="s">
        <v>769</v>
      </c>
      <c r="H2550" s="69" t="s">
        <v>1890</v>
      </c>
      <c r="I2550" s="68" t="s">
        <v>726</v>
      </c>
      <c r="J2550" s="70" t="s">
        <v>760</v>
      </c>
      <c r="K2550" s="71" t="s">
        <v>1887</v>
      </c>
      <c r="L2550" s="72">
        <v>40966</v>
      </c>
      <c r="M2550" s="73" t="s">
        <v>729</v>
      </c>
      <c r="N2550" s="74">
        <v>40980</v>
      </c>
      <c r="O2550" s="75">
        <f t="shared" si="595"/>
        <v>40980</v>
      </c>
      <c r="P2550" s="2765" t="s">
        <v>1891</v>
      </c>
      <c r="Q2550" s="2954">
        <v>104.24</v>
      </c>
      <c r="R2550" s="76"/>
      <c r="S2550" s="1945" t="s">
        <v>731</v>
      </c>
      <c r="T2550" s="77"/>
      <c r="U2550" s="1893"/>
      <c r="V2550" s="2079">
        <f t="shared" si="590"/>
        <v>123.00319999999999</v>
      </c>
      <c r="W2550" s="78">
        <f t="shared" si="591"/>
        <v>0</v>
      </c>
      <c r="X2550" s="1878" t="str">
        <f t="shared" si="589"/>
        <v xml:space="preserve">3.- C Lu He 0190209-OT_163919  Reencauche 030-0016042 </v>
      </c>
      <c r="Z2550" s="19" t="str">
        <f t="shared" si="592"/>
        <v>ReencaucheReencauchadora RENOVA</v>
      </c>
    </row>
    <row r="2551" spans="2:26" outlineLevel="1">
      <c r="B2551" s="3275"/>
      <c r="C2551" s="2">
        <f t="shared" si="593"/>
        <v>44</v>
      </c>
      <c r="D2551" s="3">
        <f t="shared" si="594"/>
        <v>20</v>
      </c>
      <c r="E2551" s="66">
        <v>4</v>
      </c>
      <c r="F2551" s="67" t="s">
        <v>732</v>
      </c>
      <c r="G2551" s="68" t="s">
        <v>737</v>
      </c>
      <c r="H2551" s="69" t="s">
        <v>1902</v>
      </c>
      <c r="I2551" s="68" t="s">
        <v>726</v>
      </c>
      <c r="J2551" s="70" t="s">
        <v>760</v>
      </c>
      <c r="K2551" s="71" t="s">
        <v>1887</v>
      </c>
      <c r="L2551" s="72">
        <v>40966</v>
      </c>
      <c r="M2551" s="73" t="s">
        <v>729</v>
      </c>
      <c r="N2551" s="74">
        <v>40980</v>
      </c>
      <c r="O2551" s="75">
        <f t="shared" si="595"/>
        <v>40980</v>
      </c>
      <c r="P2551" s="2765" t="s">
        <v>1889</v>
      </c>
      <c r="Q2551" s="2954">
        <v>104.24</v>
      </c>
      <c r="R2551" s="76"/>
      <c r="S2551" s="1945" t="s">
        <v>731</v>
      </c>
      <c r="T2551" s="77"/>
      <c r="U2551" s="1893"/>
      <c r="V2551" s="2079">
        <f t="shared" si="590"/>
        <v>123.00319999999999</v>
      </c>
      <c r="W2551" s="78">
        <f t="shared" si="591"/>
        <v>0</v>
      </c>
      <c r="X2551" s="1878" t="str">
        <f t="shared" si="589"/>
        <v xml:space="preserve">4.- C Vikrant 1551105-OT_163919  Reencauche 030-0016041 </v>
      </c>
      <c r="Z2551" s="19" t="str">
        <f t="shared" si="592"/>
        <v>ReencaucheReencauchadora RENOVA</v>
      </c>
    </row>
    <row r="2552" spans="2:26" outlineLevel="1">
      <c r="B2552" s="3275"/>
      <c r="C2552" s="2">
        <f t="shared" si="593"/>
        <v>43</v>
      </c>
      <c r="D2552" s="3">
        <f t="shared" si="594"/>
        <v>19</v>
      </c>
      <c r="E2552" s="66">
        <v>5</v>
      </c>
      <c r="F2552" s="67" t="s">
        <v>732</v>
      </c>
      <c r="G2552" s="68" t="s">
        <v>737</v>
      </c>
      <c r="H2552" s="69" t="s">
        <v>1702</v>
      </c>
      <c r="I2552" s="68" t="s">
        <v>726</v>
      </c>
      <c r="J2552" s="70" t="s">
        <v>760</v>
      </c>
      <c r="K2552" s="71" t="s">
        <v>1887</v>
      </c>
      <c r="L2552" s="72">
        <v>40966</v>
      </c>
      <c r="M2552" s="73" t="s">
        <v>729</v>
      </c>
      <c r="N2552" s="74">
        <v>40980</v>
      </c>
      <c r="O2552" s="75">
        <f t="shared" si="595"/>
        <v>40980</v>
      </c>
      <c r="P2552" s="2765" t="s">
        <v>1891</v>
      </c>
      <c r="Q2552" s="2954">
        <v>104.24</v>
      </c>
      <c r="R2552" s="76"/>
      <c r="S2552" s="1945" t="s">
        <v>731</v>
      </c>
      <c r="T2552" s="77"/>
      <c r="U2552" s="1893"/>
      <c r="V2552" s="2079">
        <f t="shared" si="590"/>
        <v>123.00319999999999</v>
      </c>
      <c r="W2552" s="78">
        <f t="shared" si="591"/>
        <v>0</v>
      </c>
      <c r="X2552" s="1878" t="str">
        <f t="shared" si="589"/>
        <v xml:space="preserve">5.- C Vikrant 1461105-OT_163919  Reencauche 030-0016042 </v>
      </c>
      <c r="Z2552" s="19" t="str">
        <f t="shared" si="592"/>
        <v>ReencaucheReencauchadora RENOVA</v>
      </c>
    </row>
    <row r="2553" spans="2:26" outlineLevel="1">
      <c r="B2553" s="3275"/>
      <c r="C2553" s="2">
        <f t="shared" si="593"/>
        <v>42</v>
      </c>
      <c r="D2553" s="3">
        <f t="shared" si="594"/>
        <v>18</v>
      </c>
      <c r="E2553" s="66">
        <v>6</v>
      </c>
      <c r="F2553" s="67" t="s">
        <v>732</v>
      </c>
      <c r="G2553" s="68" t="s">
        <v>737</v>
      </c>
      <c r="H2553" s="69" t="s">
        <v>1657</v>
      </c>
      <c r="I2553" s="68" t="s">
        <v>726</v>
      </c>
      <c r="J2553" s="70" t="s">
        <v>760</v>
      </c>
      <c r="K2553" s="71" t="s">
        <v>1887</v>
      </c>
      <c r="L2553" s="72">
        <v>40966</v>
      </c>
      <c r="M2553" s="73" t="s">
        <v>729</v>
      </c>
      <c r="N2553" s="74">
        <v>40980</v>
      </c>
      <c r="O2553" s="75">
        <f t="shared" si="595"/>
        <v>40980</v>
      </c>
      <c r="P2553" s="2765" t="s">
        <v>1891</v>
      </c>
      <c r="Q2553" s="2954">
        <v>104.24</v>
      </c>
      <c r="R2553" s="76"/>
      <c r="S2553" s="1945" t="s">
        <v>731</v>
      </c>
      <c r="T2553" s="77"/>
      <c r="U2553" s="1893"/>
      <c r="V2553" s="2079">
        <f t="shared" si="590"/>
        <v>123.00319999999999</v>
      </c>
      <c r="W2553" s="78">
        <f t="shared" si="591"/>
        <v>0</v>
      </c>
      <c r="X2553" s="1878" t="str">
        <f t="shared" si="589"/>
        <v xml:space="preserve">6.- C Vikrant 0500709-OT_163919  Reencauche 030-0016042 </v>
      </c>
      <c r="Z2553" s="19" t="str">
        <f t="shared" si="592"/>
        <v>ReencaucheReencauchadora RENOVA</v>
      </c>
    </row>
    <row r="2554" spans="2:26" outlineLevel="1">
      <c r="B2554" s="3275"/>
      <c r="C2554" s="2">
        <f t="shared" si="593"/>
        <v>41</v>
      </c>
      <c r="D2554" s="3">
        <f t="shared" si="594"/>
        <v>17</v>
      </c>
      <c r="E2554" s="66">
        <v>7</v>
      </c>
      <c r="F2554" s="67" t="s">
        <v>732</v>
      </c>
      <c r="G2554" s="68" t="s">
        <v>737</v>
      </c>
      <c r="H2554" s="69" t="s">
        <v>1903</v>
      </c>
      <c r="I2554" s="68" t="s">
        <v>726</v>
      </c>
      <c r="J2554" s="70" t="s">
        <v>760</v>
      </c>
      <c r="K2554" s="71" t="s">
        <v>1887</v>
      </c>
      <c r="L2554" s="72">
        <v>40966</v>
      </c>
      <c r="M2554" s="73" t="s">
        <v>729</v>
      </c>
      <c r="N2554" s="74">
        <v>40980</v>
      </c>
      <c r="O2554" s="75">
        <f t="shared" si="595"/>
        <v>40980</v>
      </c>
      <c r="P2554" s="2765" t="s">
        <v>1889</v>
      </c>
      <c r="Q2554" s="2954">
        <v>104.24</v>
      </c>
      <c r="R2554" s="76"/>
      <c r="S2554" s="1945" t="s">
        <v>731</v>
      </c>
      <c r="T2554" s="77"/>
      <c r="U2554" s="1893"/>
      <c r="V2554" s="2079">
        <f t="shared" si="590"/>
        <v>123.00319999999999</v>
      </c>
      <c r="W2554" s="78">
        <f t="shared" si="591"/>
        <v>0</v>
      </c>
      <c r="X2554" s="1878" t="str">
        <f t="shared" si="589"/>
        <v xml:space="preserve">7.- C Vikrant 0761009-OT_163919  Reencauche 030-0016041 </v>
      </c>
      <c r="Z2554" s="19" t="str">
        <f t="shared" si="592"/>
        <v>ReencaucheReencauchadora RENOVA</v>
      </c>
    </row>
    <row r="2555" spans="2:26" outlineLevel="1">
      <c r="B2555" s="3275"/>
      <c r="C2555" s="2">
        <f t="shared" si="593"/>
        <v>40</v>
      </c>
      <c r="D2555" s="3">
        <f t="shared" si="594"/>
        <v>16</v>
      </c>
      <c r="E2555" s="66">
        <v>8</v>
      </c>
      <c r="F2555" s="67" t="s">
        <v>732</v>
      </c>
      <c r="G2555" s="68" t="s">
        <v>737</v>
      </c>
      <c r="H2555" s="69" t="s">
        <v>1904</v>
      </c>
      <c r="I2555" s="68" t="s">
        <v>726</v>
      </c>
      <c r="J2555" s="70" t="s">
        <v>760</v>
      </c>
      <c r="K2555" s="71" t="s">
        <v>1887</v>
      </c>
      <c r="L2555" s="72">
        <v>40966</v>
      </c>
      <c r="M2555" s="73" t="s">
        <v>729</v>
      </c>
      <c r="N2555" s="74">
        <v>40980</v>
      </c>
      <c r="O2555" s="75">
        <f t="shared" si="595"/>
        <v>40980</v>
      </c>
      <c r="P2555" s="2765" t="s">
        <v>1891</v>
      </c>
      <c r="Q2555" s="2954">
        <v>104.24</v>
      </c>
      <c r="R2555" s="76"/>
      <c r="S2555" s="1945" t="s">
        <v>731</v>
      </c>
      <c r="T2555" s="77"/>
      <c r="U2555" s="1893"/>
      <c r="V2555" s="2079">
        <f t="shared" si="590"/>
        <v>123.00319999999999</v>
      </c>
      <c r="W2555" s="78">
        <f t="shared" si="591"/>
        <v>0</v>
      </c>
      <c r="X2555" s="1878" t="str">
        <f t="shared" si="589"/>
        <v xml:space="preserve">8.- C Vikrant 0230310-OT_163919  Reencauche 030-0016042 </v>
      </c>
      <c r="Z2555" s="19" t="str">
        <f t="shared" si="592"/>
        <v>ReencaucheReencauchadora RENOVA</v>
      </c>
    </row>
    <row r="2556" spans="2:26" outlineLevel="1">
      <c r="B2556" s="3275"/>
      <c r="C2556" s="2">
        <f t="shared" si="593"/>
        <v>39</v>
      </c>
      <c r="D2556" s="3">
        <f t="shared" si="594"/>
        <v>15</v>
      </c>
      <c r="E2556" s="66">
        <v>9</v>
      </c>
      <c r="F2556" s="67" t="s">
        <v>732</v>
      </c>
      <c r="G2556" s="68" t="s">
        <v>831</v>
      </c>
      <c r="H2556" s="69" t="s">
        <v>1905</v>
      </c>
      <c r="I2556" s="68" t="s">
        <v>726</v>
      </c>
      <c r="J2556" s="70" t="s">
        <v>760</v>
      </c>
      <c r="K2556" s="71" t="s">
        <v>1881</v>
      </c>
      <c r="L2556" s="72">
        <v>40966</v>
      </c>
      <c r="M2556" s="73" t="s">
        <v>729</v>
      </c>
      <c r="N2556" s="74">
        <v>40980</v>
      </c>
      <c r="O2556" s="75">
        <f t="shared" si="595"/>
        <v>40980</v>
      </c>
      <c r="P2556" s="2765" t="s">
        <v>1891</v>
      </c>
      <c r="Q2556" s="2954">
        <v>104.24</v>
      </c>
      <c r="R2556" s="76"/>
      <c r="S2556" s="1945" t="s">
        <v>731</v>
      </c>
      <c r="T2556" s="77"/>
      <c r="U2556" s="1893"/>
      <c r="V2556" s="2079">
        <f t="shared" si="590"/>
        <v>123.00319999999999</v>
      </c>
      <c r="W2556" s="78">
        <f t="shared" si="591"/>
        <v>0</v>
      </c>
      <c r="X2556" s="1878" t="str">
        <f t="shared" si="589"/>
        <v xml:space="preserve">9.- C Kumho 0240305-OT_163918  Reencauche 030-0016042 </v>
      </c>
      <c r="Z2556" s="19" t="str">
        <f t="shared" si="592"/>
        <v>ReencaucheReencauchadora RENOVA</v>
      </c>
    </row>
    <row r="2557" spans="2:26" outlineLevel="1">
      <c r="B2557" s="3275"/>
      <c r="C2557" s="2">
        <f t="shared" si="593"/>
        <v>38</v>
      </c>
      <c r="D2557" s="3">
        <f t="shared" si="594"/>
        <v>14</v>
      </c>
      <c r="E2557" s="66">
        <v>10</v>
      </c>
      <c r="F2557" s="67" t="s">
        <v>732</v>
      </c>
      <c r="G2557" s="68" t="s">
        <v>757</v>
      </c>
      <c r="H2557" s="69" t="s">
        <v>1397</v>
      </c>
      <c r="I2557" s="68" t="s">
        <v>726</v>
      </c>
      <c r="J2557" s="70" t="s">
        <v>760</v>
      </c>
      <c r="K2557" s="71" t="s">
        <v>1881</v>
      </c>
      <c r="L2557" s="72">
        <v>40966</v>
      </c>
      <c r="M2557" s="73" t="s">
        <v>729</v>
      </c>
      <c r="N2557" s="74">
        <v>40980</v>
      </c>
      <c r="O2557" s="75">
        <f t="shared" si="595"/>
        <v>40980</v>
      </c>
      <c r="P2557" s="2765" t="s">
        <v>1889</v>
      </c>
      <c r="Q2557" s="2954">
        <v>104.24</v>
      </c>
      <c r="R2557" s="76"/>
      <c r="S2557" s="1945" t="s">
        <v>731</v>
      </c>
      <c r="T2557" s="77"/>
      <c r="U2557" s="1893"/>
      <c r="V2557" s="2079">
        <f t="shared" si="590"/>
        <v>123.00319999999999</v>
      </c>
      <c r="W2557" s="78">
        <f t="shared" si="591"/>
        <v>0</v>
      </c>
      <c r="X2557" s="1878" t="str">
        <f t="shared" si="589"/>
        <v xml:space="preserve">10.- C Goodyear 044092003-OT_163918  Reencauche 030-0016041 </v>
      </c>
      <c r="Z2557" s="19" t="str">
        <f t="shared" si="592"/>
        <v>ReencaucheReencauchadora RENOVA</v>
      </c>
    </row>
    <row r="2558" spans="2:26" outlineLevel="1">
      <c r="B2558" s="3275"/>
      <c r="C2558" s="2">
        <f t="shared" si="593"/>
        <v>37</v>
      </c>
      <c r="D2558" s="3">
        <f t="shared" si="594"/>
        <v>13</v>
      </c>
      <c r="E2558" s="66">
        <v>11</v>
      </c>
      <c r="F2558" s="67" t="s">
        <v>732</v>
      </c>
      <c r="G2558" s="68" t="s">
        <v>757</v>
      </c>
      <c r="H2558" s="69" t="s">
        <v>1758</v>
      </c>
      <c r="I2558" s="68" t="s">
        <v>726</v>
      </c>
      <c r="J2558" s="70" t="s">
        <v>760</v>
      </c>
      <c r="K2558" s="71" t="s">
        <v>1881</v>
      </c>
      <c r="L2558" s="72">
        <v>40966</v>
      </c>
      <c r="M2558" s="73" t="s">
        <v>729</v>
      </c>
      <c r="N2558" s="74">
        <v>40980</v>
      </c>
      <c r="O2558" s="75">
        <f t="shared" si="595"/>
        <v>40980</v>
      </c>
      <c r="P2558" s="2765" t="s">
        <v>1891</v>
      </c>
      <c r="Q2558" s="2954">
        <v>104.24</v>
      </c>
      <c r="R2558" s="76"/>
      <c r="S2558" s="1945" t="s">
        <v>731</v>
      </c>
      <c r="T2558" s="77"/>
      <c r="U2558" s="1893"/>
      <c r="V2558" s="2079">
        <f t="shared" si="590"/>
        <v>123.00319999999999</v>
      </c>
      <c r="W2558" s="78">
        <f t="shared" si="591"/>
        <v>0</v>
      </c>
      <c r="X2558" s="1878" t="str">
        <f t="shared" si="589"/>
        <v xml:space="preserve">11.- C Goodyear 019072003-OT_163918  Reencauche 030-0016042 </v>
      </c>
      <c r="Z2558" s="19" t="str">
        <f t="shared" si="592"/>
        <v>ReencaucheReencauchadora RENOVA</v>
      </c>
    </row>
    <row r="2559" spans="2:26" outlineLevel="1">
      <c r="B2559" s="3275"/>
      <c r="C2559" s="2">
        <f t="shared" si="593"/>
        <v>36</v>
      </c>
      <c r="D2559" s="3">
        <f t="shared" si="594"/>
        <v>12</v>
      </c>
      <c r="E2559" s="66">
        <v>12</v>
      </c>
      <c r="F2559" s="67" t="s">
        <v>732</v>
      </c>
      <c r="G2559" s="68" t="s">
        <v>757</v>
      </c>
      <c r="H2559" s="69" t="s">
        <v>1906</v>
      </c>
      <c r="I2559" s="68" t="s">
        <v>726</v>
      </c>
      <c r="J2559" s="70" t="s">
        <v>760</v>
      </c>
      <c r="K2559" s="71" t="s">
        <v>1881</v>
      </c>
      <c r="L2559" s="72">
        <v>40966</v>
      </c>
      <c r="M2559" s="73" t="s">
        <v>729</v>
      </c>
      <c r="N2559" s="74">
        <v>40980</v>
      </c>
      <c r="O2559" s="75">
        <f t="shared" si="595"/>
        <v>40980</v>
      </c>
      <c r="P2559" s="2765" t="s">
        <v>1891</v>
      </c>
      <c r="Q2559" s="2954">
        <v>104.24</v>
      </c>
      <c r="R2559" s="76"/>
      <c r="S2559" s="1945" t="s">
        <v>731</v>
      </c>
      <c r="T2559" s="77"/>
      <c r="U2559" s="1893"/>
      <c r="V2559" s="2079">
        <f t="shared" si="590"/>
        <v>123.00319999999999</v>
      </c>
      <c r="W2559" s="78">
        <f t="shared" si="591"/>
        <v>0</v>
      </c>
      <c r="X2559" s="1878" t="str">
        <f t="shared" si="589"/>
        <v xml:space="preserve">12.- C Goodyear 6082003-OT_163918  Reencauche 030-0016042 </v>
      </c>
      <c r="Z2559" s="19" t="str">
        <f t="shared" si="592"/>
        <v>ReencaucheReencauchadora RENOVA</v>
      </c>
    </row>
    <row r="2560" spans="2:26" outlineLevel="1">
      <c r="B2560" s="3275"/>
      <c r="C2560" s="2">
        <f t="shared" si="593"/>
        <v>35</v>
      </c>
      <c r="D2560" s="3">
        <f t="shared" si="594"/>
        <v>11</v>
      </c>
      <c r="E2560" s="66">
        <v>13</v>
      </c>
      <c r="F2560" s="67" t="s">
        <v>732</v>
      </c>
      <c r="G2560" s="68" t="s">
        <v>757</v>
      </c>
      <c r="H2560" s="69" t="s">
        <v>1907</v>
      </c>
      <c r="I2560" s="68" t="s">
        <v>726</v>
      </c>
      <c r="J2560" s="70" t="s">
        <v>760</v>
      </c>
      <c r="K2560" s="71" t="s">
        <v>1881</v>
      </c>
      <c r="L2560" s="72">
        <v>40966</v>
      </c>
      <c r="M2560" s="73" t="s">
        <v>729</v>
      </c>
      <c r="N2560" s="74">
        <v>40980</v>
      </c>
      <c r="O2560" s="75">
        <f t="shared" si="595"/>
        <v>40980</v>
      </c>
      <c r="P2560" s="2765" t="s">
        <v>1889</v>
      </c>
      <c r="Q2560" s="2954">
        <v>104.24</v>
      </c>
      <c r="R2560" s="76"/>
      <c r="S2560" s="1945" t="s">
        <v>731</v>
      </c>
      <c r="T2560" s="77"/>
      <c r="U2560" s="1893"/>
      <c r="V2560" s="2079">
        <f t="shared" si="590"/>
        <v>123.00319999999999</v>
      </c>
      <c r="W2560" s="78">
        <f t="shared" si="591"/>
        <v>0</v>
      </c>
      <c r="X2560" s="1878" t="str">
        <f t="shared" si="589"/>
        <v xml:space="preserve">13.- C Goodyear 049032004-OT_163918  Reencauche 030-0016041 </v>
      </c>
      <c r="Z2560" s="19" t="str">
        <f t="shared" si="592"/>
        <v>ReencaucheReencauchadora RENOVA</v>
      </c>
    </row>
    <row r="2561" spans="2:26" outlineLevel="1">
      <c r="B2561" s="3275"/>
      <c r="C2561" s="2">
        <f t="shared" si="593"/>
        <v>34</v>
      </c>
      <c r="D2561" s="3">
        <f t="shared" si="594"/>
        <v>10</v>
      </c>
      <c r="E2561" s="66">
        <v>14</v>
      </c>
      <c r="F2561" s="67" t="s">
        <v>732</v>
      </c>
      <c r="G2561" s="68" t="s">
        <v>757</v>
      </c>
      <c r="H2561" s="69" t="s">
        <v>1375</v>
      </c>
      <c r="I2561" s="68" t="s">
        <v>726</v>
      </c>
      <c r="J2561" s="70" t="s">
        <v>760</v>
      </c>
      <c r="K2561" s="71" t="s">
        <v>1881</v>
      </c>
      <c r="L2561" s="72">
        <v>40966</v>
      </c>
      <c r="M2561" s="73" t="s">
        <v>729</v>
      </c>
      <c r="N2561" s="74">
        <v>40980</v>
      </c>
      <c r="O2561" s="75">
        <f t="shared" si="595"/>
        <v>40980</v>
      </c>
      <c r="P2561" s="2765" t="s">
        <v>1889</v>
      </c>
      <c r="Q2561" s="2954">
        <v>104.24</v>
      </c>
      <c r="R2561" s="76"/>
      <c r="S2561" s="1945" t="s">
        <v>731</v>
      </c>
      <c r="T2561" s="77"/>
      <c r="U2561" s="1893"/>
      <c r="V2561" s="2079">
        <f t="shared" si="590"/>
        <v>123.00319999999999</v>
      </c>
      <c r="W2561" s="78">
        <f t="shared" si="591"/>
        <v>0</v>
      </c>
      <c r="X2561" s="1878" t="str">
        <f t="shared" si="589"/>
        <v xml:space="preserve">14.- C Goodyear 0620404-OT_163918  Reencauche 030-0016041 </v>
      </c>
      <c r="Z2561" s="19" t="str">
        <f t="shared" si="592"/>
        <v>ReencaucheReencauchadora RENOVA</v>
      </c>
    </row>
    <row r="2562" spans="2:26" outlineLevel="1">
      <c r="B2562" s="3275"/>
      <c r="C2562" s="2">
        <f t="shared" si="593"/>
        <v>33</v>
      </c>
      <c r="D2562" s="3">
        <f t="shared" si="594"/>
        <v>9</v>
      </c>
      <c r="E2562" s="66">
        <v>15</v>
      </c>
      <c r="F2562" s="67" t="s">
        <v>732</v>
      </c>
      <c r="G2562" s="68" t="s">
        <v>733</v>
      </c>
      <c r="H2562" s="69" t="s">
        <v>804</v>
      </c>
      <c r="I2562" s="68" t="s">
        <v>726</v>
      </c>
      <c r="J2562" s="70" t="s">
        <v>760</v>
      </c>
      <c r="K2562" s="71" t="s">
        <v>1881</v>
      </c>
      <c r="L2562" s="72">
        <v>40966</v>
      </c>
      <c r="M2562" s="73" t="s">
        <v>729</v>
      </c>
      <c r="N2562" s="74">
        <v>40980</v>
      </c>
      <c r="O2562" s="75">
        <f t="shared" si="595"/>
        <v>40980</v>
      </c>
      <c r="P2562" s="2765" t="s">
        <v>1889</v>
      </c>
      <c r="Q2562" s="2954">
        <v>104.24</v>
      </c>
      <c r="R2562" s="76"/>
      <c r="S2562" s="1945" t="s">
        <v>731</v>
      </c>
      <c r="T2562" s="77"/>
      <c r="U2562" s="1893"/>
      <c r="V2562" s="2079">
        <f t="shared" si="590"/>
        <v>123.00319999999999</v>
      </c>
      <c r="W2562" s="78">
        <f t="shared" si="591"/>
        <v>0</v>
      </c>
      <c r="X2562" s="1878" t="str">
        <f t="shared" si="589"/>
        <v xml:space="preserve">15.- C Lima Caucho 1141107-OT_163918  Reencauche 030-0016041 </v>
      </c>
      <c r="Z2562" s="19" t="str">
        <f t="shared" si="592"/>
        <v>ReencaucheReencauchadora Espinoza</v>
      </c>
    </row>
    <row r="2563" spans="2:26" outlineLevel="1">
      <c r="B2563" s="3275"/>
      <c r="C2563" s="2">
        <f t="shared" si="593"/>
        <v>32</v>
      </c>
      <c r="D2563" s="3">
        <f t="shared" si="594"/>
        <v>8</v>
      </c>
      <c r="E2563" s="66">
        <v>17</v>
      </c>
      <c r="F2563" s="67" t="s">
        <v>732</v>
      </c>
      <c r="G2563" s="68" t="s">
        <v>733</v>
      </c>
      <c r="H2563" s="69" t="s">
        <v>1714</v>
      </c>
      <c r="I2563" s="68" t="s">
        <v>726</v>
      </c>
      <c r="J2563" s="70" t="s">
        <v>760</v>
      </c>
      <c r="K2563" s="71" t="s">
        <v>1881</v>
      </c>
      <c r="L2563" s="72">
        <v>40966</v>
      </c>
      <c r="M2563" s="73" t="s">
        <v>729</v>
      </c>
      <c r="N2563" s="74">
        <v>40980</v>
      </c>
      <c r="O2563" s="75">
        <f t="shared" si="595"/>
        <v>40980</v>
      </c>
      <c r="P2563" s="2765" t="s">
        <v>1889</v>
      </c>
      <c r="Q2563" s="2954">
        <v>104.24</v>
      </c>
      <c r="R2563" s="76"/>
      <c r="S2563" s="1945" t="s">
        <v>731</v>
      </c>
      <c r="T2563" s="77"/>
      <c r="U2563" s="1893"/>
      <c r="V2563" s="2079">
        <f t="shared" si="590"/>
        <v>123.00319999999999</v>
      </c>
      <c r="W2563" s="78">
        <f t="shared" si="591"/>
        <v>0</v>
      </c>
      <c r="X2563" s="1878" t="str">
        <f t="shared" si="589"/>
        <v xml:space="preserve">17.- C Lima Caucho 0800908-OT_163918  Reencauche 030-0016041 </v>
      </c>
      <c r="Z2563" s="19" t="str">
        <f t="shared" si="592"/>
        <v>Transpl BandaReencauchadora Espinoza</v>
      </c>
    </row>
    <row r="2564" spans="2:26" outlineLevel="1">
      <c r="B2564" s="3275"/>
      <c r="C2564" s="2">
        <f t="shared" si="593"/>
        <v>31</v>
      </c>
      <c r="D2564" s="3">
        <f t="shared" si="594"/>
        <v>7</v>
      </c>
      <c r="E2564" s="79">
        <v>18</v>
      </c>
      <c r="F2564" s="80" t="s">
        <v>732</v>
      </c>
      <c r="G2564" s="81" t="s">
        <v>733</v>
      </c>
      <c r="H2564" s="82" t="s">
        <v>1709</v>
      </c>
      <c r="I2564" s="81" t="s">
        <v>726</v>
      </c>
      <c r="J2564" s="83" t="s">
        <v>760</v>
      </c>
      <c r="K2564" s="84" t="s">
        <v>1881</v>
      </c>
      <c r="L2564" s="85">
        <v>40966</v>
      </c>
      <c r="M2564" s="86" t="s">
        <v>729</v>
      </c>
      <c r="N2564" s="87">
        <v>40980</v>
      </c>
      <c r="O2564" s="88">
        <f t="shared" si="595"/>
        <v>40980</v>
      </c>
      <c r="P2564" s="2784" t="s">
        <v>1891</v>
      </c>
      <c r="Q2564" s="2955">
        <v>104.24</v>
      </c>
      <c r="R2564" s="89"/>
      <c r="S2564" s="1946" t="s">
        <v>731</v>
      </c>
      <c r="T2564" s="355"/>
      <c r="U2564" s="1926"/>
      <c r="V2564" s="2079">
        <f t="shared" si="590"/>
        <v>123.00319999999999</v>
      </c>
      <c r="W2564" s="78">
        <f t="shared" si="591"/>
        <v>0</v>
      </c>
      <c r="X2564" s="1878" t="str">
        <f t="shared" si="589"/>
        <v xml:space="preserve">18.- C Lima Caucho 0760910-OT_163918  Reencauche 030-0016042 </v>
      </c>
      <c r="Z2564" s="19" t="str">
        <f t="shared" si="592"/>
        <v>Transpl BandaReencauchadora Espinoza</v>
      </c>
    </row>
    <row r="2565" spans="2:26" outlineLevel="1">
      <c r="B2565" s="3275"/>
      <c r="C2565" s="2">
        <f t="shared" si="593"/>
        <v>30</v>
      </c>
      <c r="D2565" s="3">
        <f t="shared" si="594"/>
        <v>6</v>
      </c>
      <c r="E2565" s="66">
        <v>1</v>
      </c>
      <c r="F2565" s="67" t="s">
        <v>732</v>
      </c>
      <c r="G2565" s="68" t="s">
        <v>737</v>
      </c>
      <c r="H2565" s="69" t="s">
        <v>1422</v>
      </c>
      <c r="I2565" s="68" t="s">
        <v>726</v>
      </c>
      <c r="J2565" s="70" t="s">
        <v>1543</v>
      </c>
      <c r="K2565" s="71" t="s">
        <v>1908</v>
      </c>
      <c r="L2565" s="72">
        <v>40956</v>
      </c>
      <c r="M2565" s="73" t="s">
        <v>729</v>
      </c>
      <c r="N2565" s="74">
        <v>40974</v>
      </c>
      <c r="O2565" s="75">
        <f t="shared" si="595"/>
        <v>40974</v>
      </c>
      <c r="P2565" s="2765" t="s">
        <v>1909</v>
      </c>
      <c r="Q2565" s="2954"/>
      <c r="R2565" s="76">
        <v>254.23728</v>
      </c>
      <c r="S2565" s="1945" t="s">
        <v>731</v>
      </c>
      <c r="T2565" s="77"/>
      <c r="U2565" s="1893"/>
      <c r="V2565" s="2079">
        <f t="shared" si="590"/>
        <v>0</v>
      </c>
      <c r="W2565" s="78">
        <f t="shared" si="591"/>
        <v>299.9999904</v>
      </c>
      <c r="X2565" s="1878" t="str">
        <f t="shared" si="589"/>
        <v xml:space="preserve">1.- C Vikrant 0240310-OT_000123  Reencauche 001-002139 </v>
      </c>
      <c r="Z2565" s="19" t="str">
        <f t="shared" si="592"/>
        <v>Transpl BandaReencauchadora Espinoza</v>
      </c>
    </row>
    <row r="2566" spans="2:26" outlineLevel="1">
      <c r="B2566" s="3275"/>
      <c r="C2566" s="2">
        <f t="shared" si="593"/>
        <v>29</v>
      </c>
      <c r="D2566" s="3">
        <f t="shared" si="594"/>
        <v>5</v>
      </c>
      <c r="E2566" s="66">
        <v>2</v>
      </c>
      <c r="F2566" s="67" t="s">
        <v>732</v>
      </c>
      <c r="G2566" s="90" t="s">
        <v>757</v>
      </c>
      <c r="H2566" s="91" t="s">
        <v>1750</v>
      </c>
      <c r="I2566" s="257" t="s">
        <v>740</v>
      </c>
      <c r="J2566" s="92" t="s">
        <v>1543</v>
      </c>
      <c r="K2566" s="243" t="s">
        <v>1910</v>
      </c>
      <c r="L2566" s="244">
        <v>40956</v>
      </c>
      <c r="M2566" s="245" t="s">
        <v>729</v>
      </c>
      <c r="N2566" s="74">
        <v>40974</v>
      </c>
      <c r="O2566" s="75">
        <f t="shared" si="595"/>
        <v>40974</v>
      </c>
      <c r="P2566" s="2799" t="s">
        <v>1909</v>
      </c>
      <c r="Q2566" s="2954"/>
      <c r="R2566" s="248">
        <v>127.1186</v>
      </c>
      <c r="S2566" s="1958" t="s">
        <v>731</v>
      </c>
      <c r="T2566" s="355"/>
      <c r="U2566" s="1926"/>
      <c r="V2566" s="2079">
        <f t="shared" si="590"/>
        <v>0</v>
      </c>
      <c r="W2566" s="78">
        <f t="shared" si="591"/>
        <v>149.99994799999999</v>
      </c>
      <c r="X2566" s="1878" t="str">
        <f t="shared" si="589"/>
        <v xml:space="preserve">2.- C Goodyear 0611201-OT_000124  Transpl Banda 001-002139 </v>
      </c>
      <c r="Z2566" s="19" t="str">
        <f t="shared" si="592"/>
        <v>Transpl BandaReencauchadora Espinoza</v>
      </c>
    </row>
    <row r="2567" spans="2:26" outlineLevel="1">
      <c r="B2567" s="3275"/>
      <c r="C2567" s="2">
        <f t="shared" si="593"/>
        <v>28</v>
      </c>
      <c r="D2567" s="3">
        <f t="shared" si="594"/>
        <v>4</v>
      </c>
      <c r="E2567" s="66">
        <v>3</v>
      </c>
      <c r="F2567" s="67" t="s">
        <v>732</v>
      </c>
      <c r="G2567" s="90" t="s">
        <v>757</v>
      </c>
      <c r="H2567" s="91" t="s">
        <v>852</v>
      </c>
      <c r="I2567" s="257" t="s">
        <v>740</v>
      </c>
      <c r="J2567" s="92" t="s">
        <v>1543</v>
      </c>
      <c r="K2567" s="243" t="s">
        <v>1910</v>
      </c>
      <c r="L2567" s="244">
        <v>40956</v>
      </c>
      <c r="M2567" s="245" t="s">
        <v>729</v>
      </c>
      <c r="N2567" s="74">
        <v>40974</v>
      </c>
      <c r="O2567" s="75">
        <f t="shared" si="595"/>
        <v>40974</v>
      </c>
      <c r="P2567" s="2799" t="s">
        <v>1909</v>
      </c>
      <c r="Q2567" s="2954"/>
      <c r="R2567" s="248">
        <v>127.1186</v>
      </c>
      <c r="S2567" s="1958" t="s">
        <v>731</v>
      </c>
      <c r="T2567" s="77"/>
      <c r="U2567" s="1893"/>
      <c r="V2567" s="2079">
        <f t="shared" si="590"/>
        <v>0</v>
      </c>
      <c r="W2567" s="78">
        <f t="shared" si="591"/>
        <v>149.99994799999999</v>
      </c>
      <c r="X2567" s="1878" t="str">
        <f t="shared" si="589"/>
        <v xml:space="preserve">3.- C Goodyear 1890920-OT_000124  Transpl Banda 001-002139 </v>
      </c>
      <c r="Z2567" s="19" t="str">
        <f t="shared" si="592"/>
        <v>Transpl BandaReencauchadora Espinoza</v>
      </c>
    </row>
    <row r="2568" spans="2:26" outlineLevel="1">
      <c r="B2568" s="3275"/>
      <c r="C2568" s="2">
        <f t="shared" si="593"/>
        <v>27</v>
      </c>
      <c r="D2568" s="3">
        <f t="shared" si="594"/>
        <v>3</v>
      </c>
      <c r="E2568" s="66">
        <v>4</v>
      </c>
      <c r="F2568" s="67" t="s">
        <v>732</v>
      </c>
      <c r="G2568" s="90" t="s">
        <v>733</v>
      </c>
      <c r="H2568" s="91" t="s">
        <v>1911</v>
      </c>
      <c r="I2568" s="257" t="s">
        <v>740</v>
      </c>
      <c r="J2568" s="92" t="s">
        <v>1543</v>
      </c>
      <c r="K2568" s="243" t="s">
        <v>1910</v>
      </c>
      <c r="L2568" s="244">
        <v>40956</v>
      </c>
      <c r="M2568" s="245" t="s">
        <v>729</v>
      </c>
      <c r="N2568" s="74">
        <v>40974</v>
      </c>
      <c r="O2568" s="75">
        <f t="shared" si="595"/>
        <v>40974</v>
      </c>
      <c r="P2568" s="2799" t="s">
        <v>1909</v>
      </c>
      <c r="Q2568" s="2954"/>
      <c r="R2568" s="248">
        <v>127.1186</v>
      </c>
      <c r="S2568" s="1958" t="s">
        <v>731</v>
      </c>
      <c r="T2568" s="77"/>
      <c r="U2568" s="1893"/>
      <c r="V2568" s="2079">
        <f t="shared" si="590"/>
        <v>0</v>
      </c>
      <c r="W2568" s="78">
        <f t="shared" si="591"/>
        <v>149.99994799999999</v>
      </c>
      <c r="X2568" s="1878" t="str">
        <f t="shared" si="589"/>
        <v xml:space="preserve">4.- C Lima Caucho 1071107-OT_000124  Transpl Banda 001-002139 </v>
      </c>
      <c r="Z2568" s="19" t="str">
        <f t="shared" si="592"/>
        <v>Reencauchadora Espinoza</v>
      </c>
    </row>
    <row r="2569" spans="2:26" outlineLevel="1">
      <c r="B2569" s="3275"/>
      <c r="C2569" s="2">
        <f t="shared" si="593"/>
        <v>26</v>
      </c>
      <c r="D2569" s="3">
        <f t="shared" si="594"/>
        <v>2</v>
      </c>
      <c r="E2569" s="66">
        <v>5</v>
      </c>
      <c r="F2569" s="67" t="s">
        <v>732</v>
      </c>
      <c r="G2569" s="90" t="s">
        <v>737</v>
      </c>
      <c r="H2569" s="91" t="s">
        <v>1912</v>
      </c>
      <c r="I2569" s="257" t="s">
        <v>740</v>
      </c>
      <c r="J2569" s="92" t="s">
        <v>1543</v>
      </c>
      <c r="K2569" s="243" t="s">
        <v>1910</v>
      </c>
      <c r="L2569" s="244">
        <v>40956</v>
      </c>
      <c r="M2569" s="245" t="s">
        <v>729</v>
      </c>
      <c r="N2569" s="74">
        <v>40974</v>
      </c>
      <c r="O2569" s="75">
        <f t="shared" si="595"/>
        <v>40974</v>
      </c>
      <c r="P2569" s="2799" t="s">
        <v>1909</v>
      </c>
      <c r="Q2569" s="2954"/>
      <c r="R2569" s="248">
        <v>127.1186</v>
      </c>
      <c r="S2569" s="1958" t="s">
        <v>731</v>
      </c>
      <c r="T2569" s="77"/>
      <c r="U2569" s="1893"/>
      <c r="V2569" s="2079">
        <f t="shared" si="590"/>
        <v>0</v>
      </c>
      <c r="W2569" s="78">
        <f t="shared" si="591"/>
        <v>149.99994799999999</v>
      </c>
      <c r="X2569" s="1878" t="str">
        <f t="shared" si="589"/>
        <v xml:space="preserve">5.- C Vikrant 01022010-OT_000124  Transpl Banda 001-002139 </v>
      </c>
      <c r="Z2569" s="19" t="str">
        <f t="shared" si="592"/>
        <v>Sacar_BandaReencauchadora Espinoza</v>
      </c>
    </row>
    <row r="2570" spans="2:26" outlineLevel="1">
      <c r="B2570" s="3275"/>
      <c r="C2570" s="2">
        <f>1+C2578</f>
        <v>25</v>
      </c>
      <c r="D2570" s="3">
        <v>1</v>
      </c>
      <c r="E2570" s="66">
        <v>6</v>
      </c>
      <c r="F2570" s="67" t="s">
        <v>732</v>
      </c>
      <c r="G2570" s="90" t="s">
        <v>737</v>
      </c>
      <c r="H2570" s="91" t="s">
        <v>1727</v>
      </c>
      <c r="I2570" s="257" t="s">
        <v>740</v>
      </c>
      <c r="J2570" s="92" t="s">
        <v>1543</v>
      </c>
      <c r="K2570" s="243" t="s">
        <v>1913</v>
      </c>
      <c r="L2570" s="244">
        <v>40959</v>
      </c>
      <c r="M2570" s="245" t="s">
        <v>729</v>
      </c>
      <c r="N2570" s="74">
        <v>40974</v>
      </c>
      <c r="O2570" s="75">
        <f t="shared" si="595"/>
        <v>40974</v>
      </c>
      <c r="P2570" s="2799" t="s">
        <v>1909</v>
      </c>
      <c r="Q2570" s="2954"/>
      <c r="R2570" s="248">
        <v>127.1186</v>
      </c>
      <c r="S2570" s="1958" t="s">
        <v>731</v>
      </c>
      <c r="T2570" s="77"/>
      <c r="U2570" s="1893"/>
      <c r="V2570" s="2079">
        <f t="shared" si="590"/>
        <v>0</v>
      </c>
      <c r="W2570" s="78">
        <f t="shared" si="591"/>
        <v>149.99994799999999</v>
      </c>
      <c r="X2570" s="1878" t="str">
        <f t="shared" si="589"/>
        <v xml:space="preserve">6.- C Vikrant 02022010-OT_000405  Transpl Banda 001-002139 </v>
      </c>
      <c r="Z2570" s="19" t="str">
        <f t="shared" si="592"/>
        <v>Sacar_BandaReencauchadora Espinoza</v>
      </c>
    </row>
    <row r="2571" spans="2:26" outlineLevel="1">
      <c r="B2571" s="3275"/>
      <c r="E2571" s="66">
        <v>7</v>
      </c>
      <c r="F2571" s="67" t="s">
        <v>732</v>
      </c>
      <c r="G2571" s="217" t="s">
        <v>757</v>
      </c>
      <c r="H2571" s="218" t="s">
        <v>1914</v>
      </c>
      <c r="I2571" s="217"/>
      <c r="J2571" s="219" t="s">
        <v>1543</v>
      </c>
      <c r="K2571" s="220" t="s">
        <v>1910</v>
      </c>
      <c r="L2571" s="221">
        <v>40956</v>
      </c>
      <c r="M2571" s="222" t="s">
        <v>1815</v>
      </c>
      <c r="N2571" s="74">
        <v>40974</v>
      </c>
      <c r="O2571" s="75">
        <f t="shared" si="595"/>
        <v>40974</v>
      </c>
      <c r="P2571" s="2787" t="s">
        <v>1909</v>
      </c>
      <c r="Q2571" s="2954"/>
      <c r="R2571" s="223">
        <v>0</v>
      </c>
      <c r="S2571" s="1955" t="s">
        <v>731</v>
      </c>
      <c r="T2571" s="274" t="s">
        <v>1617</v>
      </c>
      <c r="U2571" s="1895"/>
      <c r="V2571" s="2079">
        <f t="shared" si="590"/>
        <v>0</v>
      </c>
      <c r="W2571" s="78">
        <f t="shared" si="591"/>
        <v>0</v>
      </c>
      <c r="X2571" s="1878" t="str">
        <f t="shared" si="589"/>
        <v>7.- C Goodyear 0491001-OT_000124   001-002139  Llanta Rechazada, no se facturo</v>
      </c>
      <c r="Z2571" s="19" t="str">
        <f t="shared" si="592"/>
        <v>Sacar_BandaReencauchadora Espinoza</v>
      </c>
    </row>
    <row r="2572" spans="2:26" outlineLevel="1">
      <c r="B2572" s="3275"/>
      <c r="E2572" s="66">
        <v>8</v>
      </c>
      <c r="F2572" s="67" t="s">
        <v>732</v>
      </c>
      <c r="G2572" s="90" t="s">
        <v>733</v>
      </c>
      <c r="H2572" s="91" t="s">
        <v>1915</v>
      </c>
      <c r="I2572" s="257" t="s">
        <v>744</v>
      </c>
      <c r="J2572" s="92" t="s">
        <v>1543</v>
      </c>
      <c r="K2572" s="243" t="s">
        <v>1916</v>
      </c>
      <c r="L2572" s="244">
        <v>40956</v>
      </c>
      <c r="M2572" s="245" t="s">
        <v>729</v>
      </c>
      <c r="N2572" s="74">
        <v>40974</v>
      </c>
      <c r="O2572" s="75">
        <f t="shared" si="595"/>
        <v>40974</v>
      </c>
      <c r="P2572" s="2799" t="s">
        <v>1909</v>
      </c>
      <c r="Q2572" s="2954"/>
      <c r="R2572" s="248">
        <v>0</v>
      </c>
      <c r="S2572" s="1958" t="s">
        <v>731</v>
      </c>
      <c r="T2572" s="77"/>
      <c r="U2572" s="1893"/>
      <c r="V2572" s="2079">
        <f t="shared" si="590"/>
        <v>0</v>
      </c>
      <c r="W2572" s="78">
        <f t="shared" si="591"/>
        <v>0</v>
      </c>
      <c r="X2572" s="1878" t="str">
        <f t="shared" si="589"/>
        <v xml:space="preserve">8.- C Lima Caucho 1381207-OT_000122  Sacar_Banda 001-002139 </v>
      </c>
      <c r="Z2572" s="19" t="str">
        <f t="shared" si="592"/>
        <v>Sacar_BandaReencauchadora Espinoza</v>
      </c>
    </row>
    <row r="2573" spans="2:26" outlineLevel="1">
      <c r="B2573" s="3275"/>
      <c r="E2573" s="66">
        <v>9</v>
      </c>
      <c r="F2573" s="67" t="s">
        <v>732</v>
      </c>
      <c r="G2573" s="90" t="s">
        <v>737</v>
      </c>
      <c r="H2573" s="91" t="s">
        <v>1917</v>
      </c>
      <c r="I2573" s="257" t="s">
        <v>744</v>
      </c>
      <c r="J2573" s="92" t="s">
        <v>1543</v>
      </c>
      <c r="K2573" s="243" t="s">
        <v>1916</v>
      </c>
      <c r="L2573" s="244">
        <v>40956</v>
      </c>
      <c r="M2573" s="245" t="s">
        <v>729</v>
      </c>
      <c r="N2573" s="74">
        <v>40974</v>
      </c>
      <c r="O2573" s="75">
        <f t="shared" si="595"/>
        <v>40974</v>
      </c>
      <c r="P2573" s="2799" t="s">
        <v>1909</v>
      </c>
      <c r="Q2573" s="2954"/>
      <c r="R2573" s="248">
        <v>0</v>
      </c>
      <c r="S2573" s="1958" t="s">
        <v>731</v>
      </c>
      <c r="T2573" s="77"/>
      <c r="U2573" s="1893"/>
      <c r="V2573" s="2079">
        <f t="shared" si="590"/>
        <v>0</v>
      </c>
      <c r="W2573" s="78">
        <f t="shared" si="591"/>
        <v>0</v>
      </c>
      <c r="X2573" s="1878" t="str">
        <f t="shared" si="589"/>
        <v xml:space="preserve">9.- C Vikrant 1370805-OT_000122  Sacar_Banda 001-002139 </v>
      </c>
      <c r="Z2573" s="19" t="str">
        <f t="shared" si="592"/>
        <v>Sacar_BandaReencauchadora Espinoza</v>
      </c>
    </row>
    <row r="2574" spans="2:26">
      <c r="B2574" s="3275"/>
      <c r="E2574" s="66">
        <v>10</v>
      </c>
      <c r="F2574" s="67" t="s">
        <v>732</v>
      </c>
      <c r="G2574" s="90" t="s">
        <v>737</v>
      </c>
      <c r="H2574" s="91" t="s">
        <v>1918</v>
      </c>
      <c r="I2574" s="257" t="s">
        <v>744</v>
      </c>
      <c r="J2574" s="92" t="s">
        <v>1543</v>
      </c>
      <c r="K2574" s="243" t="s">
        <v>1916</v>
      </c>
      <c r="L2574" s="244">
        <v>40956</v>
      </c>
      <c r="M2574" s="245" t="s">
        <v>729</v>
      </c>
      <c r="N2574" s="74">
        <v>40974</v>
      </c>
      <c r="O2574" s="75">
        <f t="shared" si="595"/>
        <v>40974</v>
      </c>
      <c r="P2574" s="2799" t="s">
        <v>1909</v>
      </c>
      <c r="Q2574" s="2954"/>
      <c r="R2574" s="248">
        <v>0</v>
      </c>
      <c r="S2574" s="1958" t="s">
        <v>731</v>
      </c>
      <c r="T2574" s="77"/>
      <c r="U2574" s="1893"/>
      <c r="V2574" s="2079">
        <f t="shared" si="590"/>
        <v>0</v>
      </c>
      <c r="W2574" s="78">
        <f t="shared" si="591"/>
        <v>0</v>
      </c>
      <c r="X2574" s="1878" t="str">
        <f t="shared" si="589"/>
        <v xml:space="preserve">10.- C Vikrant 0741007-OT_000122  Sacar_Banda 001-002139 </v>
      </c>
    </row>
    <row r="2575" spans="2:26" ht="14.25" customHeight="1" outlineLevel="1">
      <c r="B2575" s="3275"/>
      <c r="E2575" s="66">
        <v>11</v>
      </c>
      <c r="F2575" s="67" t="s">
        <v>732</v>
      </c>
      <c r="G2575" s="90" t="s">
        <v>733</v>
      </c>
      <c r="H2575" s="91" t="s">
        <v>1919</v>
      </c>
      <c r="I2575" s="257" t="s">
        <v>744</v>
      </c>
      <c r="J2575" s="92" t="s">
        <v>1543</v>
      </c>
      <c r="K2575" s="243" t="s">
        <v>1916</v>
      </c>
      <c r="L2575" s="244">
        <v>40956</v>
      </c>
      <c r="M2575" s="245" t="s">
        <v>729</v>
      </c>
      <c r="N2575" s="74">
        <v>40974</v>
      </c>
      <c r="O2575" s="75">
        <f t="shared" si="595"/>
        <v>40974</v>
      </c>
      <c r="P2575" s="2799" t="s">
        <v>1909</v>
      </c>
      <c r="Q2575" s="2954"/>
      <c r="R2575" s="248">
        <v>0</v>
      </c>
      <c r="S2575" s="1958" t="s">
        <v>731</v>
      </c>
      <c r="T2575" s="77"/>
      <c r="U2575" s="1893"/>
      <c r="V2575" s="2079">
        <f t="shared" si="590"/>
        <v>0</v>
      </c>
      <c r="W2575" s="78">
        <f t="shared" si="591"/>
        <v>0</v>
      </c>
      <c r="X2575" s="1878" t="str">
        <f t="shared" si="589"/>
        <v xml:space="preserve">11.- C Lima Caucho 0911010-OT_000122  Sacar_Banda 001-002139 </v>
      </c>
      <c r="Z2575" s="19" t="str">
        <f t="shared" ref="Z2575:Z2605" si="596">CONCATENATE(I2578,J2578)</f>
        <v>ReencaucheReencauchadora RENOVA</v>
      </c>
    </row>
    <row r="2576" spans="2:26" ht="15.75" outlineLevel="1" thickBot="1">
      <c r="B2576" s="3276"/>
      <c r="E2576" s="66">
        <v>12</v>
      </c>
      <c r="F2576" s="67" t="s">
        <v>732</v>
      </c>
      <c r="G2576" s="360" t="s">
        <v>733</v>
      </c>
      <c r="H2576" s="361" t="s">
        <v>1920</v>
      </c>
      <c r="I2576" s="331" t="s">
        <v>744</v>
      </c>
      <c r="J2576" s="332" t="s">
        <v>1543</v>
      </c>
      <c r="K2576" s="362" t="s">
        <v>1916</v>
      </c>
      <c r="L2576" s="363">
        <v>40956</v>
      </c>
      <c r="M2576" s="364" t="s">
        <v>729</v>
      </c>
      <c r="N2576" s="336">
        <v>40974</v>
      </c>
      <c r="O2576" s="337">
        <f t="shared" si="595"/>
        <v>40974</v>
      </c>
      <c r="P2576" s="2802" t="s">
        <v>1909</v>
      </c>
      <c r="Q2576" s="2979"/>
      <c r="R2576" s="365">
        <v>0</v>
      </c>
      <c r="S2576" s="1967" t="s">
        <v>731</v>
      </c>
      <c r="T2576" s="77"/>
      <c r="U2576" s="1893"/>
      <c r="V2576" s="2079">
        <f t="shared" si="590"/>
        <v>0</v>
      </c>
      <c r="W2576" s="78">
        <f t="shared" si="591"/>
        <v>0</v>
      </c>
      <c r="X2576" s="1878" t="str">
        <f t="shared" si="589"/>
        <v xml:space="preserve">12.- C Lima Caucho 0991210-OT_000122  Sacar_Banda 001-002139 </v>
      </c>
      <c r="Z2576" s="19" t="str">
        <f t="shared" si="596"/>
        <v>ReencaucheReencauchadora RENOVA</v>
      </c>
    </row>
    <row r="2577" spans="2:26" ht="15.75" outlineLevel="1" thickBot="1">
      <c r="B2577" s="3310">
        <f>+B2578</f>
        <v>40940</v>
      </c>
      <c r="C2577" s="3310"/>
      <c r="D2577" s="258">
        <f>+D2578</f>
        <v>24</v>
      </c>
      <c r="E2577" s="66"/>
      <c r="F2577" s="67"/>
      <c r="G2577" s="90"/>
      <c r="H2577" s="91"/>
      <c r="I2577" s="257"/>
      <c r="J2577" s="92"/>
      <c r="K2577" s="243"/>
      <c r="L2577" s="244"/>
      <c r="M2577" s="245"/>
      <c r="N2577" s="74"/>
      <c r="O2577" s="75"/>
      <c r="P2577" s="2799"/>
      <c r="Q2577" s="2954"/>
      <c r="R2577" s="248"/>
      <c r="S2577" s="1958"/>
      <c r="T2577" s="77"/>
      <c r="U2577" s="1893"/>
      <c r="V2577" s="2079">
        <f t="shared" si="590"/>
        <v>0</v>
      </c>
      <c r="W2577" s="78">
        <f t="shared" si="591"/>
        <v>0</v>
      </c>
      <c r="X2577" s="1878" t="str">
        <f t="shared" si="589"/>
        <v xml:space="preserve">.-   -OT_    </v>
      </c>
      <c r="Z2577" s="19" t="str">
        <f t="shared" si="596"/>
        <v>ReencaucheReencauchadora RENOVA</v>
      </c>
    </row>
    <row r="2578" spans="2:26" outlineLevel="1">
      <c r="B2578" s="3274">
        <v>40940</v>
      </c>
      <c r="C2578" s="2">
        <f t="shared" ref="C2578:D2582" si="597">1+C2579</f>
        <v>24</v>
      </c>
      <c r="D2578" s="359">
        <f t="shared" si="597"/>
        <v>24</v>
      </c>
      <c r="E2578" s="66">
        <v>1</v>
      </c>
      <c r="F2578" s="67" t="s">
        <v>732</v>
      </c>
      <c r="G2578" s="68" t="s">
        <v>733</v>
      </c>
      <c r="H2578" s="69" t="s">
        <v>1921</v>
      </c>
      <c r="I2578" s="68" t="s">
        <v>726</v>
      </c>
      <c r="J2578" s="70" t="s">
        <v>760</v>
      </c>
      <c r="K2578" s="71" t="s">
        <v>1922</v>
      </c>
      <c r="L2578" s="72">
        <v>40942</v>
      </c>
      <c r="M2578" s="73" t="s">
        <v>729</v>
      </c>
      <c r="N2578" s="74">
        <v>40953</v>
      </c>
      <c r="O2578" s="75">
        <f t="shared" ref="O2578:O2608" si="598">+N2578</f>
        <v>40953</v>
      </c>
      <c r="P2578" s="2765" t="s">
        <v>1923</v>
      </c>
      <c r="Q2578" s="2954">
        <v>104.24</v>
      </c>
      <c r="R2578" s="76"/>
      <c r="S2578" s="1945" t="s">
        <v>731</v>
      </c>
      <c r="T2578" s="77"/>
      <c r="U2578" s="1893"/>
      <c r="V2578" s="2079">
        <f t="shared" si="590"/>
        <v>123.00319999999999</v>
      </c>
      <c r="W2578" s="78">
        <f t="shared" si="591"/>
        <v>0</v>
      </c>
      <c r="X2578" s="1878" t="str">
        <f t="shared" si="589"/>
        <v xml:space="preserve">1.- C Lima Caucho 0360507-OT_162795  Reencauche 031-0007681 </v>
      </c>
      <c r="Z2578" s="19" t="str">
        <f t="shared" si="596"/>
        <v>ReencaucheReencauchadora RENOVA</v>
      </c>
    </row>
    <row r="2579" spans="2:26" outlineLevel="1">
      <c r="B2579" s="3275"/>
      <c r="C2579" s="2">
        <f t="shared" si="597"/>
        <v>23</v>
      </c>
      <c r="D2579" s="3">
        <f t="shared" si="597"/>
        <v>23</v>
      </c>
      <c r="E2579" s="66">
        <v>2</v>
      </c>
      <c r="F2579" s="67" t="s">
        <v>732</v>
      </c>
      <c r="G2579" s="68" t="s">
        <v>737</v>
      </c>
      <c r="H2579" s="69" t="s">
        <v>1720</v>
      </c>
      <c r="I2579" s="68" t="s">
        <v>726</v>
      </c>
      <c r="J2579" s="70" t="s">
        <v>760</v>
      </c>
      <c r="K2579" s="71" t="s">
        <v>1922</v>
      </c>
      <c r="L2579" s="72">
        <v>40942</v>
      </c>
      <c r="M2579" s="73" t="s">
        <v>729</v>
      </c>
      <c r="N2579" s="74">
        <v>40953</v>
      </c>
      <c r="O2579" s="75">
        <f t="shared" si="598"/>
        <v>40953</v>
      </c>
      <c r="P2579" s="2765" t="s">
        <v>1923</v>
      </c>
      <c r="Q2579" s="2954">
        <v>104.24</v>
      </c>
      <c r="R2579" s="76"/>
      <c r="S2579" s="1945" t="s">
        <v>731</v>
      </c>
      <c r="T2579" s="77"/>
      <c r="U2579" s="1893"/>
      <c r="V2579" s="2079">
        <f t="shared" si="590"/>
        <v>123.00319999999999</v>
      </c>
      <c r="W2579" s="78">
        <f t="shared" si="591"/>
        <v>0</v>
      </c>
      <c r="X2579" s="1878" t="str">
        <f t="shared" si="589"/>
        <v xml:space="preserve">2.- C Vikrant 0880908-OT_162795  Reencauche 031-0007681 </v>
      </c>
      <c r="Z2579" s="19" t="str">
        <f t="shared" si="596"/>
        <v>ReencaucheReencauchadora RENOVA</v>
      </c>
    </row>
    <row r="2580" spans="2:26" outlineLevel="1">
      <c r="B2580" s="3275"/>
      <c r="C2580" s="2">
        <f t="shared" si="597"/>
        <v>22</v>
      </c>
      <c r="D2580" s="3">
        <f t="shared" si="597"/>
        <v>22</v>
      </c>
      <c r="E2580" s="66">
        <v>3</v>
      </c>
      <c r="F2580" s="67" t="s">
        <v>732</v>
      </c>
      <c r="G2580" s="68" t="s">
        <v>737</v>
      </c>
      <c r="H2580" s="69" t="s">
        <v>985</v>
      </c>
      <c r="I2580" s="68" t="s">
        <v>726</v>
      </c>
      <c r="J2580" s="70" t="s">
        <v>760</v>
      </c>
      <c r="K2580" s="71" t="s">
        <v>1922</v>
      </c>
      <c r="L2580" s="72">
        <v>40942</v>
      </c>
      <c r="M2580" s="73" t="s">
        <v>729</v>
      </c>
      <c r="N2580" s="74">
        <v>40953</v>
      </c>
      <c r="O2580" s="75">
        <f t="shared" si="598"/>
        <v>40953</v>
      </c>
      <c r="P2580" s="2765" t="s">
        <v>1923</v>
      </c>
      <c r="Q2580" s="2954">
        <v>104.24</v>
      </c>
      <c r="R2580" s="76"/>
      <c r="S2580" s="1945" t="s">
        <v>731</v>
      </c>
      <c r="T2580" s="77"/>
      <c r="U2580" s="1893"/>
      <c r="V2580" s="2079">
        <f t="shared" si="590"/>
        <v>123.00319999999999</v>
      </c>
      <c r="W2580" s="78">
        <f t="shared" si="591"/>
        <v>0</v>
      </c>
      <c r="X2580" s="1878" t="str">
        <f t="shared" si="589"/>
        <v xml:space="preserve">3.- C Vikrant 0890908-OT_162795  Reencauche 031-0007681 </v>
      </c>
      <c r="Z2580" s="19" t="str">
        <f t="shared" si="596"/>
        <v>ReencaucheReencauchadora RENOVA</v>
      </c>
    </row>
    <row r="2581" spans="2:26" outlineLevel="1">
      <c r="B2581" s="3275"/>
      <c r="C2581" s="2">
        <f t="shared" si="597"/>
        <v>21</v>
      </c>
      <c r="D2581" s="3">
        <f t="shared" si="597"/>
        <v>21</v>
      </c>
      <c r="E2581" s="66">
        <v>4</v>
      </c>
      <c r="F2581" s="67" t="s">
        <v>732</v>
      </c>
      <c r="G2581" s="68" t="s">
        <v>737</v>
      </c>
      <c r="H2581" s="69" t="s">
        <v>739</v>
      </c>
      <c r="I2581" s="68" t="s">
        <v>726</v>
      </c>
      <c r="J2581" s="70" t="s">
        <v>760</v>
      </c>
      <c r="K2581" s="71" t="s">
        <v>1922</v>
      </c>
      <c r="L2581" s="72">
        <v>40942</v>
      </c>
      <c r="M2581" s="73" t="s">
        <v>729</v>
      </c>
      <c r="N2581" s="74">
        <v>40953</v>
      </c>
      <c r="O2581" s="75">
        <f t="shared" si="598"/>
        <v>40953</v>
      </c>
      <c r="P2581" s="2765" t="s">
        <v>1923</v>
      </c>
      <c r="Q2581" s="2954">
        <v>104.24</v>
      </c>
      <c r="R2581" s="76"/>
      <c r="S2581" s="1945" t="s">
        <v>731</v>
      </c>
      <c r="T2581" s="77"/>
      <c r="U2581" s="1893"/>
      <c r="V2581" s="2079">
        <f t="shared" si="590"/>
        <v>123.00319999999999</v>
      </c>
      <c r="W2581" s="78">
        <f t="shared" si="591"/>
        <v>0</v>
      </c>
      <c r="X2581" s="1878" t="str">
        <f t="shared" si="589"/>
        <v xml:space="preserve">4.- C Vikrant 0610808-OT_162795  Reencauche 031-0007681 </v>
      </c>
      <c r="Z2581" s="19" t="str">
        <f t="shared" si="596"/>
        <v/>
      </c>
    </row>
    <row r="2582" spans="2:26" outlineLevel="1">
      <c r="B2582" s="3275"/>
      <c r="C2582" s="2">
        <f t="shared" si="597"/>
        <v>20</v>
      </c>
      <c r="D2582" s="3">
        <f t="shared" si="597"/>
        <v>20</v>
      </c>
      <c r="E2582" s="66">
        <v>5</v>
      </c>
      <c r="F2582" s="67" t="s">
        <v>732</v>
      </c>
      <c r="G2582" s="68" t="s">
        <v>737</v>
      </c>
      <c r="H2582" s="69" t="s">
        <v>1772</v>
      </c>
      <c r="I2582" s="68" t="s">
        <v>726</v>
      </c>
      <c r="J2582" s="70" t="s">
        <v>760</v>
      </c>
      <c r="K2582" s="71" t="s">
        <v>1922</v>
      </c>
      <c r="L2582" s="72">
        <v>40942</v>
      </c>
      <c r="M2582" s="73" t="s">
        <v>729</v>
      </c>
      <c r="N2582" s="74">
        <v>40953</v>
      </c>
      <c r="O2582" s="75">
        <f t="shared" si="598"/>
        <v>40953</v>
      </c>
      <c r="P2582" s="2765" t="s">
        <v>1923</v>
      </c>
      <c r="Q2582" s="2954">
        <v>104.24</v>
      </c>
      <c r="R2582" s="76"/>
      <c r="S2582" s="1945" t="s">
        <v>731</v>
      </c>
      <c r="T2582" s="77"/>
      <c r="U2582" s="1893"/>
      <c r="V2582" s="2079">
        <f t="shared" si="590"/>
        <v>123.00319999999999</v>
      </c>
      <c r="W2582" s="78">
        <f t="shared" si="591"/>
        <v>0</v>
      </c>
      <c r="X2582" s="1878" t="str">
        <f t="shared" si="589"/>
        <v xml:space="preserve">5.- C Vikrant 0750908-OT_162795  Reencauche 031-0007681 </v>
      </c>
      <c r="Z2582" s="19" t="str">
        <f t="shared" si="596"/>
        <v/>
      </c>
    </row>
    <row r="2583" spans="2:26" outlineLevel="1">
      <c r="B2583" s="3275"/>
      <c r="C2583" s="2">
        <f>1+C2591</f>
        <v>19</v>
      </c>
      <c r="D2583" s="3">
        <f>1+D2591</f>
        <v>19</v>
      </c>
      <c r="E2583" s="79">
        <v>6</v>
      </c>
      <c r="F2583" s="80" t="s">
        <v>732</v>
      </c>
      <c r="G2583" s="81" t="s">
        <v>737</v>
      </c>
      <c r="H2583" s="82" t="s">
        <v>1190</v>
      </c>
      <c r="I2583" s="81" t="s">
        <v>726</v>
      </c>
      <c r="J2583" s="83" t="s">
        <v>760</v>
      </c>
      <c r="K2583" s="84" t="s">
        <v>1922</v>
      </c>
      <c r="L2583" s="85">
        <v>40942</v>
      </c>
      <c r="M2583" s="86" t="s">
        <v>729</v>
      </c>
      <c r="N2583" s="87">
        <v>40953</v>
      </c>
      <c r="O2583" s="88">
        <f t="shared" si="598"/>
        <v>40953</v>
      </c>
      <c r="P2583" s="2766" t="s">
        <v>1923</v>
      </c>
      <c r="Q2583" s="2955">
        <v>104.24</v>
      </c>
      <c r="R2583" s="89"/>
      <c r="S2583" s="1946" t="s">
        <v>731</v>
      </c>
      <c r="T2583" s="77"/>
      <c r="U2583" s="1893"/>
      <c r="V2583" s="2079">
        <f t="shared" si="590"/>
        <v>123.00319999999999</v>
      </c>
      <c r="W2583" s="78">
        <f t="shared" si="591"/>
        <v>0</v>
      </c>
      <c r="X2583" s="1878" t="str">
        <f t="shared" si="589"/>
        <v xml:space="preserve">6.- C Vikrant 1240805-OT_162795  Reencauche 031-0007681 </v>
      </c>
      <c r="Z2583" s="19" t="str">
        <f t="shared" si="596"/>
        <v/>
      </c>
    </row>
    <row r="2584" spans="2:26" outlineLevel="1">
      <c r="B2584" s="3275"/>
      <c r="E2584" s="66">
        <v>1</v>
      </c>
      <c r="F2584" s="67" t="s">
        <v>732</v>
      </c>
      <c r="G2584" s="290" t="s">
        <v>737</v>
      </c>
      <c r="H2584" s="289" t="s">
        <v>1912</v>
      </c>
      <c r="I2584" s="290"/>
      <c r="J2584" s="291"/>
      <c r="K2584" s="292" t="s">
        <v>1924</v>
      </c>
      <c r="L2584" s="293">
        <v>40927</v>
      </c>
      <c r="M2584" s="294" t="s">
        <v>1815</v>
      </c>
      <c r="N2584" s="295">
        <v>40954</v>
      </c>
      <c r="O2584" s="296">
        <f t="shared" si="598"/>
        <v>40954</v>
      </c>
      <c r="P2584" s="340" t="s">
        <v>1925</v>
      </c>
      <c r="Q2584" s="2976">
        <v>0</v>
      </c>
      <c r="R2584" s="286"/>
      <c r="S2584" s="1962"/>
      <c r="T2584" s="274" t="s">
        <v>1617</v>
      </c>
      <c r="U2584" s="1895"/>
      <c r="V2584" s="2079">
        <f t="shared" si="590"/>
        <v>0</v>
      </c>
      <c r="W2584" s="78">
        <f t="shared" si="591"/>
        <v>0</v>
      </c>
      <c r="X2584" s="1878" t="str">
        <f t="shared" si="589"/>
        <v>1.- C Vikrant 01022010-OT_162084   033-0007995  Llanta Rechazada, no se facturo</v>
      </c>
      <c r="Z2584" s="19" t="str">
        <f t="shared" si="596"/>
        <v/>
      </c>
    </row>
    <row r="2585" spans="2:26" outlineLevel="1">
      <c r="B2585" s="3275"/>
      <c r="E2585" s="66">
        <v>2</v>
      </c>
      <c r="F2585" s="67" t="s">
        <v>732</v>
      </c>
      <c r="G2585" s="290" t="s">
        <v>737</v>
      </c>
      <c r="H2585" s="289" t="s">
        <v>1422</v>
      </c>
      <c r="I2585" s="290"/>
      <c r="J2585" s="291"/>
      <c r="K2585" s="292" t="s">
        <v>1924</v>
      </c>
      <c r="L2585" s="293">
        <v>40927</v>
      </c>
      <c r="M2585" s="294" t="s">
        <v>1815</v>
      </c>
      <c r="N2585" s="295">
        <v>40954</v>
      </c>
      <c r="O2585" s="296">
        <f t="shared" si="598"/>
        <v>40954</v>
      </c>
      <c r="P2585" s="340" t="s">
        <v>1925</v>
      </c>
      <c r="Q2585" s="2976">
        <v>0</v>
      </c>
      <c r="R2585" s="286"/>
      <c r="S2585" s="1962"/>
      <c r="T2585" s="274" t="s">
        <v>1617</v>
      </c>
      <c r="U2585" s="1895"/>
      <c r="V2585" s="2079">
        <f t="shared" si="590"/>
        <v>0</v>
      </c>
      <c r="W2585" s="78">
        <f t="shared" si="591"/>
        <v>0</v>
      </c>
      <c r="X2585" s="1878" t="str">
        <f t="shared" si="589"/>
        <v>2.- C Vikrant 0240310-OT_162084   033-0007995  Llanta Rechazada, no se facturo</v>
      </c>
      <c r="Z2585" s="19" t="str">
        <f t="shared" si="596"/>
        <v/>
      </c>
    </row>
    <row r="2586" spans="2:26" outlineLevel="1">
      <c r="B2586" s="3275"/>
      <c r="E2586" s="66">
        <v>3</v>
      </c>
      <c r="F2586" s="67" t="s">
        <v>732</v>
      </c>
      <c r="G2586" s="290" t="s">
        <v>757</v>
      </c>
      <c r="H2586" s="289" t="s">
        <v>1914</v>
      </c>
      <c r="I2586" s="290"/>
      <c r="J2586" s="291"/>
      <c r="K2586" s="292" t="s">
        <v>1924</v>
      </c>
      <c r="L2586" s="293">
        <v>40927</v>
      </c>
      <c r="M2586" s="294" t="s">
        <v>1815</v>
      </c>
      <c r="N2586" s="295">
        <v>40954</v>
      </c>
      <c r="O2586" s="296">
        <f t="shared" si="598"/>
        <v>40954</v>
      </c>
      <c r="P2586" s="340" t="s">
        <v>1925</v>
      </c>
      <c r="Q2586" s="2976">
        <v>0</v>
      </c>
      <c r="R2586" s="286"/>
      <c r="S2586" s="1962"/>
      <c r="T2586" s="1914" t="s">
        <v>1617</v>
      </c>
      <c r="U2586" s="1895"/>
      <c r="V2586" s="2079">
        <f t="shared" si="590"/>
        <v>0</v>
      </c>
      <c r="W2586" s="78">
        <f t="shared" si="591"/>
        <v>0</v>
      </c>
      <c r="X2586" s="1878" t="str">
        <f t="shared" si="589"/>
        <v>3.- C Goodyear 0491001-OT_162084   033-0007995  Llanta Rechazada, no se facturo</v>
      </c>
      <c r="Z2586" s="19" t="str">
        <f t="shared" si="596"/>
        <v/>
      </c>
    </row>
    <row r="2587" spans="2:26" outlineLevel="1">
      <c r="B2587" s="3275"/>
      <c r="E2587" s="66">
        <v>4</v>
      </c>
      <c r="F2587" s="67" t="s">
        <v>732</v>
      </c>
      <c r="G2587" s="290" t="s">
        <v>757</v>
      </c>
      <c r="H2587" s="289" t="s">
        <v>1926</v>
      </c>
      <c r="I2587" s="290"/>
      <c r="J2587" s="291"/>
      <c r="K2587" s="292" t="s">
        <v>1924</v>
      </c>
      <c r="L2587" s="293">
        <v>40927</v>
      </c>
      <c r="M2587" s="294" t="s">
        <v>1815</v>
      </c>
      <c r="N2587" s="295">
        <v>40954</v>
      </c>
      <c r="O2587" s="296">
        <f t="shared" si="598"/>
        <v>40954</v>
      </c>
      <c r="P2587" s="340" t="s">
        <v>1925</v>
      </c>
      <c r="Q2587" s="2976">
        <v>0</v>
      </c>
      <c r="R2587" s="286"/>
      <c r="S2587" s="1962"/>
      <c r="T2587" s="1914" t="s">
        <v>1617</v>
      </c>
      <c r="U2587" s="1895"/>
      <c r="V2587" s="2079">
        <f t="shared" si="590"/>
        <v>0</v>
      </c>
      <c r="W2587" s="78">
        <f t="shared" si="591"/>
        <v>0</v>
      </c>
      <c r="X2587" s="1878" t="str">
        <f t="shared" si="589"/>
        <v>4.- C Goodyear 0380302-OT_162084   033-0007995  Llanta Rechazada, no se facturo</v>
      </c>
      <c r="Z2587" s="19" t="str">
        <f t="shared" si="596"/>
        <v/>
      </c>
    </row>
    <row r="2588" spans="2:26" outlineLevel="1">
      <c r="B2588" s="3275"/>
      <c r="E2588" s="66">
        <v>5</v>
      </c>
      <c r="F2588" s="67" t="s">
        <v>732</v>
      </c>
      <c r="G2588" s="290" t="s">
        <v>757</v>
      </c>
      <c r="H2588" s="289" t="s">
        <v>852</v>
      </c>
      <c r="I2588" s="290"/>
      <c r="J2588" s="291"/>
      <c r="K2588" s="292" t="s">
        <v>1924</v>
      </c>
      <c r="L2588" s="293">
        <v>40927</v>
      </c>
      <c r="M2588" s="294" t="s">
        <v>1815</v>
      </c>
      <c r="N2588" s="295">
        <v>40954</v>
      </c>
      <c r="O2588" s="296">
        <f t="shared" si="598"/>
        <v>40954</v>
      </c>
      <c r="P2588" s="340" t="s">
        <v>1925</v>
      </c>
      <c r="Q2588" s="2976">
        <v>0</v>
      </c>
      <c r="R2588" s="286"/>
      <c r="S2588" s="1962"/>
      <c r="T2588" s="1914" t="s">
        <v>1617</v>
      </c>
      <c r="U2588" s="1895"/>
      <c r="V2588" s="2079">
        <f t="shared" si="590"/>
        <v>0</v>
      </c>
      <c r="W2588" s="78">
        <f t="shared" si="591"/>
        <v>0</v>
      </c>
      <c r="X2588" s="1878" t="str">
        <f t="shared" si="589"/>
        <v>5.- C Goodyear 1890920-OT_162084   033-0007995  Llanta Rechazada, no se facturo</v>
      </c>
      <c r="Z2588" s="19" t="str">
        <f t="shared" si="596"/>
        <v>ReencaucheReencauchadora RENOVA</v>
      </c>
    </row>
    <row r="2589" spans="2:26" outlineLevel="1">
      <c r="B2589" s="3275"/>
      <c r="E2589" s="66">
        <v>6</v>
      </c>
      <c r="F2589" s="67" t="s">
        <v>732</v>
      </c>
      <c r="G2589" s="290" t="s">
        <v>757</v>
      </c>
      <c r="H2589" s="289" t="s">
        <v>1750</v>
      </c>
      <c r="I2589" s="290"/>
      <c r="J2589" s="291"/>
      <c r="K2589" s="292" t="s">
        <v>1927</v>
      </c>
      <c r="L2589" s="293">
        <v>40927</v>
      </c>
      <c r="M2589" s="294" t="s">
        <v>1815</v>
      </c>
      <c r="N2589" s="295">
        <v>40954</v>
      </c>
      <c r="O2589" s="296">
        <f t="shared" si="598"/>
        <v>40954</v>
      </c>
      <c r="P2589" s="340" t="s">
        <v>1925</v>
      </c>
      <c r="Q2589" s="2976">
        <v>0</v>
      </c>
      <c r="R2589" s="286"/>
      <c r="S2589" s="1962"/>
      <c r="T2589" s="1914" t="s">
        <v>1617</v>
      </c>
      <c r="U2589" s="1895"/>
      <c r="V2589" s="2079">
        <f t="shared" si="590"/>
        <v>0</v>
      </c>
      <c r="W2589" s="78">
        <f t="shared" si="591"/>
        <v>0</v>
      </c>
      <c r="X2589" s="1878" t="str">
        <f t="shared" si="589"/>
        <v>6.- C Goodyear 0611201-OT_162085   033-0007995  Llanta Rechazada, no se facturo</v>
      </c>
      <c r="Z2589" s="19" t="str">
        <f t="shared" si="596"/>
        <v>ReencaucheReencauchadora RENOVA</v>
      </c>
    </row>
    <row r="2590" spans="2:26" outlineLevel="1">
      <c r="B2590" s="3275"/>
      <c r="E2590" s="66">
        <v>7</v>
      </c>
      <c r="F2590" s="67" t="s">
        <v>732</v>
      </c>
      <c r="G2590" s="290" t="s">
        <v>733</v>
      </c>
      <c r="H2590" s="289" t="s">
        <v>1911</v>
      </c>
      <c r="I2590" s="290"/>
      <c r="J2590" s="291"/>
      <c r="K2590" s="292" t="s">
        <v>1927</v>
      </c>
      <c r="L2590" s="293">
        <v>40927</v>
      </c>
      <c r="M2590" s="294" t="s">
        <v>1815</v>
      </c>
      <c r="N2590" s="295">
        <v>40954</v>
      </c>
      <c r="O2590" s="296">
        <f t="shared" si="598"/>
        <v>40954</v>
      </c>
      <c r="P2590" s="340" t="s">
        <v>1925</v>
      </c>
      <c r="Q2590" s="2976">
        <v>0</v>
      </c>
      <c r="R2590" s="286"/>
      <c r="S2590" s="1962"/>
      <c r="T2590" s="1914" t="s">
        <v>1617</v>
      </c>
      <c r="U2590" s="1895"/>
      <c r="V2590" s="2079">
        <f t="shared" si="590"/>
        <v>0</v>
      </c>
      <c r="W2590" s="78">
        <f t="shared" si="591"/>
        <v>0</v>
      </c>
      <c r="X2590" s="1878" t="str">
        <f t="shared" si="589"/>
        <v>7.- C Lima Caucho 1071107-OT_162085   033-0007995  Llanta Rechazada, no se facturo</v>
      </c>
      <c r="Z2590" s="19" t="str">
        <f t="shared" si="596"/>
        <v>ReencaucheReencauchadora RENOVA</v>
      </c>
    </row>
    <row r="2591" spans="2:26" outlineLevel="1">
      <c r="B2591" s="3275"/>
      <c r="C2591" s="2">
        <f t="shared" ref="C2591:C2607" si="599">1+C2592</f>
        <v>18</v>
      </c>
      <c r="D2591" s="3">
        <f t="shared" ref="D2591:D2607" si="600">1+D2592</f>
        <v>18</v>
      </c>
      <c r="E2591" s="66">
        <v>1</v>
      </c>
      <c r="F2591" s="67" t="s">
        <v>732</v>
      </c>
      <c r="G2591" s="68" t="s">
        <v>737</v>
      </c>
      <c r="H2591" s="69" t="s">
        <v>1180</v>
      </c>
      <c r="I2591" s="68" t="s">
        <v>726</v>
      </c>
      <c r="J2591" s="70" t="s">
        <v>760</v>
      </c>
      <c r="K2591" s="71" t="s">
        <v>1924</v>
      </c>
      <c r="L2591" s="72">
        <v>40927</v>
      </c>
      <c r="M2591" s="73" t="s">
        <v>729</v>
      </c>
      <c r="N2591" s="74">
        <v>40953</v>
      </c>
      <c r="O2591" s="75">
        <f t="shared" si="598"/>
        <v>40953</v>
      </c>
      <c r="P2591" s="2765" t="s">
        <v>1928</v>
      </c>
      <c r="Q2591" s="2954">
        <v>104.24</v>
      </c>
      <c r="R2591" s="76"/>
      <c r="S2591" s="1945" t="s">
        <v>731</v>
      </c>
      <c r="T2591" s="77"/>
      <c r="U2591" s="1893"/>
      <c r="V2591" s="2079">
        <f t="shared" si="590"/>
        <v>123.00319999999999</v>
      </c>
      <c r="W2591" s="78">
        <f t="shared" si="591"/>
        <v>0</v>
      </c>
      <c r="X2591" s="1878" t="str">
        <f t="shared" si="589"/>
        <v xml:space="preserve">1.- C Vikrant 03022010-OT_162084  Reencauche 031-0007682 </v>
      </c>
      <c r="Z2591" s="19" t="str">
        <f t="shared" si="596"/>
        <v>ReencaucheReencauchadora RENOVA</v>
      </c>
    </row>
    <row r="2592" spans="2:26" outlineLevel="1">
      <c r="B2592" s="3275"/>
      <c r="C2592" s="2">
        <f t="shared" si="599"/>
        <v>17</v>
      </c>
      <c r="D2592" s="3">
        <f t="shared" si="600"/>
        <v>17</v>
      </c>
      <c r="E2592" s="66">
        <v>2</v>
      </c>
      <c r="F2592" s="67" t="s">
        <v>732</v>
      </c>
      <c r="G2592" s="68" t="s">
        <v>737</v>
      </c>
      <c r="H2592" s="69" t="s">
        <v>1114</v>
      </c>
      <c r="I2592" s="68" t="s">
        <v>726</v>
      </c>
      <c r="J2592" s="70" t="s">
        <v>760</v>
      </c>
      <c r="K2592" s="71" t="s">
        <v>1924</v>
      </c>
      <c r="L2592" s="72">
        <v>40927</v>
      </c>
      <c r="M2592" s="73" t="s">
        <v>729</v>
      </c>
      <c r="N2592" s="74">
        <v>40953</v>
      </c>
      <c r="O2592" s="75">
        <f t="shared" si="598"/>
        <v>40953</v>
      </c>
      <c r="P2592" s="2765" t="s">
        <v>1929</v>
      </c>
      <c r="Q2592" s="2954">
        <v>104.24</v>
      </c>
      <c r="R2592" s="76"/>
      <c r="S2592" s="1945" t="s">
        <v>731</v>
      </c>
      <c r="T2592" s="77"/>
      <c r="U2592" s="1893"/>
      <c r="V2592" s="2079">
        <f t="shared" si="590"/>
        <v>123.00319999999999</v>
      </c>
      <c r="W2592" s="78">
        <f t="shared" si="591"/>
        <v>0</v>
      </c>
      <c r="X2592" s="1878" t="str">
        <f t="shared" si="589"/>
        <v xml:space="preserve">2.- C Vikrant 0070109-OT_162084  Reencauche 031-0007683 </v>
      </c>
      <c r="Z2592" s="19" t="str">
        <f t="shared" si="596"/>
        <v>ReencaucheReencauchadora RENOVA</v>
      </c>
    </row>
    <row r="2593" spans="1:26" outlineLevel="1">
      <c r="B2593" s="3275"/>
      <c r="C2593" s="2">
        <f t="shared" si="599"/>
        <v>16</v>
      </c>
      <c r="D2593" s="3">
        <f t="shared" si="600"/>
        <v>16</v>
      </c>
      <c r="E2593" s="66">
        <v>3</v>
      </c>
      <c r="F2593" s="67" t="s">
        <v>732</v>
      </c>
      <c r="G2593" s="68" t="s">
        <v>737</v>
      </c>
      <c r="H2593" s="69" t="s">
        <v>1584</v>
      </c>
      <c r="I2593" s="68" t="s">
        <v>726</v>
      </c>
      <c r="J2593" s="70" t="s">
        <v>760</v>
      </c>
      <c r="K2593" s="71" t="s">
        <v>1924</v>
      </c>
      <c r="L2593" s="72">
        <v>40927</v>
      </c>
      <c r="M2593" s="73" t="s">
        <v>729</v>
      </c>
      <c r="N2593" s="74">
        <v>40953</v>
      </c>
      <c r="O2593" s="75">
        <f t="shared" si="598"/>
        <v>40953</v>
      </c>
      <c r="P2593" s="2765" t="s">
        <v>1928</v>
      </c>
      <c r="Q2593" s="2954">
        <v>104.24</v>
      </c>
      <c r="R2593" s="76"/>
      <c r="S2593" s="1945" t="s">
        <v>731</v>
      </c>
      <c r="T2593" s="77"/>
      <c r="U2593" s="1893"/>
      <c r="V2593" s="2079">
        <f t="shared" si="590"/>
        <v>123.00319999999999</v>
      </c>
      <c r="W2593" s="78">
        <f t="shared" si="591"/>
        <v>0</v>
      </c>
      <c r="X2593" s="1878" t="str">
        <f t="shared" si="589"/>
        <v xml:space="preserve">3.- C Vikrant 0640809-OT_162084  Reencauche 031-0007682 </v>
      </c>
      <c r="Z2593" s="19" t="str">
        <f t="shared" si="596"/>
        <v>ReencaucheReencauchadora RENOVA</v>
      </c>
    </row>
    <row r="2594" spans="1:26" outlineLevel="1">
      <c r="B2594" s="3275"/>
      <c r="C2594" s="2">
        <f t="shared" si="599"/>
        <v>15</v>
      </c>
      <c r="D2594" s="3">
        <f t="shared" si="600"/>
        <v>15</v>
      </c>
      <c r="E2594" s="66">
        <v>4</v>
      </c>
      <c r="F2594" s="67" t="s">
        <v>732</v>
      </c>
      <c r="G2594" s="68" t="s">
        <v>757</v>
      </c>
      <c r="H2594" s="69" t="s">
        <v>1930</v>
      </c>
      <c r="I2594" s="68" t="s">
        <v>726</v>
      </c>
      <c r="J2594" s="70" t="s">
        <v>760</v>
      </c>
      <c r="K2594" s="71" t="s">
        <v>1924</v>
      </c>
      <c r="L2594" s="72">
        <v>40927</v>
      </c>
      <c r="M2594" s="73" t="s">
        <v>729</v>
      </c>
      <c r="N2594" s="74">
        <v>40953</v>
      </c>
      <c r="O2594" s="75">
        <f t="shared" si="598"/>
        <v>40953</v>
      </c>
      <c r="P2594" s="2765" t="s">
        <v>1928</v>
      </c>
      <c r="Q2594" s="2954">
        <v>104.24</v>
      </c>
      <c r="R2594" s="76"/>
      <c r="S2594" s="1945" t="s">
        <v>731</v>
      </c>
      <c r="T2594" s="77"/>
      <c r="U2594" s="1893"/>
      <c r="V2594" s="2079">
        <f t="shared" si="590"/>
        <v>123.00319999999999</v>
      </c>
      <c r="W2594" s="78">
        <f t="shared" si="591"/>
        <v>0</v>
      </c>
      <c r="X2594" s="1878" t="str">
        <f t="shared" ref="X2594:X2657" si="601">CONCATENATE(E2594,".- ",F2594," ",G2594," ",H2594,"-OT_",K2594," "," ",I2594," ",P2594," ",T2594)</f>
        <v xml:space="preserve">4.- C Goodyear 0110205-OT_162084  Reencauche 031-0007682 </v>
      </c>
      <c r="Z2594" s="19" t="str">
        <f t="shared" si="596"/>
        <v>ReencaucheReencauchadora RENOVA</v>
      </c>
    </row>
    <row r="2595" spans="1:26" outlineLevel="1">
      <c r="B2595" s="3275"/>
      <c r="C2595" s="2">
        <f t="shared" si="599"/>
        <v>14</v>
      </c>
      <c r="D2595" s="3">
        <f t="shared" si="600"/>
        <v>14</v>
      </c>
      <c r="E2595" s="66">
        <v>5</v>
      </c>
      <c r="F2595" s="67" t="s">
        <v>732</v>
      </c>
      <c r="G2595" s="68" t="s">
        <v>757</v>
      </c>
      <c r="H2595" s="69" t="s">
        <v>1205</v>
      </c>
      <c r="I2595" s="68" t="s">
        <v>726</v>
      </c>
      <c r="J2595" s="70" t="s">
        <v>760</v>
      </c>
      <c r="K2595" s="71" t="s">
        <v>1924</v>
      </c>
      <c r="L2595" s="72">
        <v>40927</v>
      </c>
      <c r="M2595" s="73" t="s">
        <v>729</v>
      </c>
      <c r="N2595" s="74">
        <v>40953</v>
      </c>
      <c r="O2595" s="75">
        <f t="shared" si="598"/>
        <v>40953</v>
      </c>
      <c r="P2595" s="2765" t="s">
        <v>1929</v>
      </c>
      <c r="Q2595" s="2954">
        <v>104.24</v>
      </c>
      <c r="R2595" s="76"/>
      <c r="S2595" s="1945" t="s">
        <v>731</v>
      </c>
      <c r="T2595" s="77"/>
      <c r="U2595" s="1893"/>
      <c r="V2595" s="2079">
        <f t="shared" ref="V2595:V2658" si="602">+Q2595*(1.18)</f>
        <v>123.00319999999999</v>
      </c>
      <c r="W2595" s="78">
        <f t="shared" ref="W2595:W2658" si="603">+R2595*(1.18)</f>
        <v>0</v>
      </c>
      <c r="X2595" s="1878" t="str">
        <f t="shared" si="601"/>
        <v xml:space="preserve">5.- C Goodyear 1120704-OT_162084  Reencauche 031-0007683 </v>
      </c>
      <c r="Z2595" s="19" t="str">
        <f t="shared" si="596"/>
        <v>ReencaucheReencauchadora RENOVA</v>
      </c>
    </row>
    <row r="2596" spans="1:26" outlineLevel="1">
      <c r="B2596" s="3275"/>
      <c r="C2596" s="2">
        <f t="shared" si="599"/>
        <v>13</v>
      </c>
      <c r="D2596" s="3">
        <f t="shared" si="600"/>
        <v>13</v>
      </c>
      <c r="E2596" s="66">
        <v>6</v>
      </c>
      <c r="F2596" s="67" t="s">
        <v>732</v>
      </c>
      <c r="G2596" s="174" t="s">
        <v>757</v>
      </c>
      <c r="H2596" s="175" t="s">
        <v>1037</v>
      </c>
      <c r="I2596" s="68" t="s">
        <v>726</v>
      </c>
      <c r="J2596" s="70" t="s">
        <v>760</v>
      </c>
      <c r="K2596" s="71" t="s">
        <v>1927</v>
      </c>
      <c r="L2596" s="72">
        <v>40927</v>
      </c>
      <c r="M2596" s="73" t="s">
        <v>729</v>
      </c>
      <c r="N2596" s="74">
        <v>40953</v>
      </c>
      <c r="O2596" s="75">
        <f t="shared" si="598"/>
        <v>40953</v>
      </c>
      <c r="P2596" s="2803" t="s">
        <v>1928</v>
      </c>
      <c r="Q2596" s="2954">
        <v>104.24</v>
      </c>
      <c r="R2596" s="76"/>
      <c r="S2596" s="1945" t="s">
        <v>731</v>
      </c>
      <c r="T2596" s="77"/>
      <c r="U2596" s="1893"/>
      <c r="V2596" s="2079">
        <f t="shared" si="602"/>
        <v>123.00319999999999</v>
      </c>
      <c r="W2596" s="78">
        <f t="shared" si="603"/>
        <v>0</v>
      </c>
      <c r="X2596" s="1878" t="str">
        <f t="shared" si="601"/>
        <v xml:space="preserve">6.- C Goodyear 1561004-OT_162085  Reencauche 031-0007682 </v>
      </c>
      <c r="Z2596" s="19" t="str">
        <f t="shared" si="596"/>
        <v>ReencaucheReencauchadora RENOVA</v>
      </c>
    </row>
    <row r="2597" spans="1:26" outlineLevel="1">
      <c r="B2597" s="3275"/>
      <c r="C2597" s="2">
        <f t="shared" si="599"/>
        <v>12</v>
      </c>
      <c r="D2597" s="3">
        <f t="shared" si="600"/>
        <v>12</v>
      </c>
      <c r="E2597" s="66">
        <v>7</v>
      </c>
      <c r="F2597" s="67" t="s">
        <v>732</v>
      </c>
      <c r="G2597" s="68" t="s">
        <v>733</v>
      </c>
      <c r="H2597" s="69" t="s">
        <v>1026</v>
      </c>
      <c r="I2597" s="68" t="s">
        <v>726</v>
      </c>
      <c r="J2597" s="70" t="s">
        <v>760</v>
      </c>
      <c r="K2597" s="71" t="s">
        <v>1927</v>
      </c>
      <c r="L2597" s="72">
        <v>40927</v>
      </c>
      <c r="M2597" s="73" t="s">
        <v>729</v>
      </c>
      <c r="N2597" s="74">
        <v>40953</v>
      </c>
      <c r="O2597" s="75">
        <f t="shared" si="598"/>
        <v>40953</v>
      </c>
      <c r="P2597" s="2765" t="s">
        <v>1929</v>
      </c>
      <c r="Q2597" s="2954">
        <v>104.24</v>
      </c>
      <c r="R2597" s="76"/>
      <c r="S2597" s="1945" t="s">
        <v>731</v>
      </c>
      <c r="T2597" s="77"/>
      <c r="U2597" s="1893"/>
      <c r="V2597" s="2079">
        <f t="shared" si="602"/>
        <v>123.00319999999999</v>
      </c>
      <c r="W2597" s="78">
        <f t="shared" si="603"/>
        <v>0</v>
      </c>
      <c r="X2597" s="1878" t="str">
        <f t="shared" si="601"/>
        <v xml:space="preserve">7.- C Lima Caucho 0250508-OT_162085  Reencauche 031-0007683 </v>
      </c>
      <c r="Z2597" s="19" t="str">
        <f t="shared" si="596"/>
        <v>ReencaucheReencauchadora RENOVA</v>
      </c>
    </row>
    <row r="2598" spans="1:26" outlineLevel="1">
      <c r="B2598" s="3275"/>
      <c r="C2598" s="2">
        <f t="shared" si="599"/>
        <v>11</v>
      </c>
      <c r="D2598" s="3">
        <f t="shared" si="600"/>
        <v>11</v>
      </c>
      <c r="E2598" s="66">
        <v>8</v>
      </c>
      <c r="F2598" s="67" t="s">
        <v>732</v>
      </c>
      <c r="G2598" s="68" t="s">
        <v>733</v>
      </c>
      <c r="H2598" s="69" t="s">
        <v>1651</v>
      </c>
      <c r="I2598" s="68" t="s">
        <v>726</v>
      </c>
      <c r="J2598" s="70" t="s">
        <v>760</v>
      </c>
      <c r="K2598" s="71" t="s">
        <v>1927</v>
      </c>
      <c r="L2598" s="72">
        <v>40927</v>
      </c>
      <c r="M2598" s="73" t="s">
        <v>729</v>
      </c>
      <c r="N2598" s="74">
        <v>40953</v>
      </c>
      <c r="O2598" s="75">
        <f t="shared" si="598"/>
        <v>40953</v>
      </c>
      <c r="P2598" s="2765" t="s">
        <v>1928</v>
      </c>
      <c r="Q2598" s="2954">
        <v>104.24</v>
      </c>
      <c r="R2598" s="76"/>
      <c r="S2598" s="1945" t="s">
        <v>731</v>
      </c>
      <c r="T2598" s="77"/>
      <c r="U2598" s="1893"/>
      <c r="V2598" s="2079">
        <f t="shared" si="602"/>
        <v>123.00319999999999</v>
      </c>
      <c r="W2598" s="78">
        <f t="shared" si="603"/>
        <v>0</v>
      </c>
      <c r="X2598" s="1878" t="str">
        <f t="shared" si="601"/>
        <v xml:space="preserve">8.- C Lima Caucho 1461207-OT_162085  Reencauche 031-0007682 </v>
      </c>
      <c r="Z2598" s="19" t="str">
        <f t="shared" si="596"/>
        <v>ReencaucheReencauchadora RENOVA</v>
      </c>
    </row>
    <row r="2599" spans="1:26" outlineLevel="1">
      <c r="B2599" s="3275"/>
      <c r="C2599" s="2">
        <f t="shared" si="599"/>
        <v>10</v>
      </c>
      <c r="D2599" s="3">
        <f t="shared" si="600"/>
        <v>10</v>
      </c>
      <c r="E2599" s="66">
        <v>9</v>
      </c>
      <c r="F2599" s="67" t="s">
        <v>732</v>
      </c>
      <c r="G2599" s="68" t="s">
        <v>733</v>
      </c>
      <c r="H2599" s="69" t="s">
        <v>1659</v>
      </c>
      <c r="I2599" s="68" t="s">
        <v>726</v>
      </c>
      <c r="J2599" s="70" t="s">
        <v>760</v>
      </c>
      <c r="K2599" s="71" t="s">
        <v>1927</v>
      </c>
      <c r="L2599" s="72">
        <v>40927</v>
      </c>
      <c r="M2599" s="73" t="s">
        <v>729</v>
      </c>
      <c r="N2599" s="74">
        <v>40953</v>
      </c>
      <c r="O2599" s="75">
        <f t="shared" si="598"/>
        <v>40953</v>
      </c>
      <c r="P2599" s="2765" t="s">
        <v>1923</v>
      </c>
      <c r="Q2599" s="2954">
        <v>104.24</v>
      </c>
      <c r="R2599" s="76"/>
      <c r="S2599" s="1945" t="s">
        <v>731</v>
      </c>
      <c r="T2599" s="77"/>
      <c r="U2599" s="1893"/>
      <c r="V2599" s="2079">
        <f t="shared" si="602"/>
        <v>123.00319999999999</v>
      </c>
      <c r="W2599" s="78">
        <f t="shared" si="603"/>
        <v>0</v>
      </c>
      <c r="X2599" s="1878" t="str">
        <f t="shared" si="601"/>
        <v xml:space="preserve">9.- C Lima Caucho 0330508-OT_162085  Reencauche 031-0007681 </v>
      </c>
      <c r="Z2599" s="19" t="str">
        <f t="shared" si="596"/>
        <v>ReencaucheReencauchadora RENOVA</v>
      </c>
    </row>
    <row r="2600" spans="1:26" outlineLevel="1">
      <c r="B2600" s="3275"/>
      <c r="C2600" s="2">
        <f t="shared" si="599"/>
        <v>9</v>
      </c>
      <c r="D2600" s="3">
        <f t="shared" si="600"/>
        <v>9</v>
      </c>
      <c r="E2600" s="66">
        <v>10</v>
      </c>
      <c r="F2600" s="67" t="s">
        <v>732</v>
      </c>
      <c r="G2600" s="68" t="s">
        <v>733</v>
      </c>
      <c r="H2600" s="69" t="s">
        <v>1614</v>
      </c>
      <c r="I2600" s="68" t="s">
        <v>726</v>
      </c>
      <c r="J2600" s="70" t="s">
        <v>760</v>
      </c>
      <c r="K2600" s="71" t="s">
        <v>1927</v>
      </c>
      <c r="L2600" s="72">
        <v>40927</v>
      </c>
      <c r="M2600" s="73" t="s">
        <v>729</v>
      </c>
      <c r="N2600" s="74">
        <v>40953</v>
      </c>
      <c r="O2600" s="75">
        <f t="shared" si="598"/>
        <v>40953</v>
      </c>
      <c r="P2600" s="2765" t="s">
        <v>1928</v>
      </c>
      <c r="Q2600" s="2954">
        <v>104.24</v>
      </c>
      <c r="R2600" s="76"/>
      <c r="S2600" s="1945" t="s">
        <v>731</v>
      </c>
      <c r="T2600" s="77"/>
      <c r="U2600" s="1893"/>
      <c r="V2600" s="2079">
        <f t="shared" si="602"/>
        <v>123.00319999999999</v>
      </c>
      <c r="W2600" s="78">
        <f t="shared" si="603"/>
        <v>0</v>
      </c>
      <c r="X2600" s="1878" t="str">
        <f t="shared" si="601"/>
        <v xml:space="preserve">10.- C Lima Caucho 0510807-OT_162085  Reencauche 031-0007682 </v>
      </c>
      <c r="Z2600" s="19" t="str">
        <f t="shared" si="596"/>
        <v>ReencaucheReencauchadora RENOVA</v>
      </c>
    </row>
    <row r="2601" spans="1:26" outlineLevel="1">
      <c r="B2601" s="3275"/>
      <c r="C2601" s="2">
        <f t="shared" si="599"/>
        <v>8</v>
      </c>
      <c r="D2601" s="3">
        <f t="shared" si="600"/>
        <v>8</v>
      </c>
      <c r="E2601" s="66">
        <v>11</v>
      </c>
      <c r="F2601" s="67" t="s">
        <v>732</v>
      </c>
      <c r="G2601" s="68" t="s">
        <v>733</v>
      </c>
      <c r="H2601" s="69" t="s">
        <v>1371</v>
      </c>
      <c r="I2601" s="68" t="s">
        <v>726</v>
      </c>
      <c r="J2601" s="70" t="s">
        <v>760</v>
      </c>
      <c r="K2601" s="71" t="s">
        <v>1927</v>
      </c>
      <c r="L2601" s="72">
        <v>40927</v>
      </c>
      <c r="M2601" s="73" t="s">
        <v>729</v>
      </c>
      <c r="N2601" s="74">
        <v>40953</v>
      </c>
      <c r="O2601" s="75">
        <f t="shared" si="598"/>
        <v>40953</v>
      </c>
      <c r="P2601" s="2765" t="s">
        <v>1928</v>
      </c>
      <c r="Q2601" s="2954">
        <v>104.24</v>
      </c>
      <c r="R2601" s="76"/>
      <c r="S2601" s="1945" t="s">
        <v>731</v>
      </c>
      <c r="T2601" s="77"/>
      <c r="U2601" s="1893"/>
      <c r="V2601" s="2079">
        <f t="shared" si="602"/>
        <v>123.00319999999999</v>
      </c>
      <c r="W2601" s="78">
        <f t="shared" si="603"/>
        <v>0</v>
      </c>
      <c r="X2601" s="1878" t="str">
        <f t="shared" si="601"/>
        <v xml:space="preserve">11.- C Lima Caucho 0740910-OT_162085  Reencauche 031-0007682 </v>
      </c>
      <c r="Z2601" s="19" t="str">
        <f t="shared" si="596"/>
        <v>ReencaucheReencauchadora RENOVA</v>
      </c>
    </row>
    <row r="2602" spans="1:26" outlineLevel="1">
      <c r="B2602" s="3275"/>
      <c r="C2602" s="2">
        <f t="shared" si="599"/>
        <v>7</v>
      </c>
      <c r="D2602" s="3">
        <f t="shared" si="600"/>
        <v>7</v>
      </c>
      <c r="E2602" s="66">
        <v>12</v>
      </c>
      <c r="F2602" s="67" t="s">
        <v>732</v>
      </c>
      <c r="G2602" s="68" t="s">
        <v>733</v>
      </c>
      <c r="H2602" s="69" t="s">
        <v>1819</v>
      </c>
      <c r="I2602" s="68" t="s">
        <v>726</v>
      </c>
      <c r="J2602" s="70" t="s">
        <v>760</v>
      </c>
      <c r="K2602" s="71" t="s">
        <v>1927</v>
      </c>
      <c r="L2602" s="72">
        <v>40927</v>
      </c>
      <c r="M2602" s="73" t="s">
        <v>729</v>
      </c>
      <c r="N2602" s="74">
        <v>40953</v>
      </c>
      <c r="O2602" s="75">
        <f t="shared" si="598"/>
        <v>40953</v>
      </c>
      <c r="P2602" s="2765" t="s">
        <v>1928</v>
      </c>
      <c r="Q2602" s="2954">
        <v>104.24</v>
      </c>
      <c r="R2602" s="76"/>
      <c r="S2602" s="1945" t="s">
        <v>731</v>
      </c>
      <c r="T2602" s="77"/>
      <c r="U2602" s="1893"/>
      <c r="V2602" s="2079">
        <f t="shared" si="602"/>
        <v>123.00319999999999</v>
      </c>
      <c r="W2602" s="78">
        <f t="shared" si="603"/>
        <v>0</v>
      </c>
      <c r="X2602" s="1878" t="str">
        <f t="shared" si="601"/>
        <v xml:space="preserve">12.- C Lima Caucho 1301207-OT_162085  Reencauche 031-0007682 </v>
      </c>
      <c r="Z2602" s="19" t="str">
        <f t="shared" si="596"/>
        <v>ReencaucheReencauchadora RENOVA</v>
      </c>
    </row>
    <row r="2603" spans="1:26" outlineLevel="1">
      <c r="B2603" s="3275"/>
      <c r="C2603" s="2">
        <f t="shared" si="599"/>
        <v>6</v>
      </c>
      <c r="D2603" s="3">
        <f t="shared" si="600"/>
        <v>6</v>
      </c>
      <c r="E2603" s="66">
        <v>13</v>
      </c>
      <c r="F2603" s="67" t="s">
        <v>732</v>
      </c>
      <c r="G2603" s="68" t="s">
        <v>733</v>
      </c>
      <c r="H2603" s="69" t="s">
        <v>1662</v>
      </c>
      <c r="I2603" s="68" t="s">
        <v>726</v>
      </c>
      <c r="J2603" s="70" t="s">
        <v>760</v>
      </c>
      <c r="K2603" s="71" t="s">
        <v>1927</v>
      </c>
      <c r="L2603" s="72">
        <v>40927</v>
      </c>
      <c r="M2603" s="73" t="s">
        <v>729</v>
      </c>
      <c r="N2603" s="74">
        <v>40953</v>
      </c>
      <c r="O2603" s="75">
        <f t="shared" si="598"/>
        <v>40953</v>
      </c>
      <c r="P2603" s="2765" t="s">
        <v>1923</v>
      </c>
      <c r="Q2603" s="2954">
        <v>104.24</v>
      </c>
      <c r="R2603" s="76"/>
      <c r="S2603" s="1945" t="s">
        <v>731</v>
      </c>
      <c r="T2603" s="77"/>
      <c r="U2603" s="1893"/>
      <c r="V2603" s="2079">
        <f t="shared" si="602"/>
        <v>123.00319999999999</v>
      </c>
      <c r="W2603" s="78">
        <f t="shared" si="603"/>
        <v>0</v>
      </c>
      <c r="X2603" s="1878" t="str">
        <f t="shared" si="601"/>
        <v xml:space="preserve">13.- C Lima Caucho 0170108-OT_162085  Reencauche 031-0007681 </v>
      </c>
      <c r="Z2603" s="19" t="str">
        <f t="shared" si="596"/>
        <v>ReencaucheReencauchadora RENOVA</v>
      </c>
    </row>
    <row r="2604" spans="1:26" outlineLevel="1">
      <c r="B2604" s="3275"/>
      <c r="C2604" s="2">
        <f t="shared" si="599"/>
        <v>5</v>
      </c>
      <c r="D2604" s="3">
        <f t="shared" si="600"/>
        <v>5</v>
      </c>
      <c r="E2604" s="66">
        <v>14</v>
      </c>
      <c r="F2604" s="67" t="s">
        <v>732</v>
      </c>
      <c r="G2604" s="68" t="s">
        <v>733</v>
      </c>
      <c r="H2604" s="69" t="s">
        <v>1523</v>
      </c>
      <c r="I2604" s="68" t="s">
        <v>726</v>
      </c>
      <c r="J2604" s="70" t="s">
        <v>760</v>
      </c>
      <c r="K2604" s="71" t="s">
        <v>1931</v>
      </c>
      <c r="L2604" s="72">
        <v>40927</v>
      </c>
      <c r="M2604" s="73" t="s">
        <v>729</v>
      </c>
      <c r="N2604" s="74">
        <v>40953</v>
      </c>
      <c r="O2604" s="75">
        <f t="shared" si="598"/>
        <v>40953</v>
      </c>
      <c r="P2604" s="2765" t="s">
        <v>1929</v>
      </c>
      <c r="Q2604" s="2954">
        <v>104.24</v>
      </c>
      <c r="R2604" s="76"/>
      <c r="S2604" s="1945" t="s">
        <v>731</v>
      </c>
      <c r="T2604" s="77"/>
      <c r="U2604" s="1893"/>
      <c r="V2604" s="2079">
        <f t="shared" si="602"/>
        <v>123.00319999999999</v>
      </c>
      <c r="W2604" s="78">
        <f t="shared" si="603"/>
        <v>0</v>
      </c>
      <c r="X2604" s="1878" t="str">
        <f t="shared" si="601"/>
        <v xml:space="preserve">14.- C Lima Caucho 0550807-OT_162086  Reencauche 031-0007683 </v>
      </c>
      <c r="Z2604" s="19" t="str">
        <f t="shared" si="596"/>
        <v>ReencaucheReencauchadora RENOVA</v>
      </c>
    </row>
    <row r="2605" spans="1:26" s="366" customFormat="1" outlineLevel="1">
      <c r="A2605"/>
      <c r="B2605" s="3275"/>
      <c r="C2605" s="2">
        <f t="shared" si="599"/>
        <v>4</v>
      </c>
      <c r="D2605" s="3">
        <f t="shared" si="600"/>
        <v>4</v>
      </c>
      <c r="E2605" s="66">
        <v>15</v>
      </c>
      <c r="F2605" s="67" t="s">
        <v>732</v>
      </c>
      <c r="G2605" s="68" t="s">
        <v>733</v>
      </c>
      <c r="H2605" s="69" t="s">
        <v>1428</v>
      </c>
      <c r="I2605" s="68" t="s">
        <v>726</v>
      </c>
      <c r="J2605" s="70" t="s">
        <v>760</v>
      </c>
      <c r="K2605" s="71" t="s">
        <v>1931</v>
      </c>
      <c r="L2605" s="72">
        <v>40927</v>
      </c>
      <c r="M2605" s="73" t="s">
        <v>729</v>
      </c>
      <c r="N2605" s="74">
        <v>40953</v>
      </c>
      <c r="O2605" s="75">
        <f t="shared" si="598"/>
        <v>40953</v>
      </c>
      <c r="P2605" s="2765" t="s">
        <v>1929</v>
      </c>
      <c r="Q2605" s="2954">
        <v>104.24</v>
      </c>
      <c r="R2605" s="76"/>
      <c r="S2605" s="1945" t="s">
        <v>731</v>
      </c>
      <c r="T2605" s="77"/>
      <c r="U2605" s="1893"/>
      <c r="V2605" s="2079">
        <f t="shared" si="602"/>
        <v>123.00319999999999</v>
      </c>
      <c r="W2605" s="78">
        <f t="shared" si="603"/>
        <v>0</v>
      </c>
      <c r="X2605" s="1878" t="str">
        <f t="shared" si="601"/>
        <v xml:space="preserve">15.- C Lima Caucho 0100108-OT_162086  Reencauche 031-0007683 </v>
      </c>
      <c r="Y2605" s="16"/>
      <c r="Z2605" s="369" t="str">
        <f t="shared" si="596"/>
        <v>ReencaucheReencauchadora RENOVA</v>
      </c>
    </row>
    <row r="2606" spans="1:26" s="366" customFormat="1" ht="15.75" thickBot="1">
      <c r="A2606"/>
      <c r="B2606" s="3275"/>
      <c r="C2606" s="2">
        <f t="shared" si="599"/>
        <v>3</v>
      </c>
      <c r="D2606" s="3">
        <f t="shared" si="600"/>
        <v>3</v>
      </c>
      <c r="E2606" s="66">
        <v>16</v>
      </c>
      <c r="F2606" s="67" t="s">
        <v>732</v>
      </c>
      <c r="G2606" s="68" t="s">
        <v>733</v>
      </c>
      <c r="H2606" s="69" t="s">
        <v>1355</v>
      </c>
      <c r="I2606" s="68" t="s">
        <v>726</v>
      </c>
      <c r="J2606" s="70" t="s">
        <v>760</v>
      </c>
      <c r="K2606" s="71" t="s">
        <v>1931</v>
      </c>
      <c r="L2606" s="72">
        <v>40927</v>
      </c>
      <c r="M2606" s="73" t="s">
        <v>729</v>
      </c>
      <c r="N2606" s="74">
        <v>40953</v>
      </c>
      <c r="O2606" s="75">
        <f t="shared" si="598"/>
        <v>40953</v>
      </c>
      <c r="P2606" s="2765" t="s">
        <v>1929</v>
      </c>
      <c r="Q2606" s="2954">
        <v>104.24</v>
      </c>
      <c r="R2606" s="76"/>
      <c r="S2606" s="1945" t="s">
        <v>731</v>
      </c>
      <c r="T2606" s="77"/>
      <c r="U2606" s="1893"/>
      <c r="V2606" s="2079">
        <f t="shared" si="602"/>
        <v>123.00319999999999</v>
      </c>
      <c r="W2606" s="78">
        <f t="shared" si="603"/>
        <v>0</v>
      </c>
      <c r="X2606" s="1878" t="str">
        <f t="shared" si="601"/>
        <v xml:space="preserve">16.- C Lima Caucho 0390608-OT_162086  Reencauche 031-0007683 </v>
      </c>
      <c r="Y2606" s="16"/>
      <c r="Z2606" s="369"/>
    </row>
    <row r="2607" spans="1:26" s="383" customFormat="1">
      <c r="A2607"/>
      <c r="B2607" s="3275"/>
      <c r="C2607" s="2">
        <f t="shared" si="599"/>
        <v>2</v>
      </c>
      <c r="D2607" s="3">
        <f t="shared" si="600"/>
        <v>2</v>
      </c>
      <c r="E2607" s="66">
        <v>17</v>
      </c>
      <c r="F2607" s="67" t="s">
        <v>732</v>
      </c>
      <c r="G2607" s="68" t="s">
        <v>733</v>
      </c>
      <c r="H2607" s="69" t="s">
        <v>1132</v>
      </c>
      <c r="I2607" s="68" t="s">
        <v>726</v>
      </c>
      <c r="J2607" s="70" t="s">
        <v>760</v>
      </c>
      <c r="K2607" s="71" t="s">
        <v>1931</v>
      </c>
      <c r="L2607" s="72">
        <v>40927</v>
      </c>
      <c r="M2607" s="73" t="s">
        <v>729</v>
      </c>
      <c r="N2607" s="74">
        <v>40953</v>
      </c>
      <c r="O2607" s="75">
        <f t="shared" si="598"/>
        <v>40953</v>
      </c>
      <c r="P2607" s="2765" t="s">
        <v>1929</v>
      </c>
      <c r="Q2607" s="2954">
        <v>104.24</v>
      </c>
      <c r="R2607" s="76"/>
      <c r="S2607" s="1945" t="s">
        <v>731</v>
      </c>
      <c r="T2607" s="77"/>
      <c r="U2607" s="1893"/>
      <c r="V2607" s="2079">
        <f t="shared" si="602"/>
        <v>123.00319999999999</v>
      </c>
      <c r="W2607" s="78">
        <f t="shared" si="603"/>
        <v>0</v>
      </c>
      <c r="X2607" s="1883" t="str">
        <f t="shared" si="601"/>
        <v xml:space="preserve">17.- C Lima Caucho 0620808-OT_162086  Reencauche 031-0007683 </v>
      </c>
      <c r="Y2607" s="381"/>
      <c r="Z2607" s="382" t="str">
        <f>CONCATENATE(I2610,J2610)</f>
        <v/>
      </c>
    </row>
    <row r="2608" spans="1:26" s="366" customFormat="1" ht="15.75" thickBot="1">
      <c r="B2608" s="3276"/>
      <c r="C2608" s="367">
        <v>1</v>
      </c>
      <c r="D2608" s="368">
        <v>1</v>
      </c>
      <c r="E2608" s="66">
        <v>18</v>
      </c>
      <c r="F2608" s="67" t="s">
        <v>732</v>
      </c>
      <c r="G2608" s="68" t="s">
        <v>733</v>
      </c>
      <c r="H2608" s="69" t="s">
        <v>1685</v>
      </c>
      <c r="I2608" s="68" t="s">
        <v>726</v>
      </c>
      <c r="J2608" s="70" t="s">
        <v>760</v>
      </c>
      <c r="K2608" s="71" t="s">
        <v>1931</v>
      </c>
      <c r="L2608" s="72">
        <v>40927</v>
      </c>
      <c r="M2608" s="73" t="s">
        <v>729</v>
      </c>
      <c r="N2608" s="74">
        <v>40953</v>
      </c>
      <c r="O2608" s="75">
        <f t="shared" si="598"/>
        <v>40953</v>
      </c>
      <c r="P2608" s="2776" t="s">
        <v>1929</v>
      </c>
      <c r="Q2608" s="2954">
        <v>104.24</v>
      </c>
      <c r="R2608" s="76"/>
      <c r="S2608" s="1945" t="s">
        <v>731</v>
      </c>
      <c r="T2608" s="215"/>
      <c r="U2608" s="1893"/>
      <c r="V2608" s="2079">
        <f t="shared" si="602"/>
        <v>123.00319999999999</v>
      </c>
      <c r="W2608" s="78">
        <f t="shared" si="603"/>
        <v>0</v>
      </c>
      <c r="X2608" s="1878" t="str">
        <f t="shared" si="601"/>
        <v xml:space="preserve">18.- C Lima Caucho 0140108-OT_162086  Reencauche 031-0007683 </v>
      </c>
      <c r="Y2608" s="16"/>
      <c r="Z2608" s="369"/>
    </row>
    <row r="2609" spans="1:26" s="366" customFormat="1" ht="15.75" thickBot="1">
      <c r="B2609" s="3310">
        <v>40909</v>
      </c>
      <c r="C2609" s="3310"/>
      <c r="D2609" s="283">
        <f>+D2610</f>
        <v>0</v>
      </c>
      <c r="E2609" s="298"/>
      <c r="F2609" s="67"/>
      <c r="G2609" s="68"/>
      <c r="H2609" s="69"/>
      <c r="I2609" s="68"/>
      <c r="J2609" s="70"/>
      <c r="K2609" s="71"/>
      <c r="L2609" s="72"/>
      <c r="M2609" s="73"/>
      <c r="N2609" s="74"/>
      <c r="O2609" s="75"/>
      <c r="P2609" s="2765"/>
      <c r="Q2609" s="2954"/>
      <c r="R2609" s="76"/>
      <c r="S2609" s="1945"/>
      <c r="T2609" s="215"/>
      <c r="U2609" s="1893"/>
      <c r="V2609" s="2079">
        <f t="shared" si="602"/>
        <v>0</v>
      </c>
      <c r="W2609" s="78">
        <f t="shared" si="603"/>
        <v>0</v>
      </c>
      <c r="X2609" s="1878" t="str">
        <f t="shared" si="601"/>
        <v xml:space="preserve">.-   -OT_    </v>
      </c>
      <c r="Y2609" s="16"/>
      <c r="Z2609" s="369"/>
    </row>
    <row r="2610" spans="1:26" ht="14.25" customHeight="1" outlineLevel="1">
      <c r="A2610" s="3314" t="s">
        <v>1932</v>
      </c>
      <c r="B2610" s="3307"/>
      <c r="C2610" s="3314"/>
      <c r="D2610" s="3315"/>
      <c r="E2610" s="370">
        <f>+D2612+D2630+D2653+D2670+D2694+D2742+D2760+D2771+D2815</f>
        <v>196</v>
      </c>
      <c r="F2610" s="2052"/>
      <c r="G2610" s="371"/>
      <c r="H2610" s="372"/>
      <c r="I2610" s="371"/>
      <c r="J2610" s="373"/>
      <c r="K2610" s="374"/>
      <c r="L2610" s="375"/>
      <c r="M2610" s="376"/>
      <c r="N2610" s="377"/>
      <c r="O2610" s="378">
        <f>+N2613</f>
        <v>40879</v>
      </c>
      <c r="P2610" s="2804"/>
      <c r="Q2610" s="2981"/>
      <c r="R2610" s="379"/>
      <c r="S2610" s="1968"/>
      <c r="T2610" s="380"/>
      <c r="U2610" s="1892"/>
      <c r="V2610" s="2079">
        <f t="shared" si="602"/>
        <v>0</v>
      </c>
      <c r="W2610" s="78">
        <f t="shared" si="603"/>
        <v>0</v>
      </c>
      <c r="X2610" s="1878" t="str">
        <f t="shared" si="601"/>
        <v xml:space="preserve">196.-   -OT_    </v>
      </c>
      <c r="Z2610" s="19" t="str">
        <f t="shared" ref="Z2610:Z2625" si="604">CONCATENATE(I2613,J2613)</f>
        <v>ReencaucheReencauchadora RENOVA</v>
      </c>
    </row>
    <row r="2611" spans="1:26" outlineLevel="1">
      <c r="A2611" s="384"/>
      <c r="B2611" s="3267">
        <v>40878</v>
      </c>
      <c r="C2611" s="3267"/>
      <c r="D2611" s="385">
        <v>0</v>
      </c>
      <c r="E2611" s="386"/>
      <c r="F2611" s="2053"/>
      <c r="G2611" s="68"/>
      <c r="H2611" s="69"/>
      <c r="I2611" s="68"/>
      <c r="J2611" s="70"/>
      <c r="K2611" s="71"/>
      <c r="L2611" s="72"/>
      <c r="M2611" s="73"/>
      <c r="N2611" s="74"/>
      <c r="O2611" s="75"/>
      <c r="P2611" s="2765"/>
      <c r="Q2611" s="2954"/>
      <c r="R2611" s="76"/>
      <c r="S2611" s="1945"/>
      <c r="T2611" s="215"/>
      <c r="U2611" s="1893"/>
      <c r="V2611" s="2079">
        <f t="shared" si="602"/>
        <v>0</v>
      </c>
      <c r="W2611" s="78">
        <f t="shared" si="603"/>
        <v>0</v>
      </c>
      <c r="X2611" s="1878" t="str">
        <f t="shared" si="601"/>
        <v xml:space="preserve">.-   -OT_    </v>
      </c>
      <c r="Z2611" s="19" t="str">
        <f t="shared" si="604"/>
        <v>ReencaucheReencauchadora RENOVA</v>
      </c>
    </row>
    <row r="2612" spans="1:26" ht="15.75" outlineLevel="1" thickBot="1">
      <c r="A2612" s="384"/>
      <c r="B2612" s="3267">
        <f>+B2613</f>
        <v>40848</v>
      </c>
      <c r="C2612" s="3267"/>
      <c r="D2612" s="387">
        <f>+D2613</f>
        <v>15</v>
      </c>
      <c r="E2612" s="386"/>
      <c r="F2612" s="2053"/>
      <c r="G2612" s="68"/>
      <c r="H2612" s="69"/>
      <c r="I2612" s="68"/>
      <c r="J2612" s="70"/>
      <c r="K2612" s="71"/>
      <c r="L2612" s="72"/>
      <c r="M2612" s="73"/>
      <c r="N2612" s="74"/>
      <c r="O2612" s="75"/>
      <c r="P2612" s="2765"/>
      <c r="Q2612" s="2954"/>
      <c r="R2612" s="76"/>
      <c r="S2612" s="1945"/>
      <c r="T2612" s="215"/>
      <c r="U2612" s="1893"/>
      <c r="V2612" s="2079">
        <f t="shared" si="602"/>
        <v>0</v>
      </c>
      <c r="W2612" s="78">
        <f t="shared" si="603"/>
        <v>0</v>
      </c>
      <c r="X2612" s="1878" t="str">
        <f t="shared" si="601"/>
        <v xml:space="preserve">.-   -OT_    </v>
      </c>
      <c r="Z2612" s="19" t="str">
        <f t="shared" si="604"/>
        <v>ReencaucheReencauchadora RENOVA</v>
      </c>
    </row>
    <row r="2613" spans="1:26" outlineLevel="1">
      <c r="B2613" s="3261">
        <v>40848</v>
      </c>
      <c r="C2613" s="2">
        <f t="shared" ref="C2613:C2626" si="605">1+C2614</f>
        <v>196</v>
      </c>
      <c r="D2613" s="306">
        <v>15</v>
      </c>
      <c r="E2613" s="66">
        <v>1</v>
      </c>
      <c r="F2613" s="67" t="s">
        <v>732</v>
      </c>
      <c r="G2613" s="68" t="s">
        <v>733</v>
      </c>
      <c r="H2613" s="69" t="s">
        <v>1789</v>
      </c>
      <c r="I2613" s="68" t="s">
        <v>726</v>
      </c>
      <c r="J2613" s="70" t="s">
        <v>760</v>
      </c>
      <c r="K2613" s="71" t="s">
        <v>1933</v>
      </c>
      <c r="L2613" s="72">
        <v>40868</v>
      </c>
      <c r="M2613" s="73" t="s">
        <v>729</v>
      </c>
      <c r="N2613" s="74">
        <v>40879</v>
      </c>
      <c r="O2613" s="75">
        <f t="shared" ref="O2613:O2627" si="606">+N2613</f>
        <v>40879</v>
      </c>
      <c r="P2613" s="2799" t="s">
        <v>1934</v>
      </c>
      <c r="Q2613" s="2954">
        <v>104.24</v>
      </c>
      <c r="R2613" s="76"/>
      <c r="S2613" s="1945" t="s">
        <v>731</v>
      </c>
      <c r="T2613" s="77"/>
      <c r="U2613" s="1893"/>
      <c r="V2613" s="2079">
        <f t="shared" si="602"/>
        <v>123.00319999999999</v>
      </c>
      <c r="W2613" s="78">
        <f t="shared" si="603"/>
        <v>0</v>
      </c>
      <c r="X2613" s="1878" t="str">
        <f t="shared" si="601"/>
        <v xml:space="preserve">1.- C Lima Caucho 1141210-OT_159829  Reencauche 033-0005907 </v>
      </c>
      <c r="Z2613" s="19" t="str">
        <f t="shared" si="604"/>
        <v>ReencaucheReencauchadora RENOVA</v>
      </c>
    </row>
    <row r="2614" spans="1:26" outlineLevel="1">
      <c r="B2614" s="3262"/>
      <c r="C2614" s="2">
        <f t="shared" si="605"/>
        <v>195</v>
      </c>
      <c r="D2614" s="3">
        <v>14</v>
      </c>
      <c r="E2614" s="66">
        <v>2</v>
      </c>
      <c r="F2614" s="67" t="s">
        <v>732</v>
      </c>
      <c r="G2614" s="68" t="s">
        <v>733</v>
      </c>
      <c r="H2614" s="69" t="s">
        <v>1276</v>
      </c>
      <c r="I2614" s="68" t="s">
        <v>726</v>
      </c>
      <c r="J2614" s="70" t="s">
        <v>760</v>
      </c>
      <c r="K2614" s="71" t="s">
        <v>1933</v>
      </c>
      <c r="L2614" s="72">
        <v>40868</v>
      </c>
      <c r="M2614" s="73" t="s">
        <v>729</v>
      </c>
      <c r="N2614" s="74">
        <v>40879</v>
      </c>
      <c r="O2614" s="75">
        <f t="shared" si="606"/>
        <v>40879</v>
      </c>
      <c r="P2614" s="2799" t="s">
        <v>1934</v>
      </c>
      <c r="Q2614" s="2954">
        <v>104.24</v>
      </c>
      <c r="R2614" s="76"/>
      <c r="S2614" s="1945" t="s">
        <v>731</v>
      </c>
      <c r="T2614" s="77"/>
      <c r="U2614" s="1893"/>
      <c r="V2614" s="2079">
        <f t="shared" si="602"/>
        <v>123.00319999999999</v>
      </c>
      <c r="W2614" s="78">
        <f t="shared" si="603"/>
        <v>0</v>
      </c>
      <c r="X2614" s="1878" t="str">
        <f t="shared" si="601"/>
        <v xml:space="preserve">2.- C Lima Caucho 0070107-OT_159829  Reencauche 033-0005907 </v>
      </c>
      <c r="Z2614" s="19" t="str">
        <f t="shared" si="604"/>
        <v>ReencaucheReencauchadora RENOVA</v>
      </c>
    </row>
    <row r="2615" spans="1:26" outlineLevel="1">
      <c r="B2615" s="3262"/>
      <c r="C2615" s="2">
        <f t="shared" si="605"/>
        <v>194</v>
      </c>
      <c r="D2615" s="3">
        <v>13</v>
      </c>
      <c r="E2615" s="66">
        <v>3</v>
      </c>
      <c r="F2615" s="67" t="s">
        <v>732</v>
      </c>
      <c r="G2615" s="68" t="s">
        <v>733</v>
      </c>
      <c r="H2615" s="69"/>
      <c r="I2615" s="68" t="s">
        <v>726</v>
      </c>
      <c r="J2615" s="70" t="s">
        <v>760</v>
      </c>
      <c r="K2615" s="71" t="s">
        <v>1933</v>
      </c>
      <c r="L2615" s="72">
        <v>40868</v>
      </c>
      <c r="M2615" s="73" t="s">
        <v>729</v>
      </c>
      <c r="N2615" s="74">
        <v>40879</v>
      </c>
      <c r="O2615" s="75">
        <f t="shared" si="606"/>
        <v>40879</v>
      </c>
      <c r="P2615" s="2799" t="s">
        <v>1934</v>
      </c>
      <c r="Q2615" s="2954">
        <v>104.24</v>
      </c>
      <c r="R2615" s="76"/>
      <c r="S2615" s="1945" t="s">
        <v>731</v>
      </c>
      <c r="T2615" s="77"/>
      <c r="U2615" s="1893"/>
      <c r="V2615" s="2079">
        <f t="shared" si="602"/>
        <v>123.00319999999999</v>
      </c>
      <c r="W2615" s="78">
        <f t="shared" si="603"/>
        <v>0</v>
      </c>
      <c r="X2615" s="1878" t="str">
        <f t="shared" si="601"/>
        <v xml:space="preserve">3.- C Lima Caucho -OT_159829  Reencauche 033-0005907 </v>
      </c>
      <c r="Z2615" s="19" t="str">
        <f t="shared" si="604"/>
        <v>ReencaucheReencauchadora RENOVA</v>
      </c>
    </row>
    <row r="2616" spans="1:26" outlineLevel="1">
      <c r="B2616" s="3262"/>
      <c r="C2616" s="2">
        <f t="shared" si="605"/>
        <v>193</v>
      </c>
      <c r="D2616" s="3">
        <v>12</v>
      </c>
      <c r="E2616" s="66">
        <v>4</v>
      </c>
      <c r="F2616" s="67" t="s">
        <v>732</v>
      </c>
      <c r="G2616" s="68" t="s">
        <v>733</v>
      </c>
      <c r="H2616" s="69" t="s">
        <v>1310</v>
      </c>
      <c r="I2616" s="68" t="s">
        <v>726</v>
      </c>
      <c r="J2616" s="70" t="s">
        <v>760</v>
      </c>
      <c r="K2616" s="71" t="s">
        <v>1933</v>
      </c>
      <c r="L2616" s="72">
        <v>40868</v>
      </c>
      <c r="M2616" s="73" t="s">
        <v>729</v>
      </c>
      <c r="N2616" s="74">
        <v>40879</v>
      </c>
      <c r="O2616" s="75">
        <f t="shared" si="606"/>
        <v>40879</v>
      </c>
      <c r="P2616" s="2799" t="s">
        <v>1934</v>
      </c>
      <c r="Q2616" s="2954">
        <v>104.24</v>
      </c>
      <c r="R2616" s="76"/>
      <c r="S2616" s="1945" t="s">
        <v>731</v>
      </c>
      <c r="T2616" s="77"/>
      <c r="U2616" s="1893"/>
      <c r="V2616" s="2079">
        <f t="shared" si="602"/>
        <v>123.00319999999999</v>
      </c>
      <c r="W2616" s="78">
        <f t="shared" si="603"/>
        <v>0</v>
      </c>
      <c r="X2616" s="1878" t="str">
        <f t="shared" si="601"/>
        <v xml:space="preserve">4.- C Lima Caucho 0871010-OT_159829  Reencauche 033-0005907 </v>
      </c>
      <c r="Z2616" s="19" t="str">
        <f t="shared" si="604"/>
        <v>ReencaucheReencauchadora RENOVA</v>
      </c>
    </row>
    <row r="2617" spans="1:26" outlineLevel="1">
      <c r="B2617" s="3262"/>
      <c r="C2617" s="2">
        <f t="shared" si="605"/>
        <v>192</v>
      </c>
      <c r="D2617" s="3">
        <v>11</v>
      </c>
      <c r="E2617" s="66">
        <v>5</v>
      </c>
      <c r="F2617" s="67" t="s">
        <v>732</v>
      </c>
      <c r="G2617" s="68" t="s">
        <v>733</v>
      </c>
      <c r="H2617" s="69" t="s">
        <v>1661</v>
      </c>
      <c r="I2617" s="68" t="s">
        <v>726</v>
      </c>
      <c r="J2617" s="70" t="s">
        <v>760</v>
      </c>
      <c r="K2617" s="71" t="s">
        <v>1933</v>
      </c>
      <c r="L2617" s="72">
        <v>40868</v>
      </c>
      <c r="M2617" s="73" t="s">
        <v>729</v>
      </c>
      <c r="N2617" s="74">
        <v>40879</v>
      </c>
      <c r="O2617" s="75">
        <f t="shared" si="606"/>
        <v>40879</v>
      </c>
      <c r="P2617" s="2799" t="s">
        <v>1934</v>
      </c>
      <c r="Q2617" s="2954">
        <v>104.24</v>
      </c>
      <c r="R2617" s="76"/>
      <c r="S2617" s="1945" t="s">
        <v>731</v>
      </c>
      <c r="T2617" s="77"/>
      <c r="U2617" s="1893"/>
      <c r="V2617" s="2079">
        <f t="shared" si="602"/>
        <v>123.00319999999999</v>
      </c>
      <c r="W2617" s="78">
        <f t="shared" si="603"/>
        <v>0</v>
      </c>
      <c r="X2617" s="1878" t="str">
        <f t="shared" si="601"/>
        <v xml:space="preserve">5.- C Lima Caucho 0730910-OT_159829  Reencauche 033-0005907 </v>
      </c>
      <c r="Z2617" s="19" t="str">
        <f t="shared" si="604"/>
        <v>ReencaucheReencauchadora RENOVA</v>
      </c>
    </row>
    <row r="2618" spans="1:26" outlineLevel="1">
      <c r="B2618" s="3262"/>
      <c r="C2618" s="2">
        <f t="shared" si="605"/>
        <v>191</v>
      </c>
      <c r="D2618" s="3">
        <v>10</v>
      </c>
      <c r="E2618" s="66">
        <v>6</v>
      </c>
      <c r="F2618" s="67" t="s">
        <v>732</v>
      </c>
      <c r="G2618" s="68" t="s">
        <v>733</v>
      </c>
      <c r="H2618" s="69" t="s">
        <v>1069</v>
      </c>
      <c r="I2618" s="68" t="s">
        <v>726</v>
      </c>
      <c r="J2618" s="70" t="s">
        <v>760</v>
      </c>
      <c r="K2618" s="71" t="s">
        <v>1933</v>
      </c>
      <c r="L2618" s="72">
        <v>40868</v>
      </c>
      <c r="M2618" s="73" t="s">
        <v>729</v>
      </c>
      <c r="N2618" s="74">
        <v>40879</v>
      </c>
      <c r="O2618" s="75">
        <f t="shared" si="606"/>
        <v>40879</v>
      </c>
      <c r="P2618" s="2799" t="s">
        <v>1934</v>
      </c>
      <c r="Q2618" s="2954">
        <v>104.24</v>
      </c>
      <c r="R2618" s="76"/>
      <c r="S2618" s="1945" t="s">
        <v>731</v>
      </c>
      <c r="T2618" s="77"/>
      <c r="U2618" s="1893"/>
      <c r="V2618" s="2079">
        <f t="shared" si="602"/>
        <v>123.00319999999999</v>
      </c>
      <c r="W2618" s="78">
        <f t="shared" si="603"/>
        <v>0</v>
      </c>
      <c r="X2618" s="1878" t="str">
        <f t="shared" si="601"/>
        <v xml:space="preserve">6.- C Lima Caucho 1131210-OT_159829  Reencauche 033-0005907 </v>
      </c>
      <c r="Z2618" s="19" t="str">
        <f t="shared" si="604"/>
        <v>ReencaucheReencauchadora RENOVA</v>
      </c>
    </row>
    <row r="2619" spans="1:26" outlineLevel="1">
      <c r="B2619" s="3262"/>
      <c r="C2619" s="2">
        <f t="shared" si="605"/>
        <v>190</v>
      </c>
      <c r="D2619" s="3">
        <v>9</v>
      </c>
      <c r="E2619" s="66">
        <v>7</v>
      </c>
      <c r="F2619" s="67" t="s">
        <v>732</v>
      </c>
      <c r="G2619" s="68" t="s">
        <v>733</v>
      </c>
      <c r="H2619" s="69" t="s">
        <v>1358</v>
      </c>
      <c r="I2619" s="68" t="s">
        <v>726</v>
      </c>
      <c r="J2619" s="70" t="s">
        <v>760</v>
      </c>
      <c r="K2619" s="71" t="s">
        <v>1933</v>
      </c>
      <c r="L2619" s="72">
        <v>40868</v>
      </c>
      <c r="M2619" s="73" t="s">
        <v>729</v>
      </c>
      <c r="N2619" s="74">
        <v>40879</v>
      </c>
      <c r="O2619" s="75">
        <f t="shared" si="606"/>
        <v>40879</v>
      </c>
      <c r="P2619" s="2799" t="s">
        <v>1934</v>
      </c>
      <c r="Q2619" s="2954">
        <v>104.24</v>
      </c>
      <c r="R2619" s="76"/>
      <c r="S2619" s="1945" t="s">
        <v>731</v>
      </c>
      <c r="T2619" s="77"/>
      <c r="U2619" s="1893"/>
      <c r="V2619" s="2079">
        <f t="shared" si="602"/>
        <v>123.00319999999999</v>
      </c>
      <c r="W2619" s="78">
        <f t="shared" si="603"/>
        <v>0</v>
      </c>
      <c r="X2619" s="1878" t="str">
        <f t="shared" si="601"/>
        <v xml:space="preserve">7.- C Lima Caucho 1431207-OT_159829  Reencauche 033-0005907 </v>
      </c>
      <c r="Z2619" s="19" t="str">
        <f t="shared" si="604"/>
        <v>ReencaucheReencauchadora RENOVA</v>
      </c>
    </row>
    <row r="2620" spans="1:26" outlineLevel="1">
      <c r="B2620" s="3262"/>
      <c r="C2620" s="2">
        <f t="shared" si="605"/>
        <v>189</v>
      </c>
      <c r="D2620" s="3">
        <v>8</v>
      </c>
      <c r="E2620" s="66">
        <v>8</v>
      </c>
      <c r="F2620" s="67" t="s">
        <v>732</v>
      </c>
      <c r="G2620" s="68" t="s">
        <v>733</v>
      </c>
      <c r="H2620" s="69" t="s">
        <v>1018</v>
      </c>
      <c r="I2620" s="68" t="s">
        <v>726</v>
      </c>
      <c r="J2620" s="70" t="s">
        <v>760</v>
      </c>
      <c r="K2620" s="71" t="s">
        <v>1933</v>
      </c>
      <c r="L2620" s="72">
        <v>40868</v>
      </c>
      <c r="M2620" s="73" t="s">
        <v>729</v>
      </c>
      <c r="N2620" s="74">
        <v>40879</v>
      </c>
      <c r="O2620" s="75">
        <f t="shared" si="606"/>
        <v>40879</v>
      </c>
      <c r="P2620" s="2799" t="s">
        <v>1934</v>
      </c>
      <c r="Q2620" s="2954">
        <v>104.24</v>
      </c>
      <c r="R2620" s="76"/>
      <c r="S2620" s="1945" t="s">
        <v>731</v>
      </c>
      <c r="T2620" s="77"/>
      <c r="U2620" s="1893"/>
      <c r="V2620" s="2079">
        <f t="shared" si="602"/>
        <v>123.00319999999999</v>
      </c>
      <c r="W2620" s="78">
        <f t="shared" si="603"/>
        <v>0</v>
      </c>
      <c r="X2620" s="1878" t="str">
        <f t="shared" si="601"/>
        <v xml:space="preserve">8.- C Lima Caucho 1491207-OT_159829  Reencauche 033-0005907 </v>
      </c>
      <c r="Z2620" s="19" t="str">
        <f t="shared" si="604"/>
        <v>ReencaucheReencauchadora RENOVA</v>
      </c>
    </row>
    <row r="2621" spans="1:26" outlineLevel="1">
      <c r="B2621" s="3262"/>
      <c r="C2621" s="2">
        <f t="shared" si="605"/>
        <v>188</v>
      </c>
      <c r="D2621" s="3">
        <v>7</v>
      </c>
      <c r="E2621" s="66">
        <v>9</v>
      </c>
      <c r="F2621" s="67" t="s">
        <v>732</v>
      </c>
      <c r="G2621" s="68" t="s">
        <v>733</v>
      </c>
      <c r="H2621" s="69" t="s">
        <v>911</v>
      </c>
      <c r="I2621" s="68" t="s">
        <v>726</v>
      </c>
      <c r="J2621" s="70" t="s">
        <v>760</v>
      </c>
      <c r="K2621" s="71" t="s">
        <v>1933</v>
      </c>
      <c r="L2621" s="72">
        <v>40868</v>
      </c>
      <c r="M2621" s="73" t="s">
        <v>729</v>
      </c>
      <c r="N2621" s="74">
        <v>40879</v>
      </c>
      <c r="O2621" s="75">
        <f t="shared" si="606"/>
        <v>40879</v>
      </c>
      <c r="P2621" s="2799" t="s">
        <v>1934</v>
      </c>
      <c r="Q2621" s="2954">
        <v>104.24</v>
      </c>
      <c r="R2621" s="76"/>
      <c r="S2621" s="1945" t="s">
        <v>731</v>
      </c>
      <c r="T2621" s="77"/>
      <c r="U2621" s="1893"/>
      <c r="V2621" s="2079">
        <f t="shared" si="602"/>
        <v>123.00319999999999</v>
      </c>
      <c r="W2621" s="78">
        <f t="shared" si="603"/>
        <v>0</v>
      </c>
      <c r="X2621" s="1878" t="str">
        <f t="shared" si="601"/>
        <v xml:space="preserve">9.- C Lima Caucho 0630808-OT_159829  Reencauche 033-0005907 </v>
      </c>
      <c r="Z2621" s="19" t="str">
        <f t="shared" si="604"/>
        <v>ReencaucheReencauchadora RENOVA</v>
      </c>
    </row>
    <row r="2622" spans="1:26" outlineLevel="1">
      <c r="B2622" s="3262"/>
      <c r="C2622" s="2">
        <f t="shared" si="605"/>
        <v>187</v>
      </c>
      <c r="D2622" s="3">
        <v>6</v>
      </c>
      <c r="E2622" s="66">
        <v>10</v>
      </c>
      <c r="F2622" s="67" t="s">
        <v>732</v>
      </c>
      <c r="G2622" s="68" t="s">
        <v>733</v>
      </c>
      <c r="H2622" s="69" t="s">
        <v>1354</v>
      </c>
      <c r="I2622" s="68" t="s">
        <v>726</v>
      </c>
      <c r="J2622" s="70" t="s">
        <v>760</v>
      </c>
      <c r="K2622" s="71" t="s">
        <v>1933</v>
      </c>
      <c r="L2622" s="72">
        <v>40868</v>
      </c>
      <c r="M2622" s="73" t="s">
        <v>729</v>
      </c>
      <c r="N2622" s="74">
        <v>40879</v>
      </c>
      <c r="O2622" s="75">
        <f t="shared" si="606"/>
        <v>40879</v>
      </c>
      <c r="P2622" s="2799" t="s">
        <v>1934</v>
      </c>
      <c r="Q2622" s="2954">
        <v>104.24</v>
      </c>
      <c r="R2622" s="76"/>
      <c r="S2622" s="1945" t="s">
        <v>731</v>
      </c>
      <c r="T2622" s="77"/>
      <c r="U2622" s="1893"/>
      <c r="V2622" s="2079">
        <f t="shared" si="602"/>
        <v>123.00319999999999</v>
      </c>
      <c r="W2622" s="78">
        <f t="shared" si="603"/>
        <v>0</v>
      </c>
      <c r="X2622" s="1878" t="str">
        <f t="shared" si="601"/>
        <v xml:space="preserve">10.- C Lima Caucho 0670808-OT_159829  Reencauche 033-0005907 </v>
      </c>
      <c r="Z2622" s="19" t="str">
        <f t="shared" si="604"/>
        <v>ReencaucheReencauchadora RENOVA</v>
      </c>
    </row>
    <row r="2623" spans="1:26" outlineLevel="1">
      <c r="B2623" s="3262"/>
      <c r="C2623" s="2">
        <f t="shared" si="605"/>
        <v>186</v>
      </c>
      <c r="D2623" s="3">
        <v>5</v>
      </c>
      <c r="E2623" s="66">
        <v>11</v>
      </c>
      <c r="F2623" s="67" t="s">
        <v>732</v>
      </c>
      <c r="G2623" s="68" t="s">
        <v>733</v>
      </c>
      <c r="H2623" s="69" t="s">
        <v>1128</v>
      </c>
      <c r="I2623" s="68" t="s">
        <v>726</v>
      </c>
      <c r="J2623" s="70" t="s">
        <v>760</v>
      </c>
      <c r="K2623" s="71" t="s">
        <v>1935</v>
      </c>
      <c r="L2623" s="72">
        <v>40868</v>
      </c>
      <c r="M2623" s="73" t="s">
        <v>729</v>
      </c>
      <c r="N2623" s="74">
        <v>40879</v>
      </c>
      <c r="O2623" s="75">
        <f t="shared" si="606"/>
        <v>40879</v>
      </c>
      <c r="P2623" s="2799" t="s">
        <v>1934</v>
      </c>
      <c r="Q2623" s="2954">
        <v>104.24</v>
      </c>
      <c r="R2623" s="76"/>
      <c r="S2623" s="1945" t="s">
        <v>731</v>
      </c>
      <c r="T2623" s="77"/>
      <c r="U2623" s="1893"/>
      <c r="V2623" s="2079">
        <f t="shared" si="602"/>
        <v>123.00319999999999</v>
      </c>
      <c r="W2623" s="78">
        <f t="shared" si="603"/>
        <v>0</v>
      </c>
      <c r="X2623" s="1878" t="str">
        <f t="shared" si="601"/>
        <v xml:space="preserve">11.- C Lima Caucho 1361207-OT_159830  Reencauche 033-0005907 </v>
      </c>
      <c r="Z2623" s="19" t="str">
        <f t="shared" si="604"/>
        <v>ReencaucheReencauchadora RENOVA</v>
      </c>
    </row>
    <row r="2624" spans="1:26" outlineLevel="1">
      <c r="B2624" s="3262"/>
      <c r="C2624" s="2">
        <f t="shared" si="605"/>
        <v>185</v>
      </c>
      <c r="D2624" s="3">
        <v>4</v>
      </c>
      <c r="E2624" s="66">
        <v>12</v>
      </c>
      <c r="F2624" s="67" t="s">
        <v>732</v>
      </c>
      <c r="G2624" s="68" t="s">
        <v>733</v>
      </c>
      <c r="H2624" s="69" t="s">
        <v>855</v>
      </c>
      <c r="I2624" s="68" t="s">
        <v>726</v>
      </c>
      <c r="J2624" s="70" t="s">
        <v>760</v>
      </c>
      <c r="K2624" s="71" t="s">
        <v>1935</v>
      </c>
      <c r="L2624" s="72">
        <v>40868</v>
      </c>
      <c r="M2624" s="73" t="s">
        <v>729</v>
      </c>
      <c r="N2624" s="74">
        <v>40879</v>
      </c>
      <c r="O2624" s="75">
        <f t="shared" si="606"/>
        <v>40879</v>
      </c>
      <c r="P2624" s="2799" t="s">
        <v>1934</v>
      </c>
      <c r="Q2624" s="2954">
        <v>104.24</v>
      </c>
      <c r="R2624" s="76"/>
      <c r="S2624" s="1945" t="s">
        <v>731</v>
      </c>
      <c r="T2624" s="77"/>
      <c r="U2624" s="1893"/>
      <c r="V2624" s="2079">
        <f t="shared" si="602"/>
        <v>123.00319999999999</v>
      </c>
      <c r="W2624" s="78">
        <f t="shared" si="603"/>
        <v>0</v>
      </c>
      <c r="X2624" s="1878" t="str">
        <f t="shared" si="601"/>
        <v xml:space="preserve">12.- C Lima Caucho 0660808-OT_159830  Reencauche 033-0005907 </v>
      </c>
      <c r="Z2624" s="19" t="str">
        <f t="shared" si="604"/>
        <v>ReencaucheReencauchadora RENOVA</v>
      </c>
    </row>
    <row r="2625" spans="1:26" s="366" customFormat="1">
      <c r="A2625"/>
      <c r="B2625" s="3262"/>
      <c r="C2625" s="2">
        <f t="shared" si="605"/>
        <v>184</v>
      </c>
      <c r="D2625" s="3">
        <v>3</v>
      </c>
      <c r="E2625" s="388">
        <v>13</v>
      </c>
      <c r="F2625" s="67" t="s">
        <v>732</v>
      </c>
      <c r="G2625" s="174" t="s">
        <v>737</v>
      </c>
      <c r="H2625" s="175" t="s">
        <v>1936</v>
      </c>
      <c r="I2625" s="174" t="s">
        <v>726</v>
      </c>
      <c r="J2625" s="176" t="s">
        <v>760</v>
      </c>
      <c r="K2625" s="389" t="s">
        <v>1935</v>
      </c>
      <c r="L2625" s="390">
        <v>40868</v>
      </c>
      <c r="M2625" s="391" t="s">
        <v>729</v>
      </c>
      <c r="N2625" s="74">
        <v>40879</v>
      </c>
      <c r="O2625" s="75">
        <f t="shared" si="606"/>
        <v>40879</v>
      </c>
      <c r="P2625" s="2799" t="s">
        <v>1934</v>
      </c>
      <c r="Q2625" s="2954">
        <v>104.24</v>
      </c>
      <c r="R2625" s="392"/>
      <c r="S2625" s="1969" t="s">
        <v>731</v>
      </c>
      <c r="T2625" s="393" t="s">
        <v>96</v>
      </c>
      <c r="U2625" s="1927"/>
      <c r="V2625" s="2079">
        <f t="shared" si="602"/>
        <v>123.00319999999999</v>
      </c>
      <c r="W2625" s="78">
        <f t="shared" si="603"/>
        <v>0</v>
      </c>
      <c r="X2625" s="1878" t="str">
        <f t="shared" si="601"/>
        <v xml:space="preserve">13.- C Vikrant 0250410-OT_159830  Reencauche 033-0005907 Llnt_Orig - Rencauche sin garantia X exposicion d banda </v>
      </c>
      <c r="Y2625" s="16"/>
      <c r="Z2625" s="369" t="str">
        <f t="shared" si="604"/>
        <v/>
      </c>
    </row>
    <row r="2626" spans="1:26" s="366" customFormat="1">
      <c r="A2626"/>
      <c r="B2626" s="3262"/>
      <c r="C2626" s="2">
        <f t="shared" si="605"/>
        <v>183</v>
      </c>
      <c r="D2626" s="3">
        <v>2</v>
      </c>
      <c r="E2626" s="66">
        <v>14</v>
      </c>
      <c r="F2626" s="67" t="s">
        <v>732</v>
      </c>
      <c r="G2626" s="68" t="s">
        <v>737</v>
      </c>
      <c r="H2626" s="69" t="s">
        <v>1937</v>
      </c>
      <c r="I2626" s="68" t="s">
        <v>726</v>
      </c>
      <c r="J2626" s="70" t="s">
        <v>760</v>
      </c>
      <c r="K2626" s="71" t="s">
        <v>1935</v>
      </c>
      <c r="L2626" s="72">
        <v>40868</v>
      </c>
      <c r="M2626" s="73" t="s">
        <v>729</v>
      </c>
      <c r="N2626" s="74">
        <v>40879</v>
      </c>
      <c r="O2626" s="75">
        <f t="shared" si="606"/>
        <v>40879</v>
      </c>
      <c r="P2626" s="2799" t="s">
        <v>1934</v>
      </c>
      <c r="Q2626" s="2954">
        <v>104.24</v>
      </c>
      <c r="R2626" s="76"/>
      <c r="S2626" s="1945" t="s">
        <v>731</v>
      </c>
      <c r="T2626" s="77"/>
      <c r="U2626" s="1893"/>
      <c r="V2626" s="2079">
        <f t="shared" si="602"/>
        <v>123.00319999999999</v>
      </c>
      <c r="W2626" s="78">
        <f t="shared" si="603"/>
        <v>0</v>
      </c>
      <c r="X2626" s="1878" t="str">
        <f t="shared" si="601"/>
        <v xml:space="preserve">14.- C Vikrant 0981206-OT_159830  Reencauche 033-0005907 </v>
      </c>
      <c r="Y2626" s="16"/>
      <c r="Z2626" s="369"/>
    </row>
    <row r="2627" spans="1:26" s="366" customFormat="1" ht="15.75" thickBot="1">
      <c r="B2627" s="3263"/>
      <c r="C2627" s="2">
        <f>1+C2631</f>
        <v>182</v>
      </c>
      <c r="D2627" s="3">
        <v>1</v>
      </c>
      <c r="E2627" s="307">
        <v>15</v>
      </c>
      <c r="F2627" s="328" t="s">
        <v>732</v>
      </c>
      <c r="G2627" s="329" t="s">
        <v>814</v>
      </c>
      <c r="H2627" s="330" t="s">
        <v>1480</v>
      </c>
      <c r="I2627" s="329" t="s">
        <v>726</v>
      </c>
      <c r="J2627" s="356" t="s">
        <v>760</v>
      </c>
      <c r="K2627" s="333" t="s">
        <v>1935</v>
      </c>
      <c r="L2627" s="334">
        <v>40868</v>
      </c>
      <c r="M2627" s="335" t="s">
        <v>729</v>
      </c>
      <c r="N2627" s="336">
        <v>40879</v>
      </c>
      <c r="O2627" s="337">
        <f t="shared" si="606"/>
        <v>40879</v>
      </c>
      <c r="P2627" s="2802" t="s">
        <v>1934</v>
      </c>
      <c r="Q2627" s="2979">
        <v>104.24</v>
      </c>
      <c r="R2627" s="338"/>
      <c r="S2627" s="1965" t="s">
        <v>731</v>
      </c>
      <c r="T2627" s="77"/>
      <c r="U2627" s="1893"/>
      <c r="V2627" s="2079">
        <f t="shared" si="602"/>
        <v>123.00319999999999</v>
      </c>
      <c r="W2627" s="78">
        <f t="shared" si="603"/>
        <v>0</v>
      </c>
      <c r="X2627" s="1878" t="str">
        <f t="shared" si="601"/>
        <v xml:space="preserve">15.- C Birla 0510706-OT_159830  Reencauche 033-0005907 </v>
      </c>
      <c r="Y2627" s="16"/>
      <c r="Z2627" s="369"/>
    </row>
    <row r="2628" spans="1:26" ht="14.25" customHeight="1" outlineLevel="1">
      <c r="A2628" s="366"/>
      <c r="B2628" s="3267">
        <v>40817</v>
      </c>
      <c r="C2628" s="3267"/>
      <c r="D2628" s="385">
        <v>0</v>
      </c>
      <c r="E2628" s="66"/>
      <c r="F2628" s="67"/>
      <c r="G2628" s="68"/>
      <c r="H2628" s="69"/>
      <c r="I2628" s="68"/>
      <c r="J2628" s="70"/>
      <c r="K2628" s="71"/>
      <c r="L2628" s="72"/>
      <c r="M2628" s="73"/>
      <c r="N2628" s="74"/>
      <c r="O2628" s="75"/>
      <c r="P2628" s="2765"/>
      <c r="Q2628" s="2954"/>
      <c r="R2628" s="76"/>
      <c r="S2628" s="1945"/>
      <c r="T2628" s="215"/>
      <c r="U2628" s="1893"/>
      <c r="V2628" s="2079">
        <f t="shared" si="602"/>
        <v>0</v>
      </c>
      <c r="W2628" s="78">
        <f t="shared" si="603"/>
        <v>0</v>
      </c>
      <c r="X2628" s="1878" t="str">
        <f t="shared" si="601"/>
        <v xml:space="preserve">.-   -OT_    </v>
      </c>
      <c r="Z2628" s="19" t="str">
        <f t="shared" ref="Z2628:Z2649" si="607">CONCATENATE(I2631,J2631)</f>
        <v>Vulcanizado (curación)Reencauchadora RENOVA</v>
      </c>
    </row>
    <row r="2629" spans="1:26" outlineLevel="1">
      <c r="A2629" s="366"/>
      <c r="B2629" s="3267">
        <v>40787</v>
      </c>
      <c r="C2629" s="3267"/>
      <c r="D2629" s="385">
        <v>0</v>
      </c>
      <c r="E2629" s="66"/>
      <c r="F2629" s="67"/>
      <c r="G2629" s="68"/>
      <c r="H2629" s="69"/>
      <c r="I2629" s="68"/>
      <c r="J2629" s="70"/>
      <c r="K2629" s="71"/>
      <c r="L2629" s="72"/>
      <c r="M2629" s="73"/>
      <c r="N2629" s="74"/>
      <c r="O2629" s="75"/>
      <c r="P2629" s="2765"/>
      <c r="Q2629" s="2954"/>
      <c r="R2629" s="76"/>
      <c r="S2629" s="1945"/>
      <c r="T2629" s="215"/>
      <c r="U2629" s="1893"/>
      <c r="V2629" s="2079">
        <f t="shared" si="602"/>
        <v>0</v>
      </c>
      <c r="W2629" s="78">
        <f t="shared" si="603"/>
        <v>0</v>
      </c>
      <c r="X2629" s="1878" t="str">
        <f t="shared" si="601"/>
        <v xml:space="preserve">.-   -OT_    </v>
      </c>
      <c r="Z2629" s="19" t="str">
        <f t="shared" si="607"/>
        <v>Vulcanizado (curación)Reencauchadora RENOVA</v>
      </c>
    </row>
    <row r="2630" spans="1:26" ht="15.75" outlineLevel="1" thickBot="1">
      <c r="A2630" s="366"/>
      <c r="B2630" s="3267">
        <f>+B2631</f>
        <v>40756</v>
      </c>
      <c r="C2630" s="3267"/>
      <c r="D2630" s="387">
        <f>+D2631</f>
        <v>21</v>
      </c>
      <c r="E2630" s="66"/>
      <c r="F2630" s="67"/>
      <c r="G2630" s="68"/>
      <c r="H2630" s="69"/>
      <c r="I2630" s="68"/>
      <c r="J2630" s="70"/>
      <c r="K2630" s="71"/>
      <c r="L2630" s="72"/>
      <c r="M2630" s="73"/>
      <c r="N2630" s="74"/>
      <c r="O2630" s="75"/>
      <c r="P2630" s="2765"/>
      <c r="Q2630" s="2954"/>
      <c r="R2630" s="76"/>
      <c r="S2630" s="1945"/>
      <c r="T2630" s="215"/>
      <c r="U2630" s="1893"/>
      <c r="V2630" s="2079">
        <f t="shared" si="602"/>
        <v>0</v>
      </c>
      <c r="W2630" s="78">
        <f t="shared" si="603"/>
        <v>0</v>
      </c>
      <c r="X2630" s="1878" t="str">
        <f t="shared" si="601"/>
        <v xml:space="preserve">.-   -OT_    </v>
      </c>
      <c r="Z2630" s="19" t="str">
        <f t="shared" si="607"/>
        <v>Vulcanizado (curación)Reencauchadora RENOVA</v>
      </c>
    </row>
    <row r="2631" spans="1:26" outlineLevel="1">
      <c r="B2631" s="3274">
        <v>40756</v>
      </c>
      <c r="C2631" s="2">
        <f t="shared" ref="C2631:C2650" si="608">1+C2632</f>
        <v>181</v>
      </c>
      <c r="D2631" s="306">
        <f t="shared" ref="D2631:D2650" si="609">1+D2632</f>
        <v>21</v>
      </c>
      <c r="E2631" s="388">
        <v>1</v>
      </c>
      <c r="F2631" s="67" t="s">
        <v>732</v>
      </c>
      <c r="G2631" s="394" t="s">
        <v>737</v>
      </c>
      <c r="H2631" s="395" t="s">
        <v>1089</v>
      </c>
      <c r="I2631" s="174" t="s">
        <v>811</v>
      </c>
      <c r="J2631" s="176" t="s">
        <v>760</v>
      </c>
      <c r="K2631" s="389" t="s">
        <v>1939</v>
      </c>
      <c r="L2631" s="390">
        <v>40781</v>
      </c>
      <c r="M2631" s="391" t="s">
        <v>729</v>
      </c>
      <c r="N2631" s="74">
        <v>40793</v>
      </c>
      <c r="O2631" s="75">
        <f t="shared" ref="O2631:O2652" si="610">+N2631</f>
        <v>40793</v>
      </c>
      <c r="P2631" s="2803" t="s">
        <v>1940</v>
      </c>
      <c r="Q2631" s="2954">
        <v>22.5</v>
      </c>
      <c r="R2631" s="392"/>
      <c r="S2631" s="1969" t="s">
        <v>731</v>
      </c>
      <c r="T2631" s="396" t="s">
        <v>105</v>
      </c>
      <c r="U2631" s="1928"/>
      <c r="V2631" s="2079">
        <f t="shared" si="602"/>
        <v>26.549999999999997</v>
      </c>
      <c r="W2631" s="78">
        <f t="shared" si="603"/>
        <v>0</v>
      </c>
      <c r="X2631" s="1878" t="str">
        <f t="shared" si="601"/>
        <v>1.- C Vikrant 0160111-OT_155432  Vulcanizado (curación) 033-0005120 R-116  Curado por perforacion por piedra, exposicion d banda</v>
      </c>
      <c r="Z2631" s="19" t="str">
        <f t="shared" si="607"/>
        <v>ReencaucheReencauchadora RENOVA</v>
      </c>
    </row>
    <row r="2632" spans="1:26" outlineLevel="1">
      <c r="B2632" s="3275"/>
      <c r="C2632" s="2">
        <f t="shared" si="608"/>
        <v>180</v>
      </c>
      <c r="D2632" s="3">
        <f t="shared" si="609"/>
        <v>20</v>
      </c>
      <c r="E2632" s="388">
        <v>2</v>
      </c>
      <c r="F2632" s="67" t="s">
        <v>732</v>
      </c>
      <c r="G2632" s="174" t="s">
        <v>737</v>
      </c>
      <c r="H2632" s="175" t="s">
        <v>1274</v>
      </c>
      <c r="I2632" s="174" t="s">
        <v>811</v>
      </c>
      <c r="J2632" s="176" t="s">
        <v>760</v>
      </c>
      <c r="K2632" s="389" t="s">
        <v>1939</v>
      </c>
      <c r="L2632" s="390">
        <v>40781</v>
      </c>
      <c r="M2632" s="391" t="s">
        <v>729</v>
      </c>
      <c r="N2632" s="74">
        <v>40793</v>
      </c>
      <c r="O2632" s="75">
        <f t="shared" si="610"/>
        <v>40793</v>
      </c>
      <c r="P2632" s="2803" t="s">
        <v>1940</v>
      </c>
      <c r="Q2632" s="2954">
        <v>22.5</v>
      </c>
      <c r="R2632" s="392"/>
      <c r="S2632" s="1969" t="s">
        <v>731</v>
      </c>
      <c r="T2632" s="397" t="s">
        <v>106</v>
      </c>
      <c r="U2632" s="1929"/>
      <c r="V2632" s="2079">
        <f t="shared" si="602"/>
        <v>26.549999999999997</v>
      </c>
      <c r="W2632" s="78">
        <f t="shared" si="603"/>
        <v>0</v>
      </c>
      <c r="X2632" s="1878" t="str">
        <f t="shared" si="601"/>
        <v>2.- C Vikrant 0250211-OT_155432  Vulcanizado (curación) 033-0005120 R-165 Curado por perforacion por piedra, exposicion d banda</v>
      </c>
      <c r="Z2632" s="19" t="str">
        <f t="shared" si="607"/>
        <v>ReencaucheReencauchadora RENOVA</v>
      </c>
    </row>
    <row r="2633" spans="1:26" outlineLevel="1">
      <c r="B2633" s="3275"/>
      <c r="C2633" s="2">
        <f t="shared" si="608"/>
        <v>179</v>
      </c>
      <c r="D2633" s="3">
        <f t="shared" si="609"/>
        <v>19</v>
      </c>
      <c r="E2633" s="398">
        <v>3</v>
      </c>
      <c r="F2633" s="149" t="s">
        <v>732</v>
      </c>
      <c r="G2633" s="399" t="s">
        <v>737</v>
      </c>
      <c r="H2633" s="151" t="s">
        <v>1040</v>
      </c>
      <c r="I2633" s="150" t="s">
        <v>811</v>
      </c>
      <c r="J2633" s="152" t="s">
        <v>760</v>
      </c>
      <c r="K2633" s="400" t="s">
        <v>1939</v>
      </c>
      <c r="L2633" s="401">
        <v>40781</v>
      </c>
      <c r="M2633" s="402" t="s">
        <v>729</v>
      </c>
      <c r="N2633" s="87">
        <v>40793</v>
      </c>
      <c r="O2633" s="88">
        <f t="shared" si="610"/>
        <v>40793</v>
      </c>
      <c r="P2633" s="2805" t="s">
        <v>1940</v>
      </c>
      <c r="Q2633" s="2955">
        <v>22.5</v>
      </c>
      <c r="R2633" s="403"/>
      <c r="S2633" s="1970" t="s">
        <v>731</v>
      </c>
      <c r="T2633" s="397" t="s">
        <v>107</v>
      </c>
      <c r="U2633" s="1929"/>
      <c r="V2633" s="2079">
        <f t="shared" si="602"/>
        <v>26.549999999999997</v>
      </c>
      <c r="W2633" s="78">
        <f t="shared" si="603"/>
        <v>0</v>
      </c>
      <c r="X2633" s="1878" t="str">
        <f t="shared" si="601"/>
        <v>3.- C Vikrant 0320211-OT_155432  Vulcanizado (curación) 033-0005120 R-166 Curado por perforacion por piedra, exposicion d banda</v>
      </c>
      <c r="Z2633" s="19" t="str">
        <f t="shared" si="607"/>
        <v>ReencaucheReencauchadora RENOVA</v>
      </c>
    </row>
    <row r="2634" spans="1:26" outlineLevel="1">
      <c r="B2634" s="3275"/>
      <c r="C2634" s="2">
        <f t="shared" si="608"/>
        <v>178</v>
      </c>
      <c r="D2634" s="3">
        <f t="shared" si="609"/>
        <v>18</v>
      </c>
      <c r="E2634" s="66">
        <v>1</v>
      </c>
      <c r="F2634" s="67" t="s">
        <v>732</v>
      </c>
      <c r="G2634" s="68" t="s">
        <v>733</v>
      </c>
      <c r="H2634" s="69" t="s">
        <v>1941</v>
      </c>
      <c r="I2634" s="68" t="s">
        <v>726</v>
      </c>
      <c r="J2634" s="70" t="s">
        <v>760</v>
      </c>
      <c r="K2634" s="71" t="s">
        <v>1942</v>
      </c>
      <c r="L2634" s="72">
        <v>40765</v>
      </c>
      <c r="M2634" s="73" t="s">
        <v>729</v>
      </c>
      <c r="N2634" s="74">
        <v>40777</v>
      </c>
      <c r="O2634" s="75">
        <f t="shared" si="610"/>
        <v>40777</v>
      </c>
      <c r="P2634" s="2765" t="s">
        <v>1943</v>
      </c>
      <c r="Q2634" s="2954">
        <v>104.24</v>
      </c>
      <c r="R2634" s="76"/>
      <c r="S2634" s="1945" t="s">
        <v>731</v>
      </c>
      <c r="T2634" s="77"/>
      <c r="U2634" s="1893"/>
      <c r="V2634" s="2079">
        <f t="shared" si="602"/>
        <v>123.00319999999999</v>
      </c>
      <c r="W2634" s="78">
        <f t="shared" si="603"/>
        <v>0</v>
      </c>
      <c r="X2634" s="1878" t="str">
        <f t="shared" si="601"/>
        <v xml:space="preserve">1.- C Lima Caucho 0680810-OT_154882  Reencauche 033-0004696 </v>
      </c>
      <c r="Z2634" s="19" t="str">
        <f t="shared" si="607"/>
        <v>ReencaucheReencauchadora RENOVA</v>
      </c>
    </row>
    <row r="2635" spans="1:26" outlineLevel="1">
      <c r="B2635" s="3275"/>
      <c r="C2635" s="2">
        <f t="shared" si="608"/>
        <v>177</v>
      </c>
      <c r="D2635" s="3">
        <f t="shared" si="609"/>
        <v>17</v>
      </c>
      <c r="E2635" s="66">
        <v>2</v>
      </c>
      <c r="F2635" s="67" t="s">
        <v>732</v>
      </c>
      <c r="G2635" s="68" t="s">
        <v>733</v>
      </c>
      <c r="H2635" s="69" t="s">
        <v>1944</v>
      </c>
      <c r="I2635" s="68" t="s">
        <v>726</v>
      </c>
      <c r="J2635" s="70" t="s">
        <v>760</v>
      </c>
      <c r="K2635" s="71" t="s">
        <v>1942</v>
      </c>
      <c r="L2635" s="72">
        <v>40765</v>
      </c>
      <c r="M2635" s="142" t="s">
        <v>729</v>
      </c>
      <c r="N2635" s="74">
        <v>40777</v>
      </c>
      <c r="O2635" s="75">
        <f t="shared" si="610"/>
        <v>40777</v>
      </c>
      <c r="P2635" s="2765" t="s">
        <v>1943</v>
      </c>
      <c r="Q2635" s="2954">
        <v>104.24</v>
      </c>
      <c r="R2635" s="76"/>
      <c r="S2635" s="1945" t="s">
        <v>731</v>
      </c>
      <c r="T2635" s="77"/>
      <c r="U2635" s="1893"/>
      <c r="V2635" s="2079">
        <f t="shared" si="602"/>
        <v>123.00319999999999</v>
      </c>
      <c r="W2635" s="78">
        <f t="shared" si="603"/>
        <v>0</v>
      </c>
      <c r="X2635" s="1878" t="str">
        <f t="shared" si="601"/>
        <v xml:space="preserve">2.- C Lima Caucho 0030107-OT_154882  Reencauche 033-0004696 </v>
      </c>
      <c r="Z2635" s="19" t="str">
        <f t="shared" si="607"/>
        <v>ReencaucheReencauchadora RENOVA</v>
      </c>
    </row>
    <row r="2636" spans="1:26" outlineLevel="1">
      <c r="B2636" s="3275"/>
      <c r="C2636" s="2">
        <f t="shared" si="608"/>
        <v>176</v>
      </c>
      <c r="D2636" s="3">
        <f t="shared" si="609"/>
        <v>16</v>
      </c>
      <c r="E2636" s="66">
        <v>3</v>
      </c>
      <c r="F2636" s="67" t="s">
        <v>732</v>
      </c>
      <c r="G2636" s="68" t="s">
        <v>733</v>
      </c>
      <c r="H2636" s="69" t="s">
        <v>1076</v>
      </c>
      <c r="I2636" s="68" t="s">
        <v>726</v>
      </c>
      <c r="J2636" s="70" t="s">
        <v>760</v>
      </c>
      <c r="K2636" s="71" t="s">
        <v>1942</v>
      </c>
      <c r="L2636" s="72">
        <v>40765</v>
      </c>
      <c r="M2636" s="142" t="s">
        <v>729</v>
      </c>
      <c r="N2636" s="74">
        <v>40777</v>
      </c>
      <c r="O2636" s="75">
        <f t="shared" si="610"/>
        <v>40777</v>
      </c>
      <c r="P2636" s="2765" t="s">
        <v>1943</v>
      </c>
      <c r="Q2636" s="2954">
        <v>104.24</v>
      </c>
      <c r="R2636" s="76"/>
      <c r="S2636" s="1945" t="s">
        <v>731</v>
      </c>
      <c r="T2636" s="77"/>
      <c r="U2636" s="1893"/>
      <c r="V2636" s="2079">
        <f t="shared" si="602"/>
        <v>123.00319999999999</v>
      </c>
      <c r="W2636" s="78">
        <f t="shared" si="603"/>
        <v>0</v>
      </c>
      <c r="X2636" s="1878" t="str">
        <f t="shared" si="601"/>
        <v xml:space="preserve">3.- C Lima Caucho 0861010-OT_154882  Reencauche 033-0004696 </v>
      </c>
      <c r="Z2636" s="19" t="str">
        <f t="shared" si="607"/>
        <v>ReencaucheReencauchadora RENOVA</v>
      </c>
    </row>
    <row r="2637" spans="1:26" outlineLevel="1">
      <c r="B2637" s="3275"/>
      <c r="C2637" s="2">
        <f t="shared" si="608"/>
        <v>175</v>
      </c>
      <c r="D2637" s="3">
        <f t="shared" si="609"/>
        <v>15</v>
      </c>
      <c r="E2637" s="66">
        <v>4</v>
      </c>
      <c r="F2637" s="67" t="s">
        <v>732</v>
      </c>
      <c r="G2637" s="68" t="s">
        <v>733</v>
      </c>
      <c r="H2637" s="69" t="s">
        <v>1464</v>
      </c>
      <c r="I2637" s="68" t="s">
        <v>726</v>
      </c>
      <c r="J2637" s="70" t="s">
        <v>760</v>
      </c>
      <c r="K2637" s="71" t="s">
        <v>1942</v>
      </c>
      <c r="L2637" s="72">
        <v>40765</v>
      </c>
      <c r="M2637" s="142" t="s">
        <v>729</v>
      </c>
      <c r="N2637" s="74">
        <v>40777</v>
      </c>
      <c r="O2637" s="75">
        <f t="shared" si="610"/>
        <v>40777</v>
      </c>
      <c r="P2637" s="2765" t="s">
        <v>1943</v>
      </c>
      <c r="Q2637" s="2954">
        <v>104.24</v>
      </c>
      <c r="R2637" s="76"/>
      <c r="S2637" s="1945" t="s">
        <v>731</v>
      </c>
      <c r="T2637" s="77"/>
      <c r="U2637" s="1893"/>
      <c r="V2637" s="2079">
        <f t="shared" si="602"/>
        <v>123.00319999999999</v>
      </c>
      <c r="W2637" s="78">
        <f t="shared" si="603"/>
        <v>0</v>
      </c>
      <c r="X2637" s="1878" t="str">
        <f t="shared" si="601"/>
        <v xml:space="preserve">4.- C Lima Caucho 0020107-OT_154882  Reencauche 033-0004696 </v>
      </c>
      <c r="Z2637" s="19" t="str">
        <f t="shared" si="607"/>
        <v>ReencaucheReencauchadora RENOVA</v>
      </c>
    </row>
    <row r="2638" spans="1:26" outlineLevel="1">
      <c r="B2638" s="3275"/>
      <c r="C2638" s="2">
        <f t="shared" si="608"/>
        <v>174</v>
      </c>
      <c r="D2638" s="3">
        <f t="shared" si="609"/>
        <v>14</v>
      </c>
      <c r="E2638" s="66">
        <v>5</v>
      </c>
      <c r="F2638" s="67" t="s">
        <v>732</v>
      </c>
      <c r="G2638" s="68" t="s">
        <v>733</v>
      </c>
      <c r="H2638" s="69" t="s">
        <v>1666</v>
      </c>
      <c r="I2638" s="68" t="s">
        <v>726</v>
      </c>
      <c r="J2638" s="70" t="s">
        <v>760</v>
      </c>
      <c r="K2638" s="71" t="s">
        <v>1942</v>
      </c>
      <c r="L2638" s="72">
        <v>40765</v>
      </c>
      <c r="M2638" s="142" t="s">
        <v>729</v>
      </c>
      <c r="N2638" s="74">
        <v>40777</v>
      </c>
      <c r="O2638" s="75">
        <f t="shared" si="610"/>
        <v>40777</v>
      </c>
      <c r="P2638" s="2765" t="s">
        <v>1943</v>
      </c>
      <c r="Q2638" s="2954">
        <v>104.24</v>
      </c>
      <c r="R2638" s="76"/>
      <c r="S2638" s="1945" t="s">
        <v>731</v>
      </c>
      <c r="T2638" s="77"/>
      <c r="U2638" s="1893"/>
      <c r="V2638" s="2079">
        <f t="shared" si="602"/>
        <v>123.00319999999999</v>
      </c>
      <c r="W2638" s="78">
        <f t="shared" si="603"/>
        <v>0</v>
      </c>
      <c r="X2638" s="1878" t="str">
        <f t="shared" si="601"/>
        <v xml:space="preserve">5.- C Lima Caucho 0360508-OT_154882  Reencauche 033-0004696 </v>
      </c>
      <c r="Z2638" s="19" t="str">
        <f t="shared" si="607"/>
        <v>ReencaucheReencauchadora RENOVA</v>
      </c>
    </row>
    <row r="2639" spans="1:26" outlineLevel="1">
      <c r="B2639" s="3275"/>
      <c r="C2639" s="2">
        <f t="shared" si="608"/>
        <v>173</v>
      </c>
      <c r="D2639" s="3">
        <f t="shared" si="609"/>
        <v>13</v>
      </c>
      <c r="E2639" s="66">
        <v>6</v>
      </c>
      <c r="F2639" s="67" t="s">
        <v>732</v>
      </c>
      <c r="G2639" s="68" t="s">
        <v>733</v>
      </c>
      <c r="H2639" s="69" t="s">
        <v>1388</v>
      </c>
      <c r="I2639" s="68" t="s">
        <v>726</v>
      </c>
      <c r="J2639" s="70" t="s">
        <v>760</v>
      </c>
      <c r="K2639" s="71" t="s">
        <v>1942</v>
      </c>
      <c r="L2639" s="72">
        <v>40765</v>
      </c>
      <c r="M2639" s="142" t="s">
        <v>729</v>
      </c>
      <c r="N2639" s="74">
        <v>40777</v>
      </c>
      <c r="O2639" s="75">
        <f t="shared" si="610"/>
        <v>40777</v>
      </c>
      <c r="P2639" s="2765" t="s">
        <v>1943</v>
      </c>
      <c r="Q2639" s="2954">
        <v>104.24</v>
      </c>
      <c r="R2639" s="76"/>
      <c r="S2639" s="1945" t="s">
        <v>731</v>
      </c>
      <c r="T2639" s="77"/>
      <c r="U2639" s="1893"/>
      <c r="V2639" s="2079">
        <f t="shared" si="602"/>
        <v>123.00319999999999</v>
      </c>
      <c r="W2639" s="78">
        <f t="shared" si="603"/>
        <v>0</v>
      </c>
      <c r="X2639" s="1878" t="str">
        <f t="shared" si="601"/>
        <v xml:space="preserve">6.- C Lima Caucho 0720810-OT_154882  Reencauche 033-0004696 </v>
      </c>
      <c r="Z2639" s="19" t="str">
        <f t="shared" si="607"/>
        <v>ReencaucheReencauchadora RENOVA</v>
      </c>
    </row>
    <row r="2640" spans="1:26" outlineLevel="1">
      <c r="B2640" s="3275"/>
      <c r="C2640" s="2">
        <f t="shared" si="608"/>
        <v>172</v>
      </c>
      <c r="D2640" s="3">
        <f t="shared" si="609"/>
        <v>12</v>
      </c>
      <c r="E2640" s="66">
        <v>7</v>
      </c>
      <c r="F2640" s="67" t="s">
        <v>732</v>
      </c>
      <c r="G2640" s="68" t="s">
        <v>733</v>
      </c>
      <c r="H2640" s="69" t="s">
        <v>806</v>
      </c>
      <c r="I2640" s="68" t="s">
        <v>726</v>
      </c>
      <c r="J2640" s="70" t="s">
        <v>760</v>
      </c>
      <c r="K2640" s="71" t="s">
        <v>1942</v>
      </c>
      <c r="L2640" s="72">
        <v>40765</v>
      </c>
      <c r="M2640" s="142" t="s">
        <v>729</v>
      </c>
      <c r="N2640" s="74">
        <v>40777</v>
      </c>
      <c r="O2640" s="75">
        <f t="shared" si="610"/>
        <v>40777</v>
      </c>
      <c r="P2640" s="2765" t="s">
        <v>1943</v>
      </c>
      <c r="Q2640" s="2954">
        <v>104.24</v>
      </c>
      <c r="R2640" s="76"/>
      <c r="S2640" s="1945" t="s">
        <v>731</v>
      </c>
      <c r="T2640" s="77"/>
      <c r="U2640" s="1893"/>
      <c r="V2640" s="2079">
        <f t="shared" si="602"/>
        <v>123.00319999999999</v>
      </c>
      <c r="W2640" s="78">
        <f t="shared" si="603"/>
        <v>0</v>
      </c>
      <c r="X2640" s="1878" t="str">
        <f t="shared" si="601"/>
        <v xml:space="preserve">7.- C Lima Caucho 0840908-OT_154882  Reencauche 033-0004696 </v>
      </c>
      <c r="Z2640" s="19" t="str">
        <f t="shared" si="607"/>
        <v>ReencaucheReencauchadora RENOVA</v>
      </c>
    </row>
    <row r="2641" spans="2:26" outlineLevel="1">
      <c r="B2641" s="3275"/>
      <c r="C2641" s="2">
        <f t="shared" si="608"/>
        <v>171</v>
      </c>
      <c r="D2641" s="3">
        <f t="shared" si="609"/>
        <v>11</v>
      </c>
      <c r="E2641" s="66">
        <v>8</v>
      </c>
      <c r="F2641" s="67" t="s">
        <v>732</v>
      </c>
      <c r="G2641" s="68" t="s">
        <v>733</v>
      </c>
      <c r="H2641" s="69" t="s">
        <v>1359</v>
      </c>
      <c r="I2641" s="68" t="s">
        <v>726</v>
      </c>
      <c r="J2641" s="70" t="s">
        <v>760</v>
      </c>
      <c r="K2641" s="71" t="s">
        <v>1942</v>
      </c>
      <c r="L2641" s="72">
        <v>40765</v>
      </c>
      <c r="M2641" s="142" t="s">
        <v>729</v>
      </c>
      <c r="N2641" s="74">
        <v>40777</v>
      </c>
      <c r="O2641" s="75">
        <f t="shared" si="610"/>
        <v>40777</v>
      </c>
      <c r="P2641" s="2765" t="s">
        <v>1943</v>
      </c>
      <c r="Q2641" s="2954">
        <v>104.24</v>
      </c>
      <c r="R2641" s="76"/>
      <c r="S2641" s="1945" t="s">
        <v>731</v>
      </c>
      <c r="T2641" s="77"/>
      <c r="U2641" s="1893"/>
      <c r="V2641" s="2079">
        <f t="shared" si="602"/>
        <v>123.00319999999999</v>
      </c>
      <c r="W2641" s="78">
        <f t="shared" si="603"/>
        <v>0</v>
      </c>
      <c r="X2641" s="1878" t="str">
        <f t="shared" si="601"/>
        <v xml:space="preserve">8.- C Lima Caucho 0350507-OT_154882  Reencauche 033-0004696 </v>
      </c>
      <c r="Z2641" s="19" t="str">
        <f t="shared" si="607"/>
        <v>ReencaucheReencauchadora RENOVA</v>
      </c>
    </row>
    <row r="2642" spans="2:26" outlineLevel="1">
      <c r="B2642" s="3275"/>
      <c r="C2642" s="2">
        <f t="shared" si="608"/>
        <v>170</v>
      </c>
      <c r="D2642" s="3">
        <f t="shared" si="609"/>
        <v>10</v>
      </c>
      <c r="E2642" s="66">
        <v>9</v>
      </c>
      <c r="F2642" s="67" t="s">
        <v>732</v>
      </c>
      <c r="G2642" s="68" t="s">
        <v>733</v>
      </c>
      <c r="H2642" s="69" t="s">
        <v>1446</v>
      </c>
      <c r="I2642" s="68" t="s">
        <v>726</v>
      </c>
      <c r="J2642" s="70" t="s">
        <v>760</v>
      </c>
      <c r="K2642" s="71" t="s">
        <v>1942</v>
      </c>
      <c r="L2642" s="72">
        <v>40765</v>
      </c>
      <c r="M2642" s="142" t="s">
        <v>729</v>
      </c>
      <c r="N2642" s="74">
        <v>40777</v>
      </c>
      <c r="O2642" s="75">
        <f t="shared" si="610"/>
        <v>40777</v>
      </c>
      <c r="P2642" s="2765" t="s">
        <v>1943</v>
      </c>
      <c r="Q2642" s="2954">
        <v>104.24</v>
      </c>
      <c r="R2642" s="76"/>
      <c r="S2642" s="1945" t="s">
        <v>731</v>
      </c>
      <c r="T2642" s="77"/>
      <c r="U2642" s="1893"/>
      <c r="V2642" s="2079">
        <f t="shared" si="602"/>
        <v>123.00319999999999</v>
      </c>
      <c r="W2642" s="78">
        <f t="shared" si="603"/>
        <v>0</v>
      </c>
      <c r="X2642" s="1878" t="str">
        <f t="shared" si="601"/>
        <v xml:space="preserve">9.- C Lima Caucho 1231207-OT_154882  Reencauche 033-0004696 </v>
      </c>
      <c r="Z2642" s="19" t="str">
        <f t="shared" si="607"/>
        <v>ReencaucheReencauchadora RENOVA</v>
      </c>
    </row>
    <row r="2643" spans="2:26" outlineLevel="1">
      <c r="B2643" s="3275"/>
      <c r="C2643" s="2">
        <f t="shared" si="608"/>
        <v>169</v>
      </c>
      <c r="D2643" s="3">
        <f t="shared" si="609"/>
        <v>9</v>
      </c>
      <c r="E2643" s="66">
        <v>10</v>
      </c>
      <c r="F2643" s="67" t="s">
        <v>732</v>
      </c>
      <c r="G2643" s="68" t="s">
        <v>733</v>
      </c>
      <c r="H2643" s="69" t="s">
        <v>1945</v>
      </c>
      <c r="I2643" s="68" t="s">
        <v>726</v>
      </c>
      <c r="J2643" s="70" t="s">
        <v>760</v>
      </c>
      <c r="K2643" s="71" t="s">
        <v>1942</v>
      </c>
      <c r="L2643" s="72">
        <v>40765</v>
      </c>
      <c r="M2643" s="142" t="s">
        <v>729</v>
      </c>
      <c r="N2643" s="74">
        <v>40777</v>
      </c>
      <c r="O2643" s="75">
        <f t="shared" si="610"/>
        <v>40777</v>
      </c>
      <c r="P2643" s="2765" t="s">
        <v>1943</v>
      </c>
      <c r="Q2643" s="2954">
        <v>104.24</v>
      </c>
      <c r="R2643" s="76"/>
      <c r="S2643" s="1945" t="s">
        <v>731</v>
      </c>
      <c r="T2643" s="77"/>
      <c r="U2643" s="1893"/>
      <c r="V2643" s="2079">
        <f t="shared" si="602"/>
        <v>123.00319999999999</v>
      </c>
      <c r="W2643" s="78">
        <f t="shared" si="603"/>
        <v>0</v>
      </c>
      <c r="X2643" s="1878" t="str">
        <f t="shared" si="601"/>
        <v xml:space="preserve">10.- C Lima Caucho 1291207-OT_154882  Reencauche 033-0004696 </v>
      </c>
      <c r="Z2643" s="19" t="str">
        <f t="shared" si="607"/>
        <v>ReencaucheReencauchadora RENOVA</v>
      </c>
    </row>
    <row r="2644" spans="2:26" outlineLevel="1">
      <c r="B2644" s="3275"/>
      <c r="C2644" s="2">
        <f t="shared" si="608"/>
        <v>168</v>
      </c>
      <c r="D2644" s="3">
        <f t="shared" si="609"/>
        <v>8</v>
      </c>
      <c r="E2644" s="66">
        <v>11</v>
      </c>
      <c r="F2644" s="67" t="s">
        <v>732</v>
      </c>
      <c r="G2644" s="68" t="s">
        <v>733</v>
      </c>
      <c r="H2644" s="69" t="s">
        <v>952</v>
      </c>
      <c r="I2644" s="68" t="s">
        <v>726</v>
      </c>
      <c r="J2644" s="70" t="s">
        <v>760</v>
      </c>
      <c r="K2644" s="71" t="s">
        <v>1946</v>
      </c>
      <c r="L2644" s="72">
        <v>40765</v>
      </c>
      <c r="M2644" s="142" t="s">
        <v>729</v>
      </c>
      <c r="N2644" s="74">
        <v>40777</v>
      </c>
      <c r="O2644" s="75">
        <f t="shared" si="610"/>
        <v>40777</v>
      </c>
      <c r="P2644" s="2765" t="s">
        <v>1943</v>
      </c>
      <c r="Q2644" s="2954">
        <v>104.24</v>
      </c>
      <c r="R2644" s="76"/>
      <c r="S2644" s="1945" t="s">
        <v>731</v>
      </c>
      <c r="T2644" s="77"/>
      <c r="U2644" s="1893"/>
      <c r="V2644" s="2079">
        <f t="shared" si="602"/>
        <v>123.00319999999999</v>
      </c>
      <c r="W2644" s="78">
        <f t="shared" si="603"/>
        <v>0</v>
      </c>
      <c r="X2644" s="1878" t="str">
        <f t="shared" si="601"/>
        <v xml:space="preserve">11.- C Lima Caucho 1511207-OT_154883  Reencauche 033-0004696 </v>
      </c>
      <c r="Z2644" s="19" t="str">
        <f t="shared" si="607"/>
        <v>ReencaucheReencauchadora RENOVA</v>
      </c>
    </row>
    <row r="2645" spans="2:26" outlineLevel="1">
      <c r="B2645" s="3275"/>
      <c r="C2645" s="2">
        <f t="shared" si="608"/>
        <v>167</v>
      </c>
      <c r="D2645" s="3">
        <f t="shared" si="609"/>
        <v>7</v>
      </c>
      <c r="E2645" s="66">
        <v>12</v>
      </c>
      <c r="F2645" s="67" t="s">
        <v>732</v>
      </c>
      <c r="G2645" s="68" t="s">
        <v>733</v>
      </c>
      <c r="H2645" s="69" t="s">
        <v>1484</v>
      </c>
      <c r="I2645" s="68" t="s">
        <v>726</v>
      </c>
      <c r="J2645" s="70" t="s">
        <v>760</v>
      </c>
      <c r="K2645" s="71" t="s">
        <v>1946</v>
      </c>
      <c r="L2645" s="72">
        <v>40765</v>
      </c>
      <c r="M2645" s="142" t="s">
        <v>729</v>
      </c>
      <c r="N2645" s="74">
        <v>40777</v>
      </c>
      <c r="O2645" s="75">
        <f t="shared" si="610"/>
        <v>40777</v>
      </c>
      <c r="P2645" s="2765" t="s">
        <v>1943</v>
      </c>
      <c r="Q2645" s="2954">
        <v>104.24</v>
      </c>
      <c r="R2645" s="76"/>
      <c r="S2645" s="1945" t="s">
        <v>731</v>
      </c>
      <c r="T2645" s="77"/>
      <c r="U2645" s="1893"/>
      <c r="V2645" s="2079">
        <f t="shared" si="602"/>
        <v>123.00319999999999</v>
      </c>
      <c r="W2645" s="78">
        <f t="shared" si="603"/>
        <v>0</v>
      </c>
      <c r="X2645" s="1878" t="str">
        <f t="shared" si="601"/>
        <v xml:space="preserve">12.- C Lima Caucho 1261207-OT_154883  Reencauche 033-0004696 </v>
      </c>
      <c r="Z2645" s="19" t="str">
        <f t="shared" si="607"/>
        <v>ReencaucheReencauchadora RENOVA</v>
      </c>
    </row>
    <row r="2646" spans="2:26" outlineLevel="1">
      <c r="B2646" s="3275"/>
      <c r="C2646" s="2">
        <f t="shared" si="608"/>
        <v>166</v>
      </c>
      <c r="D2646" s="3">
        <f t="shared" si="609"/>
        <v>6</v>
      </c>
      <c r="E2646" s="66">
        <v>13</v>
      </c>
      <c r="F2646" s="67" t="s">
        <v>732</v>
      </c>
      <c r="G2646" s="68" t="s">
        <v>733</v>
      </c>
      <c r="H2646" s="69" t="s">
        <v>790</v>
      </c>
      <c r="I2646" s="68" t="s">
        <v>726</v>
      </c>
      <c r="J2646" s="70" t="s">
        <v>760</v>
      </c>
      <c r="K2646" s="71" t="s">
        <v>1946</v>
      </c>
      <c r="L2646" s="72">
        <v>40765</v>
      </c>
      <c r="M2646" s="142" t="s">
        <v>729</v>
      </c>
      <c r="N2646" s="74">
        <v>40777</v>
      </c>
      <c r="O2646" s="75">
        <f t="shared" si="610"/>
        <v>40777</v>
      </c>
      <c r="P2646" s="2765" t="s">
        <v>1943</v>
      </c>
      <c r="Q2646" s="2954">
        <v>104.24</v>
      </c>
      <c r="R2646" s="76"/>
      <c r="S2646" s="1945" t="s">
        <v>731</v>
      </c>
      <c r="T2646" s="77"/>
      <c r="U2646" s="1893"/>
      <c r="V2646" s="2079">
        <f t="shared" si="602"/>
        <v>123.00319999999999</v>
      </c>
      <c r="W2646" s="78">
        <f t="shared" si="603"/>
        <v>0</v>
      </c>
      <c r="X2646" s="1878" t="str">
        <f t="shared" si="601"/>
        <v xml:space="preserve">13.- C Lima Caucho 1011107-OT_154883  Reencauche 033-0004696 </v>
      </c>
      <c r="Z2646" s="19" t="str">
        <f t="shared" si="607"/>
        <v>ReencaucheReencauchadora RENOVA</v>
      </c>
    </row>
    <row r="2647" spans="2:26" outlineLevel="1">
      <c r="B2647" s="3275"/>
      <c r="C2647" s="2">
        <f t="shared" si="608"/>
        <v>165</v>
      </c>
      <c r="D2647" s="3">
        <f t="shared" si="609"/>
        <v>5</v>
      </c>
      <c r="E2647" s="66">
        <v>14</v>
      </c>
      <c r="F2647" s="67" t="s">
        <v>732</v>
      </c>
      <c r="G2647" s="68" t="s">
        <v>757</v>
      </c>
      <c r="H2647" s="69" t="s">
        <v>917</v>
      </c>
      <c r="I2647" s="68" t="s">
        <v>726</v>
      </c>
      <c r="J2647" s="70" t="s">
        <v>760</v>
      </c>
      <c r="K2647" s="71" t="s">
        <v>1946</v>
      </c>
      <c r="L2647" s="72">
        <v>40765</v>
      </c>
      <c r="M2647" s="142" t="s">
        <v>729</v>
      </c>
      <c r="N2647" s="74">
        <v>40777</v>
      </c>
      <c r="O2647" s="75">
        <f t="shared" si="610"/>
        <v>40777</v>
      </c>
      <c r="P2647" s="2765" t="s">
        <v>1943</v>
      </c>
      <c r="Q2647" s="2954">
        <v>104.24</v>
      </c>
      <c r="R2647" s="76"/>
      <c r="S2647" s="1945" t="s">
        <v>731</v>
      </c>
      <c r="T2647" s="77"/>
      <c r="U2647" s="1893"/>
      <c r="V2647" s="2079">
        <f t="shared" si="602"/>
        <v>123.00319999999999</v>
      </c>
      <c r="W2647" s="78">
        <f t="shared" si="603"/>
        <v>0</v>
      </c>
      <c r="X2647" s="1878" t="str">
        <f t="shared" si="601"/>
        <v xml:space="preserve">14.- C Goodyear 0340302-OT_154883  Reencauche 033-0004696 </v>
      </c>
      <c r="Z2647" s="19" t="str">
        <f t="shared" si="607"/>
        <v>ReencaucheReencauchadora RENOVA</v>
      </c>
    </row>
    <row r="2648" spans="2:26" outlineLevel="1">
      <c r="B2648" s="3275"/>
      <c r="C2648" s="2">
        <f t="shared" si="608"/>
        <v>164</v>
      </c>
      <c r="D2648" s="3">
        <f t="shared" si="609"/>
        <v>4</v>
      </c>
      <c r="E2648" s="66">
        <v>15</v>
      </c>
      <c r="F2648" s="67" t="s">
        <v>732</v>
      </c>
      <c r="G2648" s="68" t="s">
        <v>757</v>
      </c>
      <c r="H2648" s="69" t="s">
        <v>1631</v>
      </c>
      <c r="I2648" s="68" t="s">
        <v>726</v>
      </c>
      <c r="J2648" s="70" t="s">
        <v>760</v>
      </c>
      <c r="K2648" s="71" t="s">
        <v>1946</v>
      </c>
      <c r="L2648" s="72">
        <v>40765</v>
      </c>
      <c r="M2648" s="142" t="s">
        <v>729</v>
      </c>
      <c r="N2648" s="74">
        <v>40777</v>
      </c>
      <c r="O2648" s="75">
        <f t="shared" si="610"/>
        <v>40777</v>
      </c>
      <c r="P2648" s="2765" t="s">
        <v>1943</v>
      </c>
      <c r="Q2648" s="2954">
        <v>104.24</v>
      </c>
      <c r="R2648" s="76"/>
      <c r="S2648" s="1945" t="s">
        <v>731</v>
      </c>
      <c r="T2648" s="77"/>
      <c r="U2648" s="1893"/>
      <c r="V2648" s="2079">
        <f t="shared" si="602"/>
        <v>123.00319999999999</v>
      </c>
      <c r="W2648" s="78">
        <f t="shared" si="603"/>
        <v>0</v>
      </c>
      <c r="X2648" s="1878" t="str">
        <f t="shared" si="601"/>
        <v xml:space="preserve">15.- C Goodyear 0240102-OT_154883  Reencauche 033-0004696 </v>
      </c>
      <c r="Z2648" s="19" t="str">
        <f t="shared" si="607"/>
        <v>ReencaucheReencauchadora RENOVA</v>
      </c>
    </row>
    <row r="2649" spans="2:26" outlineLevel="1">
      <c r="B2649" s="3275"/>
      <c r="C2649" s="2">
        <f t="shared" si="608"/>
        <v>163</v>
      </c>
      <c r="D2649" s="3">
        <f t="shared" si="609"/>
        <v>3</v>
      </c>
      <c r="E2649" s="66">
        <v>16</v>
      </c>
      <c r="F2649" s="67" t="s">
        <v>732</v>
      </c>
      <c r="G2649" s="68" t="s">
        <v>1233</v>
      </c>
      <c r="H2649" s="69" t="s">
        <v>1947</v>
      </c>
      <c r="I2649" s="68" t="s">
        <v>726</v>
      </c>
      <c r="J2649" s="70" t="s">
        <v>760</v>
      </c>
      <c r="K2649" s="71" t="s">
        <v>1946</v>
      </c>
      <c r="L2649" s="72">
        <v>40765</v>
      </c>
      <c r="M2649" s="142" t="s">
        <v>729</v>
      </c>
      <c r="N2649" s="74">
        <v>40777</v>
      </c>
      <c r="O2649" s="75">
        <f t="shared" si="610"/>
        <v>40777</v>
      </c>
      <c r="P2649" s="2765" t="s">
        <v>1943</v>
      </c>
      <c r="Q2649" s="2954">
        <v>104.24</v>
      </c>
      <c r="R2649" s="76"/>
      <c r="S2649" s="1945" t="s">
        <v>731</v>
      </c>
      <c r="T2649" s="77"/>
      <c r="U2649" s="1893"/>
      <c r="V2649" s="2079">
        <f t="shared" si="602"/>
        <v>123.00319999999999</v>
      </c>
      <c r="W2649" s="78">
        <f t="shared" si="603"/>
        <v>0</v>
      </c>
      <c r="X2649" s="1878" t="str">
        <f t="shared" si="601"/>
        <v xml:space="preserve">16.- C Saratoga 0360506-OT_154883  Reencauche 033-0004696 </v>
      </c>
      <c r="Z2649" s="19" t="str">
        <f t="shared" si="607"/>
        <v/>
      </c>
    </row>
    <row r="2650" spans="2:26">
      <c r="B2650" s="3275"/>
      <c r="C2650" s="2">
        <f t="shared" si="608"/>
        <v>162</v>
      </c>
      <c r="D2650" s="3">
        <f t="shared" si="609"/>
        <v>2</v>
      </c>
      <c r="E2650" s="66">
        <v>17</v>
      </c>
      <c r="F2650" s="67" t="s">
        <v>732</v>
      </c>
      <c r="G2650" s="68" t="s">
        <v>737</v>
      </c>
      <c r="H2650" s="69" t="s">
        <v>775</v>
      </c>
      <c r="I2650" s="68" t="s">
        <v>726</v>
      </c>
      <c r="J2650" s="70" t="s">
        <v>760</v>
      </c>
      <c r="K2650" s="71" t="s">
        <v>1946</v>
      </c>
      <c r="L2650" s="72">
        <v>40765</v>
      </c>
      <c r="M2650" s="142" t="s">
        <v>729</v>
      </c>
      <c r="N2650" s="74">
        <v>40777</v>
      </c>
      <c r="O2650" s="75">
        <f t="shared" si="610"/>
        <v>40777</v>
      </c>
      <c r="P2650" s="2765" t="s">
        <v>1943</v>
      </c>
      <c r="Q2650" s="2954">
        <v>104.24</v>
      </c>
      <c r="R2650" s="76"/>
      <c r="S2650" s="1945" t="s">
        <v>731</v>
      </c>
      <c r="T2650" s="77"/>
      <c r="U2650" s="1893"/>
      <c r="V2650" s="2079">
        <f t="shared" si="602"/>
        <v>123.00319999999999</v>
      </c>
      <c r="W2650" s="78">
        <f t="shared" si="603"/>
        <v>0</v>
      </c>
      <c r="X2650" s="1878" t="str">
        <f t="shared" si="601"/>
        <v xml:space="preserve">17.- C Vikrant 0110109-OT_154883  Reencauche 033-0004696 </v>
      </c>
    </row>
    <row r="2651" spans="2:26" outlineLevel="1">
      <c r="B2651" s="3275"/>
      <c r="C2651" s="2">
        <f>1+C2654</f>
        <v>161</v>
      </c>
      <c r="D2651" s="3">
        <v>1</v>
      </c>
      <c r="E2651" s="66">
        <v>18</v>
      </c>
      <c r="F2651" s="67" t="s">
        <v>732</v>
      </c>
      <c r="G2651" s="68" t="s">
        <v>737</v>
      </c>
      <c r="H2651" s="69" t="s">
        <v>1948</v>
      </c>
      <c r="I2651" s="68" t="s">
        <v>726</v>
      </c>
      <c r="J2651" s="70" t="s">
        <v>760</v>
      </c>
      <c r="K2651" s="71" t="s">
        <v>1946</v>
      </c>
      <c r="L2651" s="72">
        <v>40765</v>
      </c>
      <c r="M2651" s="142" t="s">
        <v>729</v>
      </c>
      <c r="N2651" s="74">
        <v>40777</v>
      </c>
      <c r="O2651" s="75">
        <f t="shared" si="610"/>
        <v>40777</v>
      </c>
      <c r="P2651" s="2765" t="s">
        <v>1943</v>
      </c>
      <c r="Q2651" s="2954">
        <v>104.24</v>
      </c>
      <c r="R2651" s="76"/>
      <c r="S2651" s="1945" t="s">
        <v>731</v>
      </c>
      <c r="T2651" s="77"/>
      <c r="U2651" s="1893"/>
      <c r="V2651" s="2079">
        <f t="shared" si="602"/>
        <v>123.00319999999999</v>
      </c>
      <c r="W2651" s="78">
        <f t="shared" si="603"/>
        <v>0</v>
      </c>
      <c r="X2651" s="1878" t="str">
        <f t="shared" si="601"/>
        <v xml:space="preserve">18.- C Vikrant 0910505-OT_154883  Reencauche 033-0004696 </v>
      </c>
      <c r="Z2651" s="19" t="str">
        <f t="shared" ref="Z2651:Z2666" si="611">CONCATENATE(I2654,J2654)</f>
        <v>ReencaucheReencauchadora RENOVA</v>
      </c>
    </row>
    <row r="2652" spans="2:26" ht="15.75" outlineLevel="1" thickBot="1">
      <c r="B2652" s="3276"/>
      <c r="E2652" s="404">
        <v>19</v>
      </c>
      <c r="F2652" s="2054" t="s">
        <v>732</v>
      </c>
      <c r="G2652" s="311" t="s">
        <v>757</v>
      </c>
      <c r="H2652" s="310" t="s">
        <v>1949</v>
      </c>
      <c r="I2652" s="311"/>
      <c r="J2652" s="312"/>
      <c r="K2652" s="313" t="s">
        <v>1946</v>
      </c>
      <c r="L2652" s="314">
        <v>40765</v>
      </c>
      <c r="M2652" s="315" t="s">
        <v>1815</v>
      </c>
      <c r="N2652" s="316">
        <v>40777</v>
      </c>
      <c r="O2652" s="317">
        <f t="shared" si="610"/>
        <v>40777</v>
      </c>
      <c r="P2652" s="2796" t="s">
        <v>1943</v>
      </c>
      <c r="Q2652" s="2977">
        <v>0</v>
      </c>
      <c r="R2652" s="318"/>
      <c r="S2652" s="1963" t="s">
        <v>731</v>
      </c>
      <c r="T2652" s="274" t="s">
        <v>1617</v>
      </c>
      <c r="U2652" s="1895"/>
      <c r="V2652" s="2079">
        <f t="shared" si="602"/>
        <v>0</v>
      </c>
      <c r="W2652" s="78">
        <f t="shared" si="603"/>
        <v>0</v>
      </c>
      <c r="X2652" s="1878" t="str">
        <f t="shared" si="601"/>
        <v>19.- C Goodyear 0370901-OT_154883   033-0004696  Llanta Rechazada, no se facturo</v>
      </c>
      <c r="Z2652" s="19" t="str">
        <f t="shared" si="611"/>
        <v>ReencaucheReencauchadora RENOVA</v>
      </c>
    </row>
    <row r="2653" spans="2:26" ht="15.75" outlineLevel="1" thickBot="1">
      <c r="B2653" s="3267">
        <f>+B2654</f>
        <v>40725</v>
      </c>
      <c r="C2653" s="3267"/>
      <c r="D2653" s="387">
        <f>+D2654</f>
        <v>11</v>
      </c>
      <c r="E2653" s="405"/>
      <c r="F2653" s="94"/>
      <c r="G2653" s="275"/>
      <c r="H2653" s="276"/>
      <c r="I2653" s="275"/>
      <c r="J2653" s="277"/>
      <c r="K2653" s="278"/>
      <c r="L2653" s="279"/>
      <c r="M2653" s="280"/>
      <c r="N2653" s="153"/>
      <c r="O2653" s="154"/>
      <c r="P2653" s="2794"/>
      <c r="Q2653" s="2959"/>
      <c r="R2653" s="281"/>
      <c r="S2653" s="1955"/>
      <c r="T2653" s="282"/>
      <c r="U2653" s="1898"/>
      <c r="V2653" s="2079">
        <f t="shared" si="602"/>
        <v>0</v>
      </c>
      <c r="W2653" s="78">
        <f t="shared" si="603"/>
        <v>0</v>
      </c>
      <c r="X2653" s="1878" t="str">
        <f t="shared" si="601"/>
        <v xml:space="preserve">.-   -OT_    </v>
      </c>
      <c r="Z2653" s="19" t="str">
        <f t="shared" si="611"/>
        <v>ReencaucheReencauchadora RENOVA</v>
      </c>
    </row>
    <row r="2654" spans="2:26" outlineLevel="1">
      <c r="B2654" s="3264">
        <v>40725</v>
      </c>
      <c r="C2654" s="2">
        <f t="shared" ref="C2654:C2663" si="612">1+C2655</f>
        <v>160</v>
      </c>
      <c r="D2654" s="306">
        <f t="shared" ref="D2654:D2663" si="613">1+D2655</f>
        <v>11</v>
      </c>
      <c r="E2654" s="66">
        <v>1</v>
      </c>
      <c r="F2654" s="67" t="s">
        <v>732</v>
      </c>
      <c r="G2654" s="68" t="s">
        <v>757</v>
      </c>
      <c r="H2654" s="69" t="s">
        <v>914</v>
      </c>
      <c r="I2654" s="68" t="s">
        <v>726</v>
      </c>
      <c r="J2654" s="70" t="s">
        <v>760</v>
      </c>
      <c r="K2654" s="71" t="s">
        <v>1950</v>
      </c>
      <c r="L2654" s="72">
        <v>40738</v>
      </c>
      <c r="M2654" s="73" t="s">
        <v>729</v>
      </c>
      <c r="N2654" s="74">
        <v>40749</v>
      </c>
      <c r="O2654" s="75">
        <f t="shared" ref="O2654:O2669" si="614">+N2654</f>
        <v>40749</v>
      </c>
      <c r="P2654" s="2765" t="s">
        <v>1951</v>
      </c>
      <c r="Q2654" s="2954">
        <v>104.24</v>
      </c>
      <c r="R2654" s="76"/>
      <c r="S2654" s="1945" t="s">
        <v>731</v>
      </c>
      <c r="T2654" s="77"/>
      <c r="U2654" s="1893"/>
      <c r="V2654" s="2079">
        <f t="shared" si="602"/>
        <v>123.00319999999999</v>
      </c>
      <c r="W2654" s="78">
        <f t="shared" si="603"/>
        <v>0</v>
      </c>
      <c r="X2654" s="1878" t="str">
        <f t="shared" si="601"/>
        <v xml:space="preserve">1.- C Goodyear 039082003-OT_153876  Reencauche 031-0002689 </v>
      </c>
      <c r="Z2654" s="19" t="str">
        <f t="shared" si="611"/>
        <v>ReencaucheReencauchadora RENOVA</v>
      </c>
    </row>
    <row r="2655" spans="2:26" outlineLevel="1">
      <c r="B2655" s="3265"/>
      <c r="C2655" s="2">
        <f t="shared" si="612"/>
        <v>159</v>
      </c>
      <c r="D2655" s="3">
        <f t="shared" si="613"/>
        <v>10</v>
      </c>
      <c r="E2655" s="66">
        <v>2</v>
      </c>
      <c r="F2655" s="67" t="s">
        <v>732</v>
      </c>
      <c r="G2655" s="68" t="s">
        <v>1108</v>
      </c>
      <c r="H2655" s="69" t="s">
        <v>1196</v>
      </c>
      <c r="I2655" s="68" t="s">
        <v>726</v>
      </c>
      <c r="J2655" s="70" t="s">
        <v>760</v>
      </c>
      <c r="K2655" s="71" t="s">
        <v>1950</v>
      </c>
      <c r="L2655" s="72">
        <v>40738</v>
      </c>
      <c r="M2655" s="73" t="s">
        <v>729</v>
      </c>
      <c r="N2655" s="74">
        <v>40749</v>
      </c>
      <c r="O2655" s="75">
        <f t="shared" si="614"/>
        <v>40749</v>
      </c>
      <c r="P2655" s="2765" t="s">
        <v>1951</v>
      </c>
      <c r="Q2655" s="2954">
        <v>104.24</v>
      </c>
      <c r="R2655" s="76"/>
      <c r="S2655" s="1945" t="s">
        <v>731</v>
      </c>
      <c r="T2655" s="77"/>
      <c r="U2655" s="1893"/>
      <c r="V2655" s="2079">
        <f t="shared" si="602"/>
        <v>123.00319999999999</v>
      </c>
      <c r="W2655" s="78">
        <f t="shared" si="603"/>
        <v>0</v>
      </c>
      <c r="X2655" s="1878" t="str">
        <f t="shared" si="601"/>
        <v xml:space="preserve">2.- C Hankook 0360305-OT_153876  Reencauche 031-0002689 </v>
      </c>
      <c r="Z2655" s="19" t="str">
        <f t="shared" si="611"/>
        <v>ReencaucheReencauchadora RENOVA</v>
      </c>
    </row>
    <row r="2656" spans="2:26" outlineLevel="1">
      <c r="B2656" s="3265"/>
      <c r="C2656" s="2">
        <f t="shared" si="612"/>
        <v>158</v>
      </c>
      <c r="D2656" s="3">
        <f t="shared" si="613"/>
        <v>9</v>
      </c>
      <c r="E2656" s="66">
        <v>3</v>
      </c>
      <c r="F2656" s="67" t="s">
        <v>732</v>
      </c>
      <c r="G2656" s="68" t="s">
        <v>733</v>
      </c>
      <c r="H2656" s="69" t="s">
        <v>1952</v>
      </c>
      <c r="I2656" s="68" t="s">
        <v>726</v>
      </c>
      <c r="J2656" s="70" t="s">
        <v>760</v>
      </c>
      <c r="K2656" s="71" t="s">
        <v>1950</v>
      </c>
      <c r="L2656" s="72">
        <v>40738</v>
      </c>
      <c r="M2656" s="73" t="s">
        <v>729</v>
      </c>
      <c r="N2656" s="74">
        <v>40749</v>
      </c>
      <c r="O2656" s="75">
        <f t="shared" si="614"/>
        <v>40749</v>
      </c>
      <c r="P2656" s="2765" t="s">
        <v>1951</v>
      </c>
      <c r="Q2656" s="2954">
        <v>104.24</v>
      </c>
      <c r="R2656" s="76"/>
      <c r="S2656" s="1945" t="s">
        <v>731</v>
      </c>
      <c r="T2656" s="77"/>
      <c r="U2656" s="1893"/>
      <c r="V2656" s="2079">
        <f t="shared" si="602"/>
        <v>123.00319999999999</v>
      </c>
      <c r="W2656" s="78">
        <f t="shared" si="603"/>
        <v>0</v>
      </c>
      <c r="X2656" s="1878" t="str">
        <f t="shared" si="601"/>
        <v xml:space="preserve">3.- C Lima Caucho 0130108-OT_153876  Reencauche 031-0002689 </v>
      </c>
      <c r="Z2656" s="19" t="str">
        <f t="shared" si="611"/>
        <v>ReencaucheReencauchadora RENOVA</v>
      </c>
    </row>
    <row r="2657" spans="2:26" outlineLevel="1">
      <c r="B2657" s="3265"/>
      <c r="C2657" s="2">
        <f t="shared" si="612"/>
        <v>157</v>
      </c>
      <c r="D2657" s="3">
        <f t="shared" si="613"/>
        <v>8</v>
      </c>
      <c r="E2657" s="66">
        <v>4</v>
      </c>
      <c r="F2657" s="67" t="s">
        <v>732</v>
      </c>
      <c r="G2657" s="68" t="s">
        <v>733</v>
      </c>
      <c r="H2657" s="69" t="s">
        <v>1737</v>
      </c>
      <c r="I2657" s="68" t="s">
        <v>726</v>
      </c>
      <c r="J2657" s="70" t="s">
        <v>760</v>
      </c>
      <c r="K2657" s="71" t="s">
        <v>1950</v>
      </c>
      <c r="L2657" s="72">
        <v>40738</v>
      </c>
      <c r="M2657" s="73" t="s">
        <v>729</v>
      </c>
      <c r="N2657" s="74">
        <v>40749</v>
      </c>
      <c r="O2657" s="75">
        <f t="shared" si="614"/>
        <v>40749</v>
      </c>
      <c r="P2657" s="2765" t="s">
        <v>1951</v>
      </c>
      <c r="Q2657" s="2954">
        <v>104.24</v>
      </c>
      <c r="R2657" s="76"/>
      <c r="S2657" s="1945" t="s">
        <v>731</v>
      </c>
      <c r="T2657" s="77"/>
      <c r="U2657" s="1893"/>
      <c r="V2657" s="2079">
        <f t="shared" si="602"/>
        <v>123.00319999999999</v>
      </c>
      <c r="W2657" s="78">
        <f t="shared" si="603"/>
        <v>0</v>
      </c>
      <c r="X2657" s="1878" t="str">
        <f t="shared" si="601"/>
        <v xml:space="preserve">4.- C Lima Caucho 0280507-OT_153876  Reencauche 031-0002689 </v>
      </c>
      <c r="Z2657" s="19" t="str">
        <f t="shared" si="611"/>
        <v>ReencaucheReencauchadora RENOVA</v>
      </c>
    </row>
    <row r="2658" spans="2:26" outlineLevel="1">
      <c r="B2658" s="3265"/>
      <c r="C2658" s="2">
        <f t="shared" si="612"/>
        <v>156</v>
      </c>
      <c r="D2658" s="3">
        <f t="shared" si="613"/>
        <v>7</v>
      </c>
      <c r="E2658" s="66">
        <v>5</v>
      </c>
      <c r="F2658" s="67" t="s">
        <v>732</v>
      </c>
      <c r="G2658" s="68" t="s">
        <v>733</v>
      </c>
      <c r="H2658" s="69" t="s">
        <v>1269</v>
      </c>
      <c r="I2658" s="68" t="s">
        <v>726</v>
      </c>
      <c r="J2658" s="70" t="s">
        <v>760</v>
      </c>
      <c r="K2658" s="71" t="s">
        <v>1950</v>
      </c>
      <c r="L2658" s="72">
        <v>40738</v>
      </c>
      <c r="M2658" s="73" t="s">
        <v>729</v>
      </c>
      <c r="N2658" s="74">
        <v>40749</v>
      </c>
      <c r="O2658" s="75">
        <f t="shared" si="614"/>
        <v>40749</v>
      </c>
      <c r="P2658" s="2765" t="s">
        <v>1951</v>
      </c>
      <c r="Q2658" s="2954">
        <v>104.24</v>
      </c>
      <c r="R2658" s="76"/>
      <c r="S2658" s="1945" t="s">
        <v>731</v>
      </c>
      <c r="T2658" s="77"/>
      <c r="U2658" s="1893"/>
      <c r="V2658" s="2079">
        <f t="shared" si="602"/>
        <v>123.00319999999999</v>
      </c>
      <c r="W2658" s="78">
        <f t="shared" si="603"/>
        <v>0</v>
      </c>
      <c r="X2658" s="1878" t="str">
        <f t="shared" ref="X2658:X2721" si="615">CONCATENATE(E2658,".- ",F2658," ",G2658," ",H2658,"-OT_",K2658," "," ",I2658," ",P2658," ",T2658)</f>
        <v xml:space="preserve">5.- C Lima Caucho 0710810-OT_153876  Reencauche 031-0002689 </v>
      </c>
      <c r="Z2658" s="19" t="str">
        <f t="shared" si="611"/>
        <v>ReencaucheReencauchadora RENOVA</v>
      </c>
    </row>
    <row r="2659" spans="2:26" outlineLevel="1">
      <c r="B2659" s="3265"/>
      <c r="C2659" s="2">
        <f t="shared" si="612"/>
        <v>155</v>
      </c>
      <c r="D2659" s="3">
        <f t="shared" si="613"/>
        <v>6</v>
      </c>
      <c r="E2659" s="66">
        <v>6</v>
      </c>
      <c r="F2659" s="67" t="s">
        <v>732</v>
      </c>
      <c r="G2659" s="68" t="s">
        <v>733</v>
      </c>
      <c r="H2659" s="69" t="s">
        <v>1275</v>
      </c>
      <c r="I2659" s="68" t="s">
        <v>726</v>
      </c>
      <c r="J2659" s="70" t="s">
        <v>760</v>
      </c>
      <c r="K2659" s="71" t="s">
        <v>1950</v>
      </c>
      <c r="L2659" s="72">
        <v>40738</v>
      </c>
      <c r="M2659" s="73" t="s">
        <v>729</v>
      </c>
      <c r="N2659" s="74">
        <v>40749</v>
      </c>
      <c r="O2659" s="75">
        <f t="shared" si="614"/>
        <v>40749</v>
      </c>
      <c r="P2659" s="2765" t="s">
        <v>1951</v>
      </c>
      <c r="Q2659" s="2954">
        <v>104.24</v>
      </c>
      <c r="R2659" s="76"/>
      <c r="S2659" s="1945" t="s">
        <v>731</v>
      </c>
      <c r="T2659" s="77"/>
      <c r="U2659" s="1893"/>
      <c r="V2659" s="2079">
        <f t="shared" ref="V2659:V2722" si="616">+Q2659*(1.18)</f>
        <v>123.00319999999999</v>
      </c>
      <c r="W2659" s="78">
        <f t="shared" ref="W2659:W2722" si="617">+R2659*(1.18)</f>
        <v>0</v>
      </c>
      <c r="X2659" s="1878" t="str">
        <f t="shared" si="615"/>
        <v xml:space="preserve">6.- C Lima Caucho 0760908-OT_153876  Reencauche 031-0002689 </v>
      </c>
      <c r="Z2659" s="19" t="str">
        <f t="shared" si="611"/>
        <v>ReencaucheReencauchadora RENOVA</v>
      </c>
    </row>
    <row r="2660" spans="2:26" outlineLevel="1">
      <c r="B2660" s="3265"/>
      <c r="C2660" s="2">
        <f t="shared" si="612"/>
        <v>154</v>
      </c>
      <c r="D2660" s="3">
        <f t="shared" si="613"/>
        <v>5</v>
      </c>
      <c r="E2660" s="66">
        <v>7</v>
      </c>
      <c r="F2660" s="67" t="s">
        <v>732</v>
      </c>
      <c r="G2660" s="68" t="s">
        <v>1233</v>
      </c>
      <c r="H2660" s="69" t="s">
        <v>1953</v>
      </c>
      <c r="I2660" s="68" t="s">
        <v>726</v>
      </c>
      <c r="J2660" s="70" t="s">
        <v>760</v>
      </c>
      <c r="K2660" s="71" t="s">
        <v>1954</v>
      </c>
      <c r="L2660" s="72">
        <v>40738</v>
      </c>
      <c r="M2660" s="73" t="s">
        <v>729</v>
      </c>
      <c r="N2660" s="74">
        <v>40749</v>
      </c>
      <c r="O2660" s="75">
        <f t="shared" si="614"/>
        <v>40749</v>
      </c>
      <c r="P2660" s="2765" t="s">
        <v>1951</v>
      </c>
      <c r="Q2660" s="2954">
        <v>104.24</v>
      </c>
      <c r="R2660" s="76"/>
      <c r="S2660" s="1945" t="s">
        <v>731</v>
      </c>
      <c r="T2660" s="77"/>
      <c r="U2660" s="1893"/>
      <c r="V2660" s="2079">
        <f t="shared" si="616"/>
        <v>123.00319999999999</v>
      </c>
      <c r="W2660" s="78">
        <f t="shared" si="617"/>
        <v>0</v>
      </c>
      <c r="X2660" s="1878" t="str">
        <f t="shared" si="615"/>
        <v xml:space="preserve">7.- C Saratoga 0320306-OT_153877  Reencauche 031-0002689 </v>
      </c>
      <c r="Z2660" s="19" t="str">
        <f t="shared" si="611"/>
        <v>ReencaucheReencauchadora RENOVA</v>
      </c>
    </row>
    <row r="2661" spans="2:26" outlineLevel="1">
      <c r="B2661" s="3265"/>
      <c r="C2661" s="2">
        <f t="shared" si="612"/>
        <v>153</v>
      </c>
      <c r="D2661" s="3">
        <f t="shared" si="613"/>
        <v>4</v>
      </c>
      <c r="E2661" s="66">
        <v>8</v>
      </c>
      <c r="F2661" s="67" t="s">
        <v>732</v>
      </c>
      <c r="G2661" s="68" t="s">
        <v>737</v>
      </c>
      <c r="H2661" s="69" t="s">
        <v>1081</v>
      </c>
      <c r="I2661" s="68" t="s">
        <v>726</v>
      </c>
      <c r="J2661" s="70" t="s">
        <v>760</v>
      </c>
      <c r="K2661" s="71" t="s">
        <v>1954</v>
      </c>
      <c r="L2661" s="72">
        <v>40738</v>
      </c>
      <c r="M2661" s="73" t="s">
        <v>729</v>
      </c>
      <c r="N2661" s="74">
        <v>40749</v>
      </c>
      <c r="O2661" s="75">
        <f t="shared" si="614"/>
        <v>40749</v>
      </c>
      <c r="P2661" s="2765" t="s">
        <v>1951</v>
      </c>
      <c r="Q2661" s="2954">
        <v>104.24</v>
      </c>
      <c r="R2661" s="76"/>
      <c r="S2661" s="1945" t="s">
        <v>731</v>
      </c>
      <c r="T2661" s="77"/>
      <c r="U2661" s="1893"/>
      <c r="V2661" s="2079">
        <f t="shared" si="616"/>
        <v>123.00319999999999</v>
      </c>
      <c r="W2661" s="78">
        <f t="shared" si="617"/>
        <v>0</v>
      </c>
      <c r="X2661" s="1878" t="str">
        <f t="shared" si="615"/>
        <v xml:space="preserve">8.- C Vikrant 0941206-OT_153877  Reencauche 031-0002689 </v>
      </c>
      <c r="Z2661" s="19" t="str">
        <f t="shared" si="611"/>
        <v>ReencaucheReencauchadora RENOVA</v>
      </c>
    </row>
    <row r="2662" spans="2:26" outlineLevel="1">
      <c r="B2662" s="3265"/>
      <c r="C2662" s="2">
        <f t="shared" si="612"/>
        <v>152</v>
      </c>
      <c r="D2662" s="3">
        <f t="shared" si="613"/>
        <v>3</v>
      </c>
      <c r="E2662" s="66">
        <v>9</v>
      </c>
      <c r="F2662" s="67" t="s">
        <v>732</v>
      </c>
      <c r="G2662" s="68" t="s">
        <v>737</v>
      </c>
      <c r="H2662" s="69" t="s">
        <v>1711</v>
      </c>
      <c r="I2662" s="68" t="s">
        <v>726</v>
      </c>
      <c r="J2662" s="70" t="s">
        <v>760</v>
      </c>
      <c r="K2662" s="71" t="s">
        <v>1954</v>
      </c>
      <c r="L2662" s="72">
        <v>40738</v>
      </c>
      <c r="M2662" s="73" t="s">
        <v>729</v>
      </c>
      <c r="N2662" s="74">
        <v>40749</v>
      </c>
      <c r="O2662" s="75">
        <f t="shared" si="614"/>
        <v>40749</v>
      </c>
      <c r="P2662" s="2765" t="s">
        <v>1951</v>
      </c>
      <c r="Q2662" s="2954">
        <v>104.24</v>
      </c>
      <c r="R2662" s="76"/>
      <c r="S2662" s="1945" t="s">
        <v>731</v>
      </c>
      <c r="T2662" s="77"/>
      <c r="U2662" s="1893"/>
      <c r="V2662" s="2079">
        <f t="shared" si="616"/>
        <v>123.00319999999999</v>
      </c>
      <c r="W2662" s="78">
        <f t="shared" si="617"/>
        <v>0</v>
      </c>
      <c r="X2662" s="1878" t="str">
        <f t="shared" si="615"/>
        <v xml:space="preserve">9.- C Vikrant 0550709-OT_153877  Reencauche 031-0002689 </v>
      </c>
      <c r="Z2662" s="19" t="str">
        <f t="shared" si="611"/>
        <v/>
      </c>
    </row>
    <row r="2663" spans="2:26" outlineLevel="1">
      <c r="B2663" s="3265"/>
      <c r="C2663" s="2">
        <f t="shared" si="612"/>
        <v>151</v>
      </c>
      <c r="D2663" s="3">
        <f t="shared" si="613"/>
        <v>2</v>
      </c>
      <c r="E2663" s="66">
        <v>10</v>
      </c>
      <c r="F2663" s="67" t="s">
        <v>732</v>
      </c>
      <c r="G2663" s="68" t="s">
        <v>737</v>
      </c>
      <c r="H2663" s="69" t="s">
        <v>1060</v>
      </c>
      <c r="I2663" s="68" t="s">
        <v>726</v>
      </c>
      <c r="J2663" s="70" t="s">
        <v>760</v>
      </c>
      <c r="K2663" s="71" t="s">
        <v>1954</v>
      </c>
      <c r="L2663" s="72">
        <v>40738</v>
      </c>
      <c r="M2663" s="73" t="s">
        <v>729</v>
      </c>
      <c r="N2663" s="74">
        <v>40749</v>
      </c>
      <c r="O2663" s="75">
        <f t="shared" si="614"/>
        <v>40749</v>
      </c>
      <c r="P2663" s="2765" t="s">
        <v>1951</v>
      </c>
      <c r="Q2663" s="2954">
        <v>104.24</v>
      </c>
      <c r="R2663" s="76"/>
      <c r="S2663" s="1945" t="s">
        <v>731</v>
      </c>
      <c r="T2663" s="77"/>
      <c r="U2663" s="1893"/>
      <c r="V2663" s="2079">
        <f t="shared" si="616"/>
        <v>123.00319999999999</v>
      </c>
      <c r="W2663" s="78">
        <f t="shared" si="617"/>
        <v>0</v>
      </c>
      <c r="X2663" s="1878" t="str">
        <f t="shared" si="615"/>
        <v xml:space="preserve">10.- C Vikrant 0801009-OT_153877  Reencauche 031-0002689 </v>
      </c>
      <c r="Z2663" s="19" t="str">
        <f t="shared" si="611"/>
        <v/>
      </c>
    </row>
    <row r="2664" spans="2:26" outlineLevel="1">
      <c r="B2664" s="3265"/>
      <c r="C2664" s="2">
        <f>1+C2671</f>
        <v>150</v>
      </c>
      <c r="D2664" s="3">
        <v>1</v>
      </c>
      <c r="E2664" s="66">
        <v>11</v>
      </c>
      <c r="F2664" s="67" t="s">
        <v>732</v>
      </c>
      <c r="G2664" s="68" t="s">
        <v>737</v>
      </c>
      <c r="H2664" s="69" t="s">
        <v>1955</v>
      </c>
      <c r="I2664" s="68" t="s">
        <v>726</v>
      </c>
      <c r="J2664" s="70" t="s">
        <v>760</v>
      </c>
      <c r="K2664" s="71" t="s">
        <v>1954</v>
      </c>
      <c r="L2664" s="72">
        <v>40738</v>
      </c>
      <c r="M2664" s="73" t="s">
        <v>729</v>
      </c>
      <c r="N2664" s="74">
        <v>40749</v>
      </c>
      <c r="O2664" s="75">
        <f t="shared" si="614"/>
        <v>40749</v>
      </c>
      <c r="P2664" s="2765" t="s">
        <v>1951</v>
      </c>
      <c r="Q2664" s="2954">
        <v>104.24</v>
      </c>
      <c r="R2664" s="76"/>
      <c r="S2664" s="1945" t="s">
        <v>731</v>
      </c>
      <c r="T2664" s="77"/>
      <c r="U2664" s="1893"/>
      <c r="V2664" s="2079">
        <f t="shared" si="616"/>
        <v>123.00319999999999</v>
      </c>
      <c r="W2664" s="78">
        <f t="shared" si="617"/>
        <v>0</v>
      </c>
      <c r="X2664" s="1878" t="str">
        <f t="shared" si="615"/>
        <v xml:space="preserve">11.- C Vikrant 0791009-OT_153877  Reencauche 031-0002689 </v>
      </c>
      <c r="Z2664" s="19" t="str">
        <f t="shared" si="611"/>
        <v/>
      </c>
    </row>
    <row r="2665" spans="2:26" outlineLevel="1">
      <c r="B2665" s="3265"/>
      <c r="E2665" s="406">
        <v>12</v>
      </c>
      <c r="F2665" s="573" t="s">
        <v>732</v>
      </c>
      <c r="G2665" s="290" t="s">
        <v>757</v>
      </c>
      <c r="H2665" s="289" t="s">
        <v>1956</v>
      </c>
      <c r="I2665" s="290"/>
      <c r="J2665" s="407"/>
      <c r="K2665" s="292" t="s">
        <v>1950</v>
      </c>
      <c r="L2665" s="293">
        <v>40738</v>
      </c>
      <c r="M2665" s="294" t="s">
        <v>1815</v>
      </c>
      <c r="N2665" s="295">
        <v>40749</v>
      </c>
      <c r="O2665" s="296">
        <f t="shared" si="614"/>
        <v>40749</v>
      </c>
      <c r="P2665" s="2795" t="s">
        <v>1951</v>
      </c>
      <c r="Q2665" s="2976">
        <v>0</v>
      </c>
      <c r="R2665" s="286"/>
      <c r="S2665" s="1962" t="s">
        <v>731</v>
      </c>
      <c r="T2665" s="274" t="s">
        <v>1617</v>
      </c>
      <c r="U2665" s="1895"/>
      <c r="V2665" s="2079">
        <f t="shared" si="616"/>
        <v>0</v>
      </c>
      <c r="W2665" s="78">
        <f t="shared" si="617"/>
        <v>0</v>
      </c>
      <c r="X2665" s="1878" t="str">
        <f t="shared" si="615"/>
        <v>12.- C Goodyear 0731201-OT_153876   031-0002689  Llanta Rechazada, no se facturo</v>
      </c>
      <c r="Z2665" s="19" t="str">
        <f t="shared" si="611"/>
        <v/>
      </c>
    </row>
    <row r="2666" spans="2:26" outlineLevel="1">
      <c r="B2666" s="3265"/>
      <c r="E2666" s="406">
        <v>13</v>
      </c>
      <c r="F2666" s="573" t="s">
        <v>732</v>
      </c>
      <c r="G2666" s="290" t="s">
        <v>757</v>
      </c>
      <c r="H2666" s="289" t="s">
        <v>1957</v>
      </c>
      <c r="I2666" s="290"/>
      <c r="J2666" s="291"/>
      <c r="K2666" s="292" t="s">
        <v>1950</v>
      </c>
      <c r="L2666" s="293">
        <v>40738</v>
      </c>
      <c r="M2666" s="294" t="s">
        <v>1815</v>
      </c>
      <c r="N2666" s="295">
        <v>40749</v>
      </c>
      <c r="O2666" s="296">
        <f t="shared" si="614"/>
        <v>40749</v>
      </c>
      <c r="P2666" s="2795" t="s">
        <v>1951</v>
      </c>
      <c r="Q2666" s="2976">
        <v>0</v>
      </c>
      <c r="R2666" s="286"/>
      <c r="S2666" s="1962" t="s">
        <v>731</v>
      </c>
      <c r="T2666" s="274" t="s">
        <v>1617</v>
      </c>
      <c r="U2666" s="1895"/>
      <c r="V2666" s="2079">
        <f t="shared" si="616"/>
        <v>0</v>
      </c>
      <c r="W2666" s="78">
        <f t="shared" si="617"/>
        <v>0</v>
      </c>
      <c r="X2666" s="1878" t="str">
        <f t="shared" si="615"/>
        <v>13.- C Goodyear 0090102-OT_153876   031-0002689  Llanta Rechazada, no se facturo</v>
      </c>
      <c r="Z2666" s="19" t="str">
        <f t="shared" si="611"/>
        <v/>
      </c>
    </row>
    <row r="2667" spans="2:26">
      <c r="B2667" s="3265"/>
      <c r="E2667" s="406">
        <v>14</v>
      </c>
      <c r="F2667" s="573" t="s">
        <v>732</v>
      </c>
      <c r="G2667" s="290" t="s">
        <v>733</v>
      </c>
      <c r="H2667" s="289" t="s">
        <v>1958</v>
      </c>
      <c r="I2667" s="290"/>
      <c r="J2667" s="291"/>
      <c r="K2667" s="292" t="s">
        <v>1950</v>
      </c>
      <c r="L2667" s="293">
        <v>40738</v>
      </c>
      <c r="M2667" s="294" t="s">
        <v>1815</v>
      </c>
      <c r="N2667" s="295">
        <v>40749</v>
      </c>
      <c r="O2667" s="296">
        <f t="shared" si="614"/>
        <v>40749</v>
      </c>
      <c r="P2667" s="2795" t="s">
        <v>1951</v>
      </c>
      <c r="Q2667" s="2976">
        <v>0</v>
      </c>
      <c r="R2667" s="286"/>
      <c r="S2667" s="1962" t="s">
        <v>731</v>
      </c>
      <c r="T2667" s="274" t="s">
        <v>1617</v>
      </c>
      <c r="U2667" s="1895"/>
      <c r="V2667" s="2079">
        <f t="shared" si="616"/>
        <v>0</v>
      </c>
      <c r="W2667" s="78">
        <f t="shared" si="617"/>
        <v>0</v>
      </c>
      <c r="X2667" s="1878" t="str">
        <f t="shared" si="615"/>
        <v>14.- C Lima Caucho 0510708-OT_153876   031-0002689  Llanta Rechazada, no se facturo</v>
      </c>
    </row>
    <row r="2668" spans="2:26" ht="15.2" customHeight="1" outlineLevel="1">
      <c r="B2668" s="3265"/>
      <c r="E2668" s="406">
        <v>15</v>
      </c>
      <c r="F2668" s="573" t="s">
        <v>732</v>
      </c>
      <c r="G2668" s="290" t="s">
        <v>733</v>
      </c>
      <c r="H2668" s="289" t="s">
        <v>1959</v>
      </c>
      <c r="I2668" s="290"/>
      <c r="J2668" s="291"/>
      <c r="K2668" s="292" t="s">
        <v>1950</v>
      </c>
      <c r="L2668" s="293">
        <v>40738</v>
      </c>
      <c r="M2668" s="294" t="s">
        <v>1815</v>
      </c>
      <c r="N2668" s="295">
        <v>40749</v>
      </c>
      <c r="O2668" s="296">
        <f t="shared" si="614"/>
        <v>40749</v>
      </c>
      <c r="P2668" s="2795" t="s">
        <v>1951</v>
      </c>
      <c r="Q2668" s="2976">
        <v>0</v>
      </c>
      <c r="R2668" s="286"/>
      <c r="S2668" s="1962" t="s">
        <v>731</v>
      </c>
      <c r="T2668" s="274" t="s">
        <v>1617</v>
      </c>
      <c r="U2668" s="1895"/>
      <c r="V2668" s="2079">
        <f t="shared" si="616"/>
        <v>0</v>
      </c>
      <c r="W2668" s="78">
        <f t="shared" si="617"/>
        <v>0</v>
      </c>
      <c r="X2668" s="1878" t="str">
        <f t="shared" si="615"/>
        <v>15.- C Lima Caucho 0690810-OT_153876   031-0002689  Llanta Rechazada, no se facturo</v>
      </c>
      <c r="Z2668" s="19" t="str">
        <f t="shared" ref="Z2668:Z2690" si="618">CONCATENATE(I2671,J2671)</f>
        <v>ReencaucheAMC Llantas</v>
      </c>
    </row>
    <row r="2669" spans="2:26" ht="15.75" outlineLevel="1" thickBot="1">
      <c r="B2669" s="3266"/>
      <c r="E2669" s="404">
        <v>16</v>
      </c>
      <c r="F2669" s="2054" t="s">
        <v>732</v>
      </c>
      <c r="G2669" s="311" t="s">
        <v>737</v>
      </c>
      <c r="H2669" s="310" t="s">
        <v>1960</v>
      </c>
      <c r="I2669" s="311"/>
      <c r="J2669" s="312"/>
      <c r="K2669" s="313" t="s">
        <v>1954</v>
      </c>
      <c r="L2669" s="314">
        <v>40738</v>
      </c>
      <c r="M2669" s="315" t="s">
        <v>1815</v>
      </c>
      <c r="N2669" s="316">
        <v>40749</v>
      </c>
      <c r="O2669" s="317">
        <f t="shared" si="614"/>
        <v>40749</v>
      </c>
      <c r="P2669" s="2796" t="s">
        <v>1951</v>
      </c>
      <c r="Q2669" s="2977">
        <v>0</v>
      </c>
      <c r="R2669" s="318"/>
      <c r="S2669" s="1963" t="s">
        <v>731</v>
      </c>
      <c r="T2669" s="274" t="s">
        <v>1617</v>
      </c>
      <c r="U2669" s="1895"/>
      <c r="V2669" s="2079">
        <f t="shared" si="616"/>
        <v>0</v>
      </c>
      <c r="W2669" s="78">
        <f t="shared" si="617"/>
        <v>0</v>
      </c>
      <c r="X2669" s="1878" t="str">
        <f t="shared" si="615"/>
        <v>16.- C Vikrant 1420805-OT_153877   031-0002689  Llanta Rechazada, no se facturo</v>
      </c>
      <c r="Z2669" s="19" t="str">
        <f t="shared" si="618"/>
        <v>ReencaucheAMC Llantas</v>
      </c>
    </row>
    <row r="2670" spans="2:26" ht="15.75" outlineLevel="1" thickBot="1">
      <c r="B2670" s="3267">
        <f>+B2671</f>
        <v>40695</v>
      </c>
      <c r="C2670" s="3267"/>
      <c r="D2670" s="387">
        <f>+D2671</f>
        <v>21</v>
      </c>
      <c r="E2670" s="405"/>
      <c r="F2670" s="94"/>
      <c r="G2670" s="275"/>
      <c r="H2670" s="276"/>
      <c r="I2670" s="275"/>
      <c r="J2670" s="277"/>
      <c r="K2670" s="278"/>
      <c r="L2670" s="279"/>
      <c r="M2670" s="280"/>
      <c r="N2670" s="153"/>
      <c r="O2670" s="154"/>
      <c r="P2670" s="2794"/>
      <c r="Q2670" s="2959"/>
      <c r="R2670" s="281"/>
      <c r="S2670" s="1955"/>
      <c r="T2670" s="282"/>
      <c r="U2670" s="1898"/>
      <c r="V2670" s="2079">
        <f t="shared" si="616"/>
        <v>0</v>
      </c>
      <c r="W2670" s="78">
        <f t="shared" si="617"/>
        <v>0</v>
      </c>
      <c r="X2670" s="1878" t="str">
        <f t="shared" si="615"/>
        <v xml:space="preserve">.-   -OT_    </v>
      </c>
      <c r="Z2670" s="19" t="str">
        <f t="shared" si="618"/>
        <v>ReencaucheAMC Llantas</v>
      </c>
    </row>
    <row r="2671" spans="2:26" outlineLevel="1">
      <c r="B2671" s="3274">
        <v>40695</v>
      </c>
      <c r="C2671" s="2">
        <f t="shared" ref="C2671:C2690" si="619">1+C2672</f>
        <v>149</v>
      </c>
      <c r="D2671" s="306">
        <f t="shared" ref="D2671:D2690" si="620">1+D2672</f>
        <v>21</v>
      </c>
      <c r="E2671" s="66">
        <v>1</v>
      </c>
      <c r="F2671" s="67" t="s">
        <v>732</v>
      </c>
      <c r="G2671" s="68" t="s">
        <v>733</v>
      </c>
      <c r="H2671" s="69" t="s">
        <v>1407</v>
      </c>
      <c r="I2671" s="68" t="s">
        <v>726</v>
      </c>
      <c r="J2671" s="70" t="s">
        <v>1961</v>
      </c>
      <c r="K2671" s="71" t="s">
        <v>1962</v>
      </c>
      <c r="L2671" s="72">
        <v>40711</v>
      </c>
      <c r="M2671" s="73" t="s">
        <v>729</v>
      </c>
      <c r="N2671" s="74">
        <v>40728</v>
      </c>
      <c r="O2671" s="75">
        <f t="shared" ref="O2671:O2693" si="621">+N2671</f>
        <v>40728</v>
      </c>
      <c r="P2671" s="2765" t="s">
        <v>1963</v>
      </c>
      <c r="Q2671" s="2954"/>
      <c r="R2671" s="76">
        <v>305.08479999999997</v>
      </c>
      <c r="S2671" s="1945" t="s">
        <v>731</v>
      </c>
      <c r="T2671" s="77"/>
      <c r="U2671" s="1893"/>
      <c r="V2671" s="2079">
        <f t="shared" si="616"/>
        <v>0</v>
      </c>
      <c r="W2671" s="78">
        <f t="shared" si="617"/>
        <v>360.00006399999995</v>
      </c>
      <c r="X2671" s="1878" t="str">
        <f t="shared" si="615"/>
        <v xml:space="preserve">1.- C Lima Caucho 0400608-OT_000694  Reencauche 002-001502 </v>
      </c>
      <c r="Z2671" s="19" t="str">
        <f t="shared" si="618"/>
        <v>ReencaucheAMC Llantas</v>
      </c>
    </row>
    <row r="2672" spans="2:26" outlineLevel="1">
      <c r="B2672" s="3275"/>
      <c r="C2672" s="2">
        <f t="shared" si="619"/>
        <v>148</v>
      </c>
      <c r="D2672" s="3">
        <f t="shared" si="620"/>
        <v>20</v>
      </c>
      <c r="E2672" s="66">
        <v>2</v>
      </c>
      <c r="F2672" s="67" t="s">
        <v>732</v>
      </c>
      <c r="G2672" s="68" t="s">
        <v>737</v>
      </c>
      <c r="H2672" s="69" t="s">
        <v>1964</v>
      </c>
      <c r="I2672" s="68" t="s">
        <v>726</v>
      </c>
      <c r="J2672" s="70" t="s">
        <v>1961</v>
      </c>
      <c r="K2672" s="71" t="s">
        <v>1962</v>
      </c>
      <c r="L2672" s="72">
        <v>40711</v>
      </c>
      <c r="M2672" s="73" t="s">
        <v>729</v>
      </c>
      <c r="N2672" s="74">
        <v>40728</v>
      </c>
      <c r="O2672" s="75">
        <f t="shared" si="621"/>
        <v>40728</v>
      </c>
      <c r="P2672" s="2765" t="s">
        <v>1963</v>
      </c>
      <c r="Q2672" s="2954"/>
      <c r="R2672" s="76">
        <v>305.08479999999997</v>
      </c>
      <c r="S2672" s="1945" t="s">
        <v>731</v>
      </c>
      <c r="T2672" s="77"/>
      <c r="U2672" s="1893"/>
      <c r="V2672" s="2079">
        <f t="shared" si="616"/>
        <v>0</v>
      </c>
      <c r="W2672" s="78">
        <f t="shared" si="617"/>
        <v>360.00006399999995</v>
      </c>
      <c r="X2672" s="1878" t="str">
        <f t="shared" si="615"/>
        <v xml:space="preserve">2.- C Vikrant 0590709-OT_000694  Reencauche 002-001502 </v>
      </c>
      <c r="Z2672" s="19" t="str">
        <f t="shared" si="618"/>
        <v>ReencaucheAMC Llantas</v>
      </c>
    </row>
    <row r="2673" spans="2:26" outlineLevel="1">
      <c r="B2673" s="3275"/>
      <c r="C2673" s="2">
        <f t="shared" si="619"/>
        <v>147</v>
      </c>
      <c r="D2673" s="3">
        <f t="shared" si="620"/>
        <v>19</v>
      </c>
      <c r="E2673" s="66">
        <v>3</v>
      </c>
      <c r="F2673" s="67" t="s">
        <v>732</v>
      </c>
      <c r="G2673" s="68" t="s">
        <v>1233</v>
      </c>
      <c r="H2673" s="69" t="s">
        <v>1620</v>
      </c>
      <c r="I2673" s="68" t="s">
        <v>726</v>
      </c>
      <c r="J2673" s="70" t="s">
        <v>1961</v>
      </c>
      <c r="K2673" s="71" t="s">
        <v>1962</v>
      </c>
      <c r="L2673" s="72">
        <v>40711</v>
      </c>
      <c r="M2673" s="73" t="s">
        <v>729</v>
      </c>
      <c r="N2673" s="74">
        <v>40728</v>
      </c>
      <c r="O2673" s="75">
        <f t="shared" si="621"/>
        <v>40728</v>
      </c>
      <c r="P2673" s="2765" t="s">
        <v>1963</v>
      </c>
      <c r="Q2673" s="2954"/>
      <c r="R2673" s="76">
        <v>305.08479999999997</v>
      </c>
      <c r="S2673" s="1945" t="s">
        <v>731</v>
      </c>
      <c r="T2673" s="77"/>
      <c r="U2673" s="1893"/>
      <c r="V2673" s="2079">
        <f t="shared" si="616"/>
        <v>0</v>
      </c>
      <c r="W2673" s="78">
        <f t="shared" si="617"/>
        <v>360.00006399999995</v>
      </c>
      <c r="X2673" s="1878" t="str">
        <f t="shared" si="615"/>
        <v xml:space="preserve">3.- C Saratoga 0260306-OT_000694  Reencauche 002-001502 </v>
      </c>
      <c r="Z2673" s="19" t="str">
        <f t="shared" si="618"/>
        <v>ReencaucheAMC Llantas</v>
      </c>
    </row>
    <row r="2674" spans="2:26" outlineLevel="1">
      <c r="B2674" s="3275"/>
      <c r="C2674" s="2">
        <f t="shared" si="619"/>
        <v>146</v>
      </c>
      <c r="D2674" s="3">
        <f t="shared" si="620"/>
        <v>18</v>
      </c>
      <c r="E2674" s="66">
        <v>4</v>
      </c>
      <c r="F2674" s="67" t="s">
        <v>732</v>
      </c>
      <c r="G2674" s="68" t="s">
        <v>737</v>
      </c>
      <c r="H2674" s="69" t="s">
        <v>1763</v>
      </c>
      <c r="I2674" s="68" t="s">
        <v>726</v>
      </c>
      <c r="J2674" s="70" t="s">
        <v>1961</v>
      </c>
      <c r="K2674" s="71" t="s">
        <v>1962</v>
      </c>
      <c r="L2674" s="72">
        <v>40711</v>
      </c>
      <c r="M2674" s="73" t="s">
        <v>729</v>
      </c>
      <c r="N2674" s="74">
        <v>40728</v>
      </c>
      <c r="O2674" s="75">
        <f t="shared" si="621"/>
        <v>40728</v>
      </c>
      <c r="P2674" s="2765" t="s">
        <v>1963</v>
      </c>
      <c r="Q2674" s="2954"/>
      <c r="R2674" s="76">
        <v>305.08479999999997</v>
      </c>
      <c r="S2674" s="1945" t="s">
        <v>731</v>
      </c>
      <c r="T2674" s="408">
        <f>+R2674*(1.18)</f>
        <v>360.00006399999995</v>
      </c>
      <c r="U2674" s="1930"/>
      <c r="V2674" s="2079">
        <f t="shared" si="616"/>
        <v>0</v>
      </c>
      <c r="W2674" s="78">
        <f t="shared" si="617"/>
        <v>360.00006399999995</v>
      </c>
      <c r="X2674" s="1878" t="str">
        <f t="shared" si="615"/>
        <v>4.- C Vikrant 0881007-OT_000694  Reencauche 002-001502 360.000064</v>
      </c>
      <c r="Z2674" s="19" t="str">
        <f t="shared" si="618"/>
        <v>ReencaucheAMC Llantas</v>
      </c>
    </row>
    <row r="2675" spans="2:26" outlineLevel="1">
      <c r="B2675" s="3275"/>
      <c r="C2675" s="2">
        <f t="shared" si="619"/>
        <v>145</v>
      </c>
      <c r="D2675" s="3">
        <f t="shared" si="620"/>
        <v>17</v>
      </c>
      <c r="E2675" s="66">
        <v>5</v>
      </c>
      <c r="F2675" s="67" t="s">
        <v>732</v>
      </c>
      <c r="G2675" s="68" t="s">
        <v>733</v>
      </c>
      <c r="H2675" s="69" t="s">
        <v>1965</v>
      </c>
      <c r="I2675" s="68" t="s">
        <v>726</v>
      </c>
      <c r="J2675" s="70" t="s">
        <v>1961</v>
      </c>
      <c r="K2675" s="71" t="s">
        <v>1962</v>
      </c>
      <c r="L2675" s="72">
        <v>40711</v>
      </c>
      <c r="M2675" s="73" t="s">
        <v>729</v>
      </c>
      <c r="N2675" s="74">
        <v>40728</v>
      </c>
      <c r="O2675" s="75">
        <f t="shared" si="621"/>
        <v>40728</v>
      </c>
      <c r="P2675" s="2765" t="s">
        <v>1963</v>
      </c>
      <c r="Q2675" s="2954"/>
      <c r="R2675" s="76">
        <v>305.08479999999997</v>
      </c>
      <c r="S2675" s="1945" t="s">
        <v>731</v>
      </c>
      <c r="T2675" s="408">
        <f>+Q2664*2.75*(1.18)</f>
        <v>338.25879999999995</v>
      </c>
      <c r="U2675" s="1930"/>
      <c r="V2675" s="2079">
        <f t="shared" si="616"/>
        <v>0</v>
      </c>
      <c r="W2675" s="78">
        <f t="shared" si="617"/>
        <v>360.00006399999995</v>
      </c>
      <c r="X2675" s="1878" t="str">
        <f t="shared" si="615"/>
        <v>5.- C Lima Caucho 0830908-OT_000694  Reencauche 002-001502 338.2588</v>
      </c>
      <c r="Z2675" s="19" t="str">
        <f t="shared" si="618"/>
        <v>ReencaucheAMC Llantas</v>
      </c>
    </row>
    <row r="2676" spans="2:26" outlineLevel="1">
      <c r="B2676" s="3275"/>
      <c r="C2676" s="2">
        <f t="shared" si="619"/>
        <v>144</v>
      </c>
      <c r="D2676" s="3">
        <f t="shared" si="620"/>
        <v>16</v>
      </c>
      <c r="E2676" s="79">
        <v>6</v>
      </c>
      <c r="F2676" s="80" t="s">
        <v>732</v>
      </c>
      <c r="G2676" s="81" t="s">
        <v>737</v>
      </c>
      <c r="H2676" s="82" t="s">
        <v>1419</v>
      </c>
      <c r="I2676" s="81" t="s">
        <v>726</v>
      </c>
      <c r="J2676" s="83" t="s">
        <v>1961</v>
      </c>
      <c r="K2676" s="84" t="s">
        <v>1962</v>
      </c>
      <c r="L2676" s="85">
        <v>40711</v>
      </c>
      <c r="M2676" s="86" t="s">
        <v>729</v>
      </c>
      <c r="N2676" s="87">
        <v>40728</v>
      </c>
      <c r="O2676" s="88">
        <f t="shared" si="621"/>
        <v>40728</v>
      </c>
      <c r="P2676" s="2766" t="s">
        <v>1963</v>
      </c>
      <c r="Q2676" s="2955"/>
      <c r="R2676" s="89">
        <v>305.08479999999997</v>
      </c>
      <c r="S2676" s="1946" t="s">
        <v>731</v>
      </c>
      <c r="T2676" s="408">
        <f>+T2674-T2675</f>
        <v>21.741264000000001</v>
      </c>
      <c r="U2676" s="1930"/>
      <c r="V2676" s="2079">
        <f t="shared" si="616"/>
        <v>0</v>
      </c>
      <c r="W2676" s="78">
        <f t="shared" si="617"/>
        <v>360.00006399999995</v>
      </c>
      <c r="X2676" s="1878" t="str">
        <f t="shared" si="615"/>
        <v>6.- C Vikrant 0811009-OT_000694  Reencauche 002-001502 21.741264</v>
      </c>
      <c r="Z2676" s="19" t="str">
        <f t="shared" si="618"/>
        <v>ReencaucheAMC Llantas</v>
      </c>
    </row>
    <row r="2677" spans="2:26" outlineLevel="1">
      <c r="B2677" s="3275"/>
      <c r="C2677" s="2">
        <f t="shared" si="619"/>
        <v>143</v>
      </c>
      <c r="D2677" s="3">
        <f t="shared" si="620"/>
        <v>15</v>
      </c>
      <c r="E2677" s="66">
        <v>1</v>
      </c>
      <c r="F2677" s="67" t="s">
        <v>732</v>
      </c>
      <c r="G2677" s="68" t="s">
        <v>733</v>
      </c>
      <c r="H2677" s="69" t="s">
        <v>1966</v>
      </c>
      <c r="I2677" s="68" t="s">
        <v>726</v>
      </c>
      <c r="J2677" s="70" t="s">
        <v>1961</v>
      </c>
      <c r="K2677" s="71" t="s">
        <v>1967</v>
      </c>
      <c r="L2677" s="72">
        <v>40710</v>
      </c>
      <c r="M2677" s="73" t="s">
        <v>729</v>
      </c>
      <c r="N2677" s="74">
        <v>40721</v>
      </c>
      <c r="O2677" s="75">
        <f t="shared" si="621"/>
        <v>40721</v>
      </c>
      <c r="P2677" s="2765" t="s">
        <v>1968</v>
      </c>
      <c r="Q2677" s="2954"/>
      <c r="R2677" s="76">
        <f t="shared" ref="R2677:R2682" si="622">360/(1.18)</f>
        <v>305.08474576271186</v>
      </c>
      <c r="S2677" s="1945" t="s">
        <v>731</v>
      </c>
      <c r="T2677" s="77"/>
      <c r="U2677" s="1893"/>
      <c r="V2677" s="2079">
        <f t="shared" si="616"/>
        <v>0</v>
      </c>
      <c r="W2677" s="78">
        <f t="shared" si="617"/>
        <v>360</v>
      </c>
      <c r="X2677" s="1878" t="str">
        <f t="shared" si="615"/>
        <v xml:space="preserve">1.- C Lima Caucho 0120108-OT_000693  Reencauche 002-001501 </v>
      </c>
      <c r="Z2677" s="19" t="str">
        <f t="shared" si="618"/>
        <v>ReencaucheAMC Llantas</v>
      </c>
    </row>
    <row r="2678" spans="2:26" outlineLevel="1">
      <c r="B2678" s="3275"/>
      <c r="C2678" s="2">
        <f t="shared" si="619"/>
        <v>142</v>
      </c>
      <c r="D2678" s="3">
        <f t="shared" si="620"/>
        <v>14</v>
      </c>
      <c r="E2678" s="66">
        <v>2</v>
      </c>
      <c r="F2678" s="67" t="s">
        <v>732</v>
      </c>
      <c r="G2678" s="68" t="s">
        <v>733</v>
      </c>
      <c r="H2678" s="69" t="s">
        <v>1969</v>
      </c>
      <c r="I2678" s="68" t="s">
        <v>726</v>
      </c>
      <c r="J2678" s="70" t="s">
        <v>1961</v>
      </c>
      <c r="K2678" s="71" t="s">
        <v>1967</v>
      </c>
      <c r="L2678" s="72">
        <v>40710</v>
      </c>
      <c r="M2678" s="73" t="s">
        <v>729</v>
      </c>
      <c r="N2678" s="74">
        <v>40721</v>
      </c>
      <c r="O2678" s="75">
        <f t="shared" si="621"/>
        <v>40721</v>
      </c>
      <c r="P2678" s="2765" t="s">
        <v>1968</v>
      </c>
      <c r="Q2678" s="2954"/>
      <c r="R2678" s="76">
        <f t="shared" si="622"/>
        <v>305.08474576271186</v>
      </c>
      <c r="S2678" s="1945" t="s">
        <v>731</v>
      </c>
      <c r="T2678" s="77"/>
      <c r="U2678" s="1893"/>
      <c r="V2678" s="2079">
        <f t="shared" si="616"/>
        <v>0</v>
      </c>
      <c r="W2678" s="78">
        <f t="shared" si="617"/>
        <v>360</v>
      </c>
      <c r="X2678" s="1878" t="str">
        <f t="shared" si="615"/>
        <v xml:space="preserve">2.- C Lima Caucho 0740208-OT_000693  Reencauche 002-001501 </v>
      </c>
      <c r="Z2678" s="19" t="str">
        <f t="shared" si="618"/>
        <v>ReencaucheAMC Llantas</v>
      </c>
    </row>
    <row r="2679" spans="2:26" outlineLevel="1">
      <c r="B2679" s="3275"/>
      <c r="C2679" s="2">
        <f t="shared" si="619"/>
        <v>141</v>
      </c>
      <c r="D2679" s="3">
        <f t="shared" si="620"/>
        <v>13</v>
      </c>
      <c r="E2679" s="66">
        <v>3</v>
      </c>
      <c r="F2679" s="67" t="s">
        <v>732</v>
      </c>
      <c r="G2679" s="68" t="s">
        <v>733</v>
      </c>
      <c r="H2679" s="69" t="s">
        <v>818</v>
      </c>
      <c r="I2679" s="68" t="s">
        <v>726</v>
      </c>
      <c r="J2679" s="70" t="s">
        <v>1961</v>
      </c>
      <c r="K2679" s="71" t="s">
        <v>1967</v>
      </c>
      <c r="L2679" s="72">
        <v>40710</v>
      </c>
      <c r="M2679" s="73" t="s">
        <v>729</v>
      </c>
      <c r="N2679" s="74">
        <v>40721</v>
      </c>
      <c r="O2679" s="75">
        <f t="shared" si="621"/>
        <v>40721</v>
      </c>
      <c r="P2679" s="2765" t="s">
        <v>1968</v>
      </c>
      <c r="Q2679" s="2954"/>
      <c r="R2679" s="76">
        <f t="shared" si="622"/>
        <v>305.08474576271186</v>
      </c>
      <c r="S2679" s="1945" t="s">
        <v>731</v>
      </c>
      <c r="T2679" s="77"/>
      <c r="U2679" s="1893"/>
      <c r="V2679" s="2079">
        <f t="shared" si="616"/>
        <v>0</v>
      </c>
      <c r="W2679" s="78">
        <f t="shared" si="617"/>
        <v>360</v>
      </c>
      <c r="X2679" s="1878" t="str">
        <f t="shared" si="615"/>
        <v xml:space="preserve">3.- C Lima Caucho 0590708-OT_000693  Reencauche 002-001501 </v>
      </c>
      <c r="Z2679" s="19" t="str">
        <f t="shared" si="618"/>
        <v>ReencaucheAMC Llantas</v>
      </c>
    </row>
    <row r="2680" spans="2:26" outlineLevel="1">
      <c r="B2680" s="3275"/>
      <c r="C2680" s="2">
        <f t="shared" si="619"/>
        <v>140</v>
      </c>
      <c r="D2680" s="3">
        <f t="shared" si="620"/>
        <v>12</v>
      </c>
      <c r="E2680" s="66">
        <v>4</v>
      </c>
      <c r="F2680" s="67" t="s">
        <v>732</v>
      </c>
      <c r="G2680" s="68" t="s">
        <v>733</v>
      </c>
      <c r="H2680" s="69" t="s">
        <v>1115</v>
      </c>
      <c r="I2680" s="68" t="s">
        <v>726</v>
      </c>
      <c r="J2680" s="70" t="s">
        <v>1961</v>
      </c>
      <c r="K2680" s="71" t="s">
        <v>1967</v>
      </c>
      <c r="L2680" s="72">
        <v>40710</v>
      </c>
      <c r="M2680" s="73" t="s">
        <v>729</v>
      </c>
      <c r="N2680" s="74">
        <v>40721</v>
      </c>
      <c r="O2680" s="75">
        <f t="shared" si="621"/>
        <v>40721</v>
      </c>
      <c r="P2680" s="2765" t="s">
        <v>1968</v>
      </c>
      <c r="Q2680" s="2954"/>
      <c r="R2680" s="76">
        <f t="shared" si="622"/>
        <v>305.08474576271186</v>
      </c>
      <c r="S2680" s="1945" t="s">
        <v>731</v>
      </c>
      <c r="T2680" s="77"/>
      <c r="U2680" s="1893"/>
      <c r="V2680" s="2079">
        <f t="shared" si="616"/>
        <v>0</v>
      </c>
      <c r="W2680" s="78">
        <f t="shared" si="617"/>
        <v>360</v>
      </c>
      <c r="X2680" s="1878" t="str">
        <f t="shared" si="615"/>
        <v xml:space="preserve">4.- C Lima Caucho 1031208-OT_000693  Reencauche 002-001501 </v>
      </c>
      <c r="Z2680" s="19" t="str">
        <f t="shared" si="618"/>
        <v>Vulcanizado (curación)AMC Llantas</v>
      </c>
    </row>
    <row r="2681" spans="2:26" outlineLevel="1">
      <c r="B2681" s="3275"/>
      <c r="C2681" s="2">
        <f t="shared" si="619"/>
        <v>139</v>
      </c>
      <c r="D2681" s="3">
        <f t="shared" si="620"/>
        <v>11</v>
      </c>
      <c r="E2681" s="66">
        <v>5</v>
      </c>
      <c r="F2681" s="67" t="s">
        <v>732</v>
      </c>
      <c r="G2681" s="68" t="s">
        <v>757</v>
      </c>
      <c r="H2681" s="69" t="s">
        <v>1970</v>
      </c>
      <c r="I2681" s="68" t="s">
        <v>726</v>
      </c>
      <c r="J2681" s="70" t="s">
        <v>1961</v>
      </c>
      <c r="K2681" s="71" t="s">
        <v>1967</v>
      </c>
      <c r="L2681" s="72">
        <v>40710</v>
      </c>
      <c r="M2681" s="73" t="s">
        <v>729</v>
      </c>
      <c r="N2681" s="74">
        <v>40721</v>
      </c>
      <c r="O2681" s="75">
        <f t="shared" si="621"/>
        <v>40721</v>
      </c>
      <c r="P2681" s="2765" t="s">
        <v>1968</v>
      </c>
      <c r="Q2681" s="2954"/>
      <c r="R2681" s="76">
        <f t="shared" si="622"/>
        <v>305.08474576271186</v>
      </c>
      <c r="S2681" s="1945" t="s">
        <v>731</v>
      </c>
      <c r="T2681" s="77"/>
      <c r="U2681" s="1893"/>
      <c r="V2681" s="2079">
        <f t="shared" si="616"/>
        <v>0</v>
      </c>
      <c r="W2681" s="78">
        <f t="shared" si="617"/>
        <v>360</v>
      </c>
      <c r="X2681" s="1878" t="str">
        <f t="shared" si="615"/>
        <v xml:space="preserve">5.- C Goodyear 1641004-OT_000693  Reencauche 002-001501 </v>
      </c>
      <c r="Z2681" s="19" t="str">
        <f t="shared" si="618"/>
        <v>ReencaucheReencauchadora Espinoza</v>
      </c>
    </row>
    <row r="2682" spans="2:26" outlineLevel="1">
      <c r="B2682" s="3275"/>
      <c r="C2682" s="2">
        <f t="shared" si="619"/>
        <v>138</v>
      </c>
      <c r="D2682" s="3">
        <f t="shared" si="620"/>
        <v>10</v>
      </c>
      <c r="E2682" s="66">
        <v>6</v>
      </c>
      <c r="F2682" s="67" t="s">
        <v>732</v>
      </c>
      <c r="G2682" s="68" t="s">
        <v>733</v>
      </c>
      <c r="H2682" s="69" t="s">
        <v>1971</v>
      </c>
      <c r="I2682" s="68" t="s">
        <v>726</v>
      </c>
      <c r="J2682" s="70" t="s">
        <v>1961</v>
      </c>
      <c r="K2682" s="71" t="s">
        <v>1967</v>
      </c>
      <c r="L2682" s="72">
        <v>40710</v>
      </c>
      <c r="M2682" s="73" t="s">
        <v>729</v>
      </c>
      <c r="N2682" s="74">
        <v>40721</v>
      </c>
      <c r="O2682" s="75">
        <f t="shared" si="621"/>
        <v>40721</v>
      </c>
      <c r="P2682" s="2765" t="s">
        <v>1968</v>
      </c>
      <c r="Q2682" s="2954"/>
      <c r="R2682" s="76">
        <f t="shared" si="622"/>
        <v>305.08474576271186</v>
      </c>
      <c r="S2682" s="1945" t="s">
        <v>731</v>
      </c>
      <c r="T2682" s="77"/>
      <c r="U2682" s="1893"/>
      <c r="V2682" s="2079">
        <f t="shared" si="616"/>
        <v>0</v>
      </c>
      <c r="W2682" s="78">
        <f t="shared" si="617"/>
        <v>360</v>
      </c>
      <c r="X2682" s="1878" t="str">
        <f t="shared" si="615"/>
        <v xml:space="preserve">6.- C Lima Caucho 0230207-OT_000693  Reencauche 002-001501 </v>
      </c>
      <c r="Z2682" s="19" t="str">
        <f t="shared" si="618"/>
        <v>ReencaucheReencauchadora Espinoza</v>
      </c>
    </row>
    <row r="2683" spans="2:26" outlineLevel="1">
      <c r="B2683" s="3275"/>
      <c r="C2683" s="2">
        <f t="shared" si="619"/>
        <v>137</v>
      </c>
      <c r="D2683" s="3">
        <f t="shared" si="620"/>
        <v>9</v>
      </c>
      <c r="E2683" s="398">
        <v>7</v>
      </c>
      <c r="F2683" s="80" t="s">
        <v>732</v>
      </c>
      <c r="G2683" s="150" t="s">
        <v>737</v>
      </c>
      <c r="H2683" s="151" t="s">
        <v>1972</v>
      </c>
      <c r="I2683" s="150" t="s">
        <v>811</v>
      </c>
      <c r="J2683" s="152" t="s">
        <v>1961</v>
      </c>
      <c r="K2683" s="400" t="s">
        <v>1967</v>
      </c>
      <c r="L2683" s="401">
        <v>40710</v>
      </c>
      <c r="M2683" s="402" t="s">
        <v>729</v>
      </c>
      <c r="N2683" s="87">
        <v>40721</v>
      </c>
      <c r="O2683" s="88">
        <f t="shared" si="621"/>
        <v>40721</v>
      </c>
      <c r="P2683" s="2805" t="s">
        <v>1968</v>
      </c>
      <c r="Q2683" s="2955"/>
      <c r="R2683" s="403">
        <v>0</v>
      </c>
      <c r="S2683" s="1970" t="s">
        <v>731</v>
      </c>
      <c r="T2683" s="77" t="s">
        <v>1973</v>
      </c>
      <c r="U2683" s="1893"/>
      <c r="V2683" s="2079">
        <f t="shared" si="616"/>
        <v>0</v>
      </c>
      <c r="W2683" s="78">
        <f t="shared" si="617"/>
        <v>0</v>
      </c>
      <c r="X2683" s="1878" t="str">
        <f t="shared" si="615"/>
        <v>7.- C Vikrant 0380506-OT_000693  Vulcanizado (curación) 002-001501  Curado por deprendimiento de banda</v>
      </c>
      <c r="Z2683" s="19" t="str">
        <f t="shared" si="618"/>
        <v>ReencaucheReencauchadora Espinoza</v>
      </c>
    </row>
    <row r="2684" spans="2:26" outlineLevel="1">
      <c r="B2684" s="3275"/>
      <c r="C2684" s="2">
        <f t="shared" si="619"/>
        <v>136</v>
      </c>
      <c r="D2684" s="3">
        <f t="shared" si="620"/>
        <v>8</v>
      </c>
      <c r="E2684" s="66">
        <v>1</v>
      </c>
      <c r="F2684" s="67" t="s">
        <v>732</v>
      </c>
      <c r="G2684" s="68" t="s">
        <v>737</v>
      </c>
      <c r="H2684" s="69" t="s">
        <v>922</v>
      </c>
      <c r="I2684" s="68" t="s">
        <v>726</v>
      </c>
      <c r="J2684" s="70" t="s">
        <v>1543</v>
      </c>
      <c r="K2684" s="71" t="s">
        <v>1974</v>
      </c>
      <c r="L2684" s="72">
        <v>40710</v>
      </c>
      <c r="M2684" s="73" t="s">
        <v>729</v>
      </c>
      <c r="N2684" s="74">
        <v>40721</v>
      </c>
      <c r="O2684" s="75">
        <f t="shared" si="621"/>
        <v>40721</v>
      </c>
      <c r="P2684" s="2765" t="s">
        <v>1975</v>
      </c>
      <c r="Q2684" s="2954"/>
      <c r="R2684" s="76">
        <v>262.70999999999998</v>
      </c>
      <c r="S2684" s="1945" t="s">
        <v>731</v>
      </c>
      <c r="T2684" s="77"/>
      <c r="U2684" s="1893"/>
      <c r="V2684" s="2079">
        <f t="shared" si="616"/>
        <v>0</v>
      </c>
      <c r="W2684" s="78">
        <f t="shared" si="617"/>
        <v>309.99779999999998</v>
      </c>
      <c r="X2684" s="1878" t="str">
        <f t="shared" si="615"/>
        <v xml:space="preserve">1.- C Vikrant 0440506-OT_000007  Reencauche 001-1371 </v>
      </c>
      <c r="Z2684" s="19" t="str">
        <f t="shared" si="618"/>
        <v>ReencaucheReencauchadora Espinoza</v>
      </c>
    </row>
    <row r="2685" spans="2:26" outlineLevel="1">
      <c r="B2685" s="3275"/>
      <c r="C2685" s="2">
        <f t="shared" si="619"/>
        <v>135</v>
      </c>
      <c r="D2685" s="3">
        <f t="shared" si="620"/>
        <v>7</v>
      </c>
      <c r="E2685" s="66">
        <v>2</v>
      </c>
      <c r="F2685" s="67" t="s">
        <v>732</v>
      </c>
      <c r="G2685" s="68" t="s">
        <v>737</v>
      </c>
      <c r="H2685" s="69" t="s">
        <v>1424</v>
      </c>
      <c r="I2685" s="68" t="s">
        <v>726</v>
      </c>
      <c r="J2685" s="70" t="s">
        <v>1543</v>
      </c>
      <c r="K2685" s="71" t="s">
        <v>1974</v>
      </c>
      <c r="L2685" s="72">
        <v>40710</v>
      </c>
      <c r="M2685" s="73" t="s">
        <v>729</v>
      </c>
      <c r="N2685" s="74">
        <v>40718</v>
      </c>
      <c r="O2685" s="75">
        <f t="shared" si="621"/>
        <v>40718</v>
      </c>
      <c r="P2685" s="2765" t="s">
        <v>1975</v>
      </c>
      <c r="Q2685" s="2954"/>
      <c r="R2685" s="76">
        <v>262.70999999999998</v>
      </c>
      <c r="S2685" s="1945" t="s">
        <v>731</v>
      </c>
      <c r="T2685" s="77"/>
      <c r="U2685" s="1893"/>
      <c r="V2685" s="2079">
        <f t="shared" si="616"/>
        <v>0</v>
      </c>
      <c r="W2685" s="78">
        <f t="shared" si="617"/>
        <v>309.99779999999998</v>
      </c>
      <c r="X2685" s="1878" t="str">
        <f t="shared" si="615"/>
        <v xml:space="preserve">2.- C Vikrant 0720505-OT_000007  Reencauche 001-1371 </v>
      </c>
      <c r="Z2685" s="19" t="str">
        <f t="shared" si="618"/>
        <v>Transpl BandaReencauchadora Espinoza</v>
      </c>
    </row>
    <row r="2686" spans="2:26" outlineLevel="1">
      <c r="B2686" s="3275"/>
      <c r="C2686" s="2">
        <f t="shared" si="619"/>
        <v>134</v>
      </c>
      <c r="D2686" s="3">
        <f t="shared" si="620"/>
        <v>6</v>
      </c>
      <c r="E2686" s="66">
        <v>3</v>
      </c>
      <c r="F2686" s="67" t="s">
        <v>732</v>
      </c>
      <c r="G2686" s="68" t="s">
        <v>737</v>
      </c>
      <c r="H2686" s="69" t="s">
        <v>1319</v>
      </c>
      <c r="I2686" s="68" t="s">
        <v>726</v>
      </c>
      <c r="J2686" s="70" t="s">
        <v>1543</v>
      </c>
      <c r="K2686" s="71" t="s">
        <v>1974</v>
      </c>
      <c r="L2686" s="72">
        <v>40710</v>
      </c>
      <c r="M2686" s="73" t="s">
        <v>729</v>
      </c>
      <c r="N2686" s="74">
        <v>40718</v>
      </c>
      <c r="O2686" s="75">
        <f t="shared" si="621"/>
        <v>40718</v>
      </c>
      <c r="P2686" s="2765" t="s">
        <v>1975</v>
      </c>
      <c r="Q2686" s="2954"/>
      <c r="R2686" s="76">
        <v>262.70999999999998</v>
      </c>
      <c r="S2686" s="1945" t="s">
        <v>731</v>
      </c>
      <c r="T2686" s="77"/>
      <c r="U2686" s="1893"/>
      <c r="V2686" s="2079">
        <f t="shared" si="616"/>
        <v>0</v>
      </c>
      <c r="W2686" s="78">
        <f t="shared" si="617"/>
        <v>309.99779999999998</v>
      </c>
      <c r="X2686" s="1878" t="str">
        <f t="shared" si="615"/>
        <v xml:space="preserve">3.- C Vikrant 0831206-OT_000007  Reencauche 001-1371 </v>
      </c>
      <c r="Z2686" s="19" t="str">
        <f t="shared" si="618"/>
        <v>Transpl BandaReencauchadora Espinoza</v>
      </c>
    </row>
    <row r="2687" spans="2:26" outlineLevel="1">
      <c r="B2687" s="3275"/>
      <c r="C2687" s="2">
        <f t="shared" si="619"/>
        <v>133</v>
      </c>
      <c r="D2687" s="3">
        <f t="shared" si="620"/>
        <v>5</v>
      </c>
      <c r="E2687" s="66">
        <v>4</v>
      </c>
      <c r="F2687" s="67" t="s">
        <v>732</v>
      </c>
      <c r="G2687" s="68" t="s">
        <v>757</v>
      </c>
      <c r="H2687" s="69" t="s">
        <v>1080</v>
      </c>
      <c r="I2687" s="68" t="s">
        <v>726</v>
      </c>
      <c r="J2687" s="70" t="s">
        <v>1543</v>
      </c>
      <c r="K2687" s="71" t="s">
        <v>1974</v>
      </c>
      <c r="L2687" s="72">
        <v>40710</v>
      </c>
      <c r="M2687" s="73" t="s">
        <v>729</v>
      </c>
      <c r="N2687" s="74">
        <v>40718</v>
      </c>
      <c r="O2687" s="75">
        <f t="shared" si="621"/>
        <v>40718</v>
      </c>
      <c r="P2687" s="2765" t="s">
        <v>1975</v>
      </c>
      <c r="Q2687" s="2954"/>
      <c r="R2687" s="76">
        <v>262.70999999999998</v>
      </c>
      <c r="S2687" s="1945" t="s">
        <v>731</v>
      </c>
      <c r="T2687" s="77"/>
      <c r="U2687" s="1893"/>
      <c r="V2687" s="2079">
        <f t="shared" si="616"/>
        <v>0</v>
      </c>
      <c r="W2687" s="78">
        <f t="shared" si="617"/>
        <v>309.99779999999998</v>
      </c>
      <c r="X2687" s="1878" t="str">
        <f t="shared" si="615"/>
        <v xml:space="preserve">4.- C Goodyear 1180704-OT_000007  Reencauche 001-1371 </v>
      </c>
      <c r="Z2687" s="19" t="str">
        <f t="shared" si="618"/>
        <v>Vulcanizado (curación)Reencauchadora Espinoza</v>
      </c>
    </row>
    <row r="2688" spans="2:26" outlineLevel="1">
      <c r="B2688" s="3275"/>
      <c r="C2688" s="2">
        <f t="shared" si="619"/>
        <v>132</v>
      </c>
      <c r="D2688" s="3">
        <f t="shared" si="620"/>
        <v>4</v>
      </c>
      <c r="E2688" s="346">
        <v>5</v>
      </c>
      <c r="F2688" s="67" t="s">
        <v>732</v>
      </c>
      <c r="G2688" s="90" t="s">
        <v>1233</v>
      </c>
      <c r="H2688" s="91" t="s">
        <v>1538</v>
      </c>
      <c r="I2688" s="257" t="s">
        <v>740</v>
      </c>
      <c r="J2688" s="92" t="s">
        <v>1543</v>
      </c>
      <c r="K2688" s="243" t="s">
        <v>1976</v>
      </c>
      <c r="L2688" s="244">
        <v>40710</v>
      </c>
      <c r="M2688" s="245" t="s">
        <v>729</v>
      </c>
      <c r="N2688" s="74">
        <v>40721</v>
      </c>
      <c r="O2688" s="75">
        <f t="shared" si="621"/>
        <v>40721</v>
      </c>
      <c r="P2688" s="2799" t="s">
        <v>1977</v>
      </c>
      <c r="Q2688" s="2954"/>
      <c r="R2688" s="248">
        <v>127.1186</v>
      </c>
      <c r="S2688" s="1958" t="s">
        <v>731</v>
      </c>
      <c r="T2688" s="347"/>
      <c r="U2688" s="1924"/>
      <c r="V2688" s="2079">
        <f t="shared" si="616"/>
        <v>0</v>
      </c>
      <c r="W2688" s="78">
        <f t="shared" si="617"/>
        <v>149.99994799999999</v>
      </c>
      <c r="X2688" s="1878" t="str">
        <f t="shared" si="615"/>
        <v xml:space="preserve">5.- C Saratoga 0130306-OT_000008  Transpl Banda 001-001372 </v>
      </c>
      <c r="Z2688" s="19" t="str">
        <f t="shared" si="618"/>
        <v>Vulcanizado (curación)Reencauchadora Espinoza</v>
      </c>
    </row>
    <row r="2689" spans="2:26" outlineLevel="1">
      <c r="B2689" s="3275"/>
      <c r="C2689" s="2">
        <f t="shared" si="619"/>
        <v>131</v>
      </c>
      <c r="D2689" s="3">
        <f t="shared" si="620"/>
        <v>3</v>
      </c>
      <c r="E2689" s="346">
        <v>6</v>
      </c>
      <c r="F2689" s="67" t="s">
        <v>732</v>
      </c>
      <c r="G2689" s="90" t="s">
        <v>769</v>
      </c>
      <c r="H2689" s="91" t="s">
        <v>1890</v>
      </c>
      <c r="I2689" s="257" t="s">
        <v>740</v>
      </c>
      <c r="J2689" s="92" t="s">
        <v>1543</v>
      </c>
      <c r="K2689" s="243" t="s">
        <v>1976</v>
      </c>
      <c r="L2689" s="244">
        <v>40710</v>
      </c>
      <c r="M2689" s="245" t="s">
        <v>729</v>
      </c>
      <c r="N2689" s="74">
        <v>40721</v>
      </c>
      <c r="O2689" s="75">
        <f t="shared" si="621"/>
        <v>40721</v>
      </c>
      <c r="P2689" s="2799" t="s">
        <v>1977</v>
      </c>
      <c r="Q2689" s="2954"/>
      <c r="R2689" s="248">
        <v>127.1186</v>
      </c>
      <c r="S2689" s="1958" t="s">
        <v>731</v>
      </c>
      <c r="T2689" s="347"/>
      <c r="U2689" s="1924"/>
      <c r="V2689" s="2079">
        <f t="shared" si="616"/>
        <v>0</v>
      </c>
      <c r="W2689" s="78">
        <f t="shared" si="617"/>
        <v>149.99994799999999</v>
      </c>
      <c r="X2689" s="1878" t="str">
        <f t="shared" si="615"/>
        <v xml:space="preserve">6.- C Lu He 0190209-OT_000008  Transpl Banda 001-001372 </v>
      </c>
      <c r="Z2689" s="19" t="str">
        <f t="shared" si="618"/>
        <v>Sacar_BandaReencauchadora Espinoza</v>
      </c>
    </row>
    <row r="2690" spans="2:26" outlineLevel="1">
      <c r="B2690" s="3275"/>
      <c r="C2690" s="2">
        <f t="shared" si="619"/>
        <v>130</v>
      </c>
      <c r="D2690" s="3">
        <f t="shared" si="620"/>
        <v>2</v>
      </c>
      <c r="E2690" s="388">
        <v>7</v>
      </c>
      <c r="F2690" s="67" t="s">
        <v>732</v>
      </c>
      <c r="G2690" s="174" t="s">
        <v>737</v>
      </c>
      <c r="H2690" s="175" t="s">
        <v>1200</v>
      </c>
      <c r="I2690" s="174" t="s">
        <v>811</v>
      </c>
      <c r="J2690" s="176" t="s">
        <v>1543</v>
      </c>
      <c r="K2690" s="389" t="s">
        <v>1978</v>
      </c>
      <c r="L2690" s="390">
        <v>40710</v>
      </c>
      <c r="M2690" s="391" t="s">
        <v>729</v>
      </c>
      <c r="N2690" s="74">
        <v>40721</v>
      </c>
      <c r="O2690" s="75">
        <f t="shared" si="621"/>
        <v>40721</v>
      </c>
      <c r="P2690" s="2803" t="s">
        <v>1977</v>
      </c>
      <c r="Q2690" s="2954"/>
      <c r="R2690" s="392">
        <v>105.93219999999999</v>
      </c>
      <c r="S2690" s="1969" t="s">
        <v>731</v>
      </c>
      <c r="T2690" s="409"/>
      <c r="U2690" s="1897"/>
      <c r="V2690" s="2079">
        <f t="shared" si="616"/>
        <v>0</v>
      </c>
      <c r="W2690" s="78">
        <f t="shared" si="617"/>
        <v>124.99999599999998</v>
      </c>
      <c r="X2690" s="1878" t="str">
        <f t="shared" si="615"/>
        <v xml:space="preserve">7.- C Vikrant 1390805-OT_000009  Vulcanizado (curación) 001-001372 </v>
      </c>
      <c r="Z2690" s="19" t="str">
        <f t="shared" si="618"/>
        <v>Sacar_BandaReencauchadora Espinoza</v>
      </c>
    </row>
    <row r="2691" spans="2:26">
      <c r="B2691" s="3275"/>
      <c r="C2691" s="2">
        <f>1+C2695</f>
        <v>129</v>
      </c>
      <c r="D2691" s="3">
        <f>1+0</f>
        <v>1</v>
      </c>
      <c r="E2691" s="388">
        <v>8</v>
      </c>
      <c r="F2691" s="67" t="s">
        <v>732</v>
      </c>
      <c r="G2691" s="174" t="s">
        <v>757</v>
      </c>
      <c r="H2691" s="175" t="s">
        <v>1979</v>
      </c>
      <c r="I2691" s="174" t="s">
        <v>811</v>
      </c>
      <c r="J2691" s="176" t="s">
        <v>1543</v>
      </c>
      <c r="K2691" s="389" t="s">
        <v>1978</v>
      </c>
      <c r="L2691" s="390">
        <v>40710</v>
      </c>
      <c r="M2691" s="391" t="s">
        <v>729</v>
      </c>
      <c r="N2691" s="74">
        <v>40721</v>
      </c>
      <c r="O2691" s="75">
        <f t="shared" si="621"/>
        <v>40721</v>
      </c>
      <c r="P2691" s="2803" t="s">
        <v>1977</v>
      </c>
      <c r="Q2691" s="2954"/>
      <c r="R2691" s="392">
        <v>105.93219999999999</v>
      </c>
      <c r="S2691" s="1969" t="s">
        <v>731</v>
      </c>
      <c r="T2691" s="409"/>
      <c r="U2691" s="1897"/>
      <c r="V2691" s="2079">
        <f t="shared" si="616"/>
        <v>0</v>
      </c>
      <c r="W2691" s="78">
        <f t="shared" si="617"/>
        <v>124.99999599999998</v>
      </c>
      <c r="X2691" s="1878" t="str">
        <f t="shared" si="615"/>
        <v xml:space="preserve">8.- C Goodyear 2304-OT_000009  Vulcanizado (curación) 001-001372 </v>
      </c>
    </row>
    <row r="2692" spans="2:26" outlineLevel="1">
      <c r="B2692" s="3275"/>
      <c r="E2692" s="346">
        <v>9</v>
      </c>
      <c r="F2692" s="67" t="s">
        <v>732</v>
      </c>
      <c r="G2692" s="90" t="s">
        <v>757</v>
      </c>
      <c r="H2692" s="91" t="s">
        <v>1980</v>
      </c>
      <c r="I2692" s="257" t="s">
        <v>744</v>
      </c>
      <c r="J2692" s="92" t="s">
        <v>1543</v>
      </c>
      <c r="K2692" s="243" t="s">
        <v>1974</v>
      </c>
      <c r="L2692" s="244">
        <v>40710</v>
      </c>
      <c r="M2692" s="245" t="s">
        <v>729</v>
      </c>
      <c r="N2692" s="74">
        <v>40721</v>
      </c>
      <c r="O2692" s="75">
        <f t="shared" si="621"/>
        <v>40721</v>
      </c>
      <c r="P2692" s="2799" t="s">
        <v>1977</v>
      </c>
      <c r="Q2692" s="2954"/>
      <c r="R2692" s="248">
        <v>0</v>
      </c>
      <c r="S2692" s="1958" t="s">
        <v>731</v>
      </c>
      <c r="T2692" s="347"/>
      <c r="U2692" s="1924"/>
      <c r="V2692" s="2079">
        <f t="shared" si="616"/>
        <v>0</v>
      </c>
      <c r="W2692" s="78">
        <f t="shared" si="617"/>
        <v>0</v>
      </c>
      <c r="X2692" s="1878" t="str">
        <f t="shared" si="615"/>
        <v xml:space="preserve">9.- C Goodyear 179020-OT_000007  Sacar_Banda 001-001372 </v>
      </c>
      <c r="Z2692" s="19" t="str">
        <f t="shared" ref="Z2692:Z2738" si="623">CONCATENATE(I2695,J2695)</f>
        <v>ReencaucheAMC Llantas</v>
      </c>
    </row>
    <row r="2693" spans="2:26" ht="15.75" outlineLevel="1" thickBot="1">
      <c r="B2693" s="3276"/>
      <c r="C2693" s="367"/>
      <c r="D2693" s="368"/>
      <c r="E2693" s="410">
        <v>10</v>
      </c>
      <c r="F2693" s="328" t="s">
        <v>732</v>
      </c>
      <c r="G2693" s="360" t="s">
        <v>778</v>
      </c>
      <c r="H2693" s="361" t="s">
        <v>1981</v>
      </c>
      <c r="I2693" s="331" t="s">
        <v>744</v>
      </c>
      <c r="J2693" s="332" t="s">
        <v>1543</v>
      </c>
      <c r="K2693" s="362" t="s">
        <v>1974</v>
      </c>
      <c r="L2693" s="363">
        <v>40710</v>
      </c>
      <c r="M2693" s="364" t="s">
        <v>729</v>
      </c>
      <c r="N2693" s="336">
        <v>40721</v>
      </c>
      <c r="O2693" s="337">
        <f t="shared" si="621"/>
        <v>40721</v>
      </c>
      <c r="P2693" s="2802" t="s">
        <v>1977</v>
      </c>
      <c r="Q2693" s="2979"/>
      <c r="R2693" s="365">
        <v>0</v>
      </c>
      <c r="S2693" s="1967" t="s">
        <v>731</v>
      </c>
      <c r="T2693" s="347"/>
      <c r="U2693" s="1924"/>
      <c r="V2693" s="2079">
        <f t="shared" si="616"/>
        <v>0</v>
      </c>
      <c r="W2693" s="78">
        <f t="shared" si="617"/>
        <v>0</v>
      </c>
      <c r="X2693" s="1878" t="str">
        <f t="shared" si="615"/>
        <v xml:space="preserve">10.- C Riverstone 1480904-OT_000007  Sacar_Banda 001-001372 </v>
      </c>
      <c r="Z2693" s="19" t="str">
        <f t="shared" si="623"/>
        <v>ReencaucheAMC Llantas</v>
      </c>
    </row>
    <row r="2694" spans="2:26" ht="15.75" outlineLevel="1" thickBot="1">
      <c r="B2694" s="3267">
        <f>+B2695</f>
        <v>40664</v>
      </c>
      <c r="C2694" s="3267"/>
      <c r="D2694" s="387">
        <f>+D2695</f>
        <v>41</v>
      </c>
      <c r="E2694" s="346"/>
      <c r="F2694" s="67"/>
      <c r="G2694" s="90"/>
      <c r="H2694" s="91"/>
      <c r="I2694" s="257"/>
      <c r="J2694" s="92"/>
      <c r="K2694" s="243"/>
      <c r="L2694" s="244"/>
      <c r="M2694" s="245"/>
      <c r="N2694" s="74"/>
      <c r="O2694" s="75"/>
      <c r="P2694" s="2799"/>
      <c r="Q2694" s="2954"/>
      <c r="R2694" s="248"/>
      <c r="S2694" s="1958"/>
      <c r="T2694" s="347"/>
      <c r="U2694" s="1924"/>
      <c r="V2694" s="2079">
        <f t="shared" si="616"/>
        <v>0</v>
      </c>
      <c r="W2694" s="78">
        <f t="shared" si="617"/>
        <v>0</v>
      </c>
      <c r="X2694" s="1878" t="str">
        <f t="shared" si="615"/>
        <v xml:space="preserve">.-   -OT_    </v>
      </c>
      <c r="Z2694" s="19" t="str">
        <f t="shared" si="623"/>
        <v>ReencaucheAMC Llantas</v>
      </c>
    </row>
    <row r="2695" spans="2:26" outlineLevel="1">
      <c r="B2695" s="3268">
        <v>40664</v>
      </c>
      <c r="C2695" s="2">
        <f t="shared" ref="C2695:C2714" si="624">1+C2696</f>
        <v>128</v>
      </c>
      <c r="D2695" s="306">
        <f t="shared" ref="D2695:D2714" si="625">1+D2696</f>
        <v>41</v>
      </c>
      <c r="E2695" s="66">
        <v>1</v>
      </c>
      <c r="F2695" s="67" t="s">
        <v>732</v>
      </c>
      <c r="G2695" s="68" t="s">
        <v>737</v>
      </c>
      <c r="H2695" s="69" t="s">
        <v>999</v>
      </c>
      <c r="I2695" s="68" t="s">
        <v>726</v>
      </c>
      <c r="J2695" s="70" t="s">
        <v>1961</v>
      </c>
      <c r="K2695" s="71" t="s">
        <v>1982</v>
      </c>
      <c r="L2695" s="72">
        <v>40687</v>
      </c>
      <c r="M2695" s="73" t="s">
        <v>729</v>
      </c>
      <c r="N2695" s="74">
        <v>40701</v>
      </c>
      <c r="O2695" s="75">
        <f t="shared" ref="O2695:O2741" si="626">+N2695</f>
        <v>40701</v>
      </c>
      <c r="P2695" s="2765" t="s">
        <v>1983</v>
      </c>
      <c r="Q2695" s="2954"/>
      <c r="R2695" s="76">
        <v>305.0847</v>
      </c>
      <c r="S2695" s="1945" t="s">
        <v>731</v>
      </c>
      <c r="T2695" s="77"/>
      <c r="U2695" s="1893"/>
      <c r="V2695" s="2079">
        <f t="shared" si="616"/>
        <v>0</v>
      </c>
      <c r="W2695" s="78">
        <f t="shared" si="617"/>
        <v>359.99994599999997</v>
      </c>
      <c r="X2695" s="1878" t="str">
        <f t="shared" si="615"/>
        <v xml:space="preserve">1.- C Vikrant 0851007-OT_000675  Reencauche 002-001490 </v>
      </c>
      <c r="Z2695" s="19" t="str">
        <f t="shared" si="623"/>
        <v>ReencaucheAMC Llantas</v>
      </c>
    </row>
    <row r="2696" spans="2:26" outlineLevel="1">
      <c r="B2696" s="3269"/>
      <c r="C2696" s="2">
        <f t="shared" si="624"/>
        <v>127</v>
      </c>
      <c r="D2696" s="3">
        <f t="shared" si="625"/>
        <v>40</v>
      </c>
      <c r="E2696" s="66">
        <v>2</v>
      </c>
      <c r="F2696" s="67" t="s">
        <v>732</v>
      </c>
      <c r="G2696" s="68" t="s">
        <v>733</v>
      </c>
      <c r="H2696" s="69" t="s">
        <v>1984</v>
      </c>
      <c r="I2696" s="68" t="s">
        <v>726</v>
      </c>
      <c r="J2696" s="70" t="s">
        <v>1961</v>
      </c>
      <c r="K2696" s="71" t="s">
        <v>1982</v>
      </c>
      <c r="L2696" s="72">
        <v>40687</v>
      </c>
      <c r="M2696" s="73" t="s">
        <v>729</v>
      </c>
      <c r="N2696" s="74">
        <v>40701</v>
      </c>
      <c r="O2696" s="75">
        <f t="shared" si="626"/>
        <v>40701</v>
      </c>
      <c r="P2696" s="2765" t="s">
        <v>1983</v>
      </c>
      <c r="Q2696" s="2954"/>
      <c r="R2696" s="76">
        <v>305.0847</v>
      </c>
      <c r="S2696" s="1945" t="s">
        <v>731</v>
      </c>
      <c r="T2696" s="77"/>
      <c r="U2696" s="1893"/>
      <c r="V2696" s="2079">
        <f t="shared" si="616"/>
        <v>0</v>
      </c>
      <c r="W2696" s="78">
        <f t="shared" si="617"/>
        <v>359.99994599999997</v>
      </c>
      <c r="X2696" s="1878" t="str">
        <f t="shared" si="615"/>
        <v xml:space="preserve">2.- C Lima Caucho 1021107-OT_000675  Reencauche 002-001490 </v>
      </c>
      <c r="Z2696" s="19" t="str">
        <f t="shared" si="623"/>
        <v>ReencaucheAMC Llantas</v>
      </c>
    </row>
    <row r="2697" spans="2:26" outlineLevel="1">
      <c r="B2697" s="3269"/>
      <c r="C2697" s="2">
        <f t="shared" si="624"/>
        <v>126</v>
      </c>
      <c r="D2697" s="3">
        <f t="shared" si="625"/>
        <v>39</v>
      </c>
      <c r="E2697" s="66">
        <v>3</v>
      </c>
      <c r="F2697" s="67" t="s">
        <v>732</v>
      </c>
      <c r="G2697" s="68" t="s">
        <v>814</v>
      </c>
      <c r="H2697" s="69" t="s">
        <v>1985</v>
      </c>
      <c r="I2697" s="68" t="s">
        <v>726</v>
      </c>
      <c r="J2697" s="70" t="s">
        <v>1961</v>
      </c>
      <c r="K2697" s="71" t="s">
        <v>1982</v>
      </c>
      <c r="L2697" s="72">
        <v>40687</v>
      </c>
      <c r="M2697" s="73" t="s">
        <v>729</v>
      </c>
      <c r="N2697" s="74">
        <v>40701</v>
      </c>
      <c r="O2697" s="75">
        <f t="shared" si="626"/>
        <v>40701</v>
      </c>
      <c r="P2697" s="2765" t="s">
        <v>1983</v>
      </c>
      <c r="Q2697" s="2954"/>
      <c r="R2697" s="76">
        <v>305.0847</v>
      </c>
      <c r="S2697" s="1945" t="s">
        <v>731</v>
      </c>
      <c r="T2697" s="77"/>
      <c r="U2697" s="1893"/>
      <c r="V2697" s="2079">
        <f t="shared" si="616"/>
        <v>0</v>
      </c>
      <c r="W2697" s="78">
        <f t="shared" si="617"/>
        <v>359.99994599999997</v>
      </c>
      <c r="X2697" s="1878" t="str">
        <f t="shared" si="615"/>
        <v xml:space="preserve">3.- C Birla 0620806-OT_000675  Reencauche 002-001490 </v>
      </c>
      <c r="Z2697" s="19" t="str">
        <f t="shared" si="623"/>
        <v>ReencaucheAMC Llantas</v>
      </c>
    </row>
    <row r="2698" spans="2:26" outlineLevel="1">
      <c r="B2698" s="3269"/>
      <c r="C2698" s="2">
        <f t="shared" si="624"/>
        <v>125</v>
      </c>
      <c r="D2698" s="3">
        <f t="shared" si="625"/>
        <v>38</v>
      </c>
      <c r="E2698" s="66">
        <v>4</v>
      </c>
      <c r="F2698" s="67" t="s">
        <v>732</v>
      </c>
      <c r="G2698" s="68" t="s">
        <v>733</v>
      </c>
      <c r="H2698" s="69" t="s">
        <v>851</v>
      </c>
      <c r="I2698" s="68" t="s">
        <v>726</v>
      </c>
      <c r="J2698" s="70" t="s">
        <v>1961</v>
      </c>
      <c r="K2698" s="71" t="s">
        <v>1982</v>
      </c>
      <c r="L2698" s="72">
        <v>40687</v>
      </c>
      <c r="M2698" s="73" t="s">
        <v>729</v>
      </c>
      <c r="N2698" s="74">
        <v>40701</v>
      </c>
      <c r="O2698" s="75">
        <f t="shared" si="626"/>
        <v>40701</v>
      </c>
      <c r="P2698" s="2765" t="s">
        <v>1983</v>
      </c>
      <c r="Q2698" s="2954"/>
      <c r="R2698" s="76">
        <v>305.0847</v>
      </c>
      <c r="S2698" s="1945" t="s">
        <v>731</v>
      </c>
      <c r="T2698" s="77"/>
      <c r="U2698" s="1893"/>
      <c r="V2698" s="2079">
        <f t="shared" si="616"/>
        <v>0</v>
      </c>
      <c r="W2698" s="78">
        <f t="shared" si="617"/>
        <v>359.99994599999997</v>
      </c>
      <c r="X2698" s="1878" t="str">
        <f t="shared" si="615"/>
        <v xml:space="preserve">4.- C Lima Caucho 1211207-OT_000675  Reencauche 002-001490 </v>
      </c>
      <c r="Z2698" s="19" t="str">
        <f t="shared" si="623"/>
        <v>ReencaucheAMC Llantas</v>
      </c>
    </row>
    <row r="2699" spans="2:26" outlineLevel="1">
      <c r="B2699" s="3269"/>
      <c r="C2699" s="2">
        <f t="shared" si="624"/>
        <v>124</v>
      </c>
      <c r="D2699" s="3">
        <f t="shared" si="625"/>
        <v>37</v>
      </c>
      <c r="E2699" s="66">
        <v>5</v>
      </c>
      <c r="F2699" s="67" t="s">
        <v>732</v>
      </c>
      <c r="G2699" s="68" t="s">
        <v>733</v>
      </c>
      <c r="H2699" s="69" t="s">
        <v>1986</v>
      </c>
      <c r="I2699" s="68" t="s">
        <v>726</v>
      </c>
      <c r="J2699" s="70" t="s">
        <v>1961</v>
      </c>
      <c r="K2699" s="71" t="s">
        <v>1982</v>
      </c>
      <c r="L2699" s="72">
        <v>40687</v>
      </c>
      <c r="M2699" s="73" t="s">
        <v>729</v>
      </c>
      <c r="N2699" s="74">
        <v>40701</v>
      </c>
      <c r="O2699" s="75">
        <f t="shared" si="626"/>
        <v>40701</v>
      </c>
      <c r="P2699" s="2765" t="s">
        <v>1983</v>
      </c>
      <c r="Q2699" s="2954"/>
      <c r="R2699" s="76">
        <v>305.0847</v>
      </c>
      <c r="S2699" s="1945" t="s">
        <v>731</v>
      </c>
      <c r="T2699" s="77"/>
      <c r="U2699" s="1893"/>
      <c r="V2699" s="2079">
        <f t="shared" si="616"/>
        <v>0</v>
      </c>
      <c r="W2699" s="78">
        <f t="shared" si="617"/>
        <v>359.99994599999997</v>
      </c>
      <c r="X2699" s="1878" t="str">
        <f t="shared" si="615"/>
        <v xml:space="preserve">5.- C Lima Caucho 0971107-OT_000675  Reencauche 002-001490 </v>
      </c>
      <c r="Z2699" s="19" t="str">
        <f t="shared" si="623"/>
        <v>ReencaucheAMC Llantas</v>
      </c>
    </row>
    <row r="2700" spans="2:26" outlineLevel="1">
      <c r="B2700" s="3269"/>
      <c r="C2700" s="2">
        <f t="shared" si="624"/>
        <v>123</v>
      </c>
      <c r="D2700" s="3">
        <f t="shared" si="625"/>
        <v>36</v>
      </c>
      <c r="E2700" s="79">
        <v>6</v>
      </c>
      <c r="F2700" s="80" t="s">
        <v>732</v>
      </c>
      <c r="G2700" s="81" t="s">
        <v>733</v>
      </c>
      <c r="H2700" s="82" t="s">
        <v>997</v>
      </c>
      <c r="I2700" s="81" t="s">
        <v>726</v>
      </c>
      <c r="J2700" s="83" t="s">
        <v>1961</v>
      </c>
      <c r="K2700" s="84" t="s">
        <v>1982</v>
      </c>
      <c r="L2700" s="85">
        <v>40687</v>
      </c>
      <c r="M2700" s="86" t="s">
        <v>729</v>
      </c>
      <c r="N2700" s="87">
        <v>40701</v>
      </c>
      <c r="O2700" s="88">
        <f t="shared" si="626"/>
        <v>40701</v>
      </c>
      <c r="P2700" s="2766" t="s">
        <v>1983</v>
      </c>
      <c r="Q2700" s="2955"/>
      <c r="R2700" s="89">
        <v>305.0847</v>
      </c>
      <c r="S2700" s="1946" t="s">
        <v>731</v>
      </c>
      <c r="T2700" s="77"/>
      <c r="U2700" s="1893"/>
      <c r="V2700" s="2079">
        <f t="shared" si="616"/>
        <v>0</v>
      </c>
      <c r="W2700" s="78">
        <f t="shared" si="617"/>
        <v>359.99994599999997</v>
      </c>
      <c r="X2700" s="1878" t="str">
        <f t="shared" si="615"/>
        <v xml:space="preserve">6.- C Lima Caucho 0230108-OT_000675  Reencauche 002-001490 </v>
      </c>
      <c r="Z2700" s="19" t="str">
        <f t="shared" si="623"/>
        <v>ReencaucheAMC Llantas</v>
      </c>
    </row>
    <row r="2701" spans="2:26" outlineLevel="1">
      <c r="B2701" s="3269"/>
      <c r="C2701" s="2">
        <f t="shared" si="624"/>
        <v>122</v>
      </c>
      <c r="D2701" s="3">
        <f t="shared" si="625"/>
        <v>35</v>
      </c>
      <c r="E2701" s="66">
        <v>1</v>
      </c>
      <c r="F2701" s="67" t="s">
        <v>732</v>
      </c>
      <c r="G2701" s="68" t="s">
        <v>737</v>
      </c>
      <c r="H2701" s="69" t="s">
        <v>1315</v>
      </c>
      <c r="I2701" s="68" t="s">
        <v>726</v>
      </c>
      <c r="J2701" s="70" t="s">
        <v>1961</v>
      </c>
      <c r="K2701" s="71" t="s">
        <v>1987</v>
      </c>
      <c r="L2701" s="72">
        <v>40686</v>
      </c>
      <c r="M2701" s="73" t="s">
        <v>729</v>
      </c>
      <c r="N2701" s="74">
        <v>40701</v>
      </c>
      <c r="O2701" s="75">
        <f t="shared" si="626"/>
        <v>40701</v>
      </c>
      <c r="P2701" s="2765" t="s">
        <v>1983</v>
      </c>
      <c r="Q2701" s="2954"/>
      <c r="R2701" s="76">
        <v>305.0847</v>
      </c>
      <c r="S2701" s="1945" t="s">
        <v>731</v>
      </c>
      <c r="T2701" s="77"/>
      <c r="U2701" s="1893"/>
      <c r="V2701" s="2079">
        <f t="shared" si="616"/>
        <v>0</v>
      </c>
      <c r="W2701" s="78">
        <f t="shared" si="617"/>
        <v>359.99994599999997</v>
      </c>
      <c r="X2701" s="1878" t="str">
        <f t="shared" si="615"/>
        <v xml:space="preserve">1.- C Vikrant 0610709-OT_000672  Reencauche 002-001490 </v>
      </c>
      <c r="Z2701" s="19" t="str">
        <f t="shared" si="623"/>
        <v>ReencaucheAMC Llantas</v>
      </c>
    </row>
    <row r="2702" spans="2:26" outlineLevel="1">
      <c r="B2702" s="3269"/>
      <c r="C2702" s="2">
        <f t="shared" si="624"/>
        <v>121</v>
      </c>
      <c r="D2702" s="3">
        <f t="shared" si="625"/>
        <v>34</v>
      </c>
      <c r="E2702" s="66">
        <v>2</v>
      </c>
      <c r="F2702" s="67" t="s">
        <v>732</v>
      </c>
      <c r="G2702" s="68" t="s">
        <v>733</v>
      </c>
      <c r="H2702" s="69" t="s">
        <v>1281</v>
      </c>
      <c r="I2702" s="68" t="s">
        <v>726</v>
      </c>
      <c r="J2702" s="70" t="s">
        <v>1961</v>
      </c>
      <c r="K2702" s="71" t="s">
        <v>1987</v>
      </c>
      <c r="L2702" s="72">
        <v>40686</v>
      </c>
      <c r="M2702" s="73" t="s">
        <v>729</v>
      </c>
      <c r="N2702" s="74">
        <v>40701</v>
      </c>
      <c r="O2702" s="75">
        <f t="shared" si="626"/>
        <v>40701</v>
      </c>
      <c r="P2702" s="2765" t="s">
        <v>1983</v>
      </c>
      <c r="Q2702" s="2954"/>
      <c r="R2702" s="76">
        <v>305.0847</v>
      </c>
      <c r="S2702" s="1945" t="s">
        <v>731</v>
      </c>
      <c r="T2702" s="77"/>
      <c r="U2702" s="1893"/>
      <c r="V2702" s="2079">
        <f t="shared" si="616"/>
        <v>0</v>
      </c>
      <c r="W2702" s="78">
        <f t="shared" si="617"/>
        <v>359.99994599999997</v>
      </c>
      <c r="X2702" s="1878" t="str">
        <f t="shared" si="615"/>
        <v xml:space="preserve">2.- C Lima Caucho 0650810-OT_000672  Reencauche 002-001490 </v>
      </c>
      <c r="Z2702" s="19" t="str">
        <f t="shared" si="623"/>
        <v>ReencaucheAMC Llantas</v>
      </c>
    </row>
    <row r="2703" spans="2:26" outlineLevel="1">
      <c r="B2703" s="3269"/>
      <c r="C2703" s="2">
        <f t="shared" si="624"/>
        <v>120</v>
      </c>
      <c r="D2703" s="3">
        <f t="shared" si="625"/>
        <v>33</v>
      </c>
      <c r="E2703" s="66">
        <v>3</v>
      </c>
      <c r="F2703" s="67" t="s">
        <v>732</v>
      </c>
      <c r="G2703" s="68" t="s">
        <v>1233</v>
      </c>
      <c r="H2703" s="69" t="s">
        <v>1988</v>
      </c>
      <c r="I2703" s="68" t="s">
        <v>726</v>
      </c>
      <c r="J2703" s="70" t="s">
        <v>1961</v>
      </c>
      <c r="K2703" s="71" t="s">
        <v>1987</v>
      </c>
      <c r="L2703" s="72">
        <v>40686</v>
      </c>
      <c r="M2703" s="73" t="s">
        <v>729</v>
      </c>
      <c r="N2703" s="74">
        <v>40701</v>
      </c>
      <c r="O2703" s="75">
        <f t="shared" si="626"/>
        <v>40701</v>
      </c>
      <c r="P2703" s="2765" t="s">
        <v>1983</v>
      </c>
      <c r="Q2703" s="2954"/>
      <c r="R2703" s="76">
        <v>305.0847</v>
      </c>
      <c r="S2703" s="1945" t="s">
        <v>731</v>
      </c>
      <c r="T2703" s="77"/>
      <c r="U2703" s="1893"/>
      <c r="V2703" s="2079">
        <f t="shared" si="616"/>
        <v>0</v>
      </c>
      <c r="W2703" s="78">
        <f t="shared" si="617"/>
        <v>359.99994599999997</v>
      </c>
      <c r="X2703" s="1878" t="str">
        <f t="shared" si="615"/>
        <v xml:space="preserve">3.- C Saratoga 0190306-OT_000672  Reencauche 002-001490 </v>
      </c>
      <c r="Z2703" s="19" t="str">
        <f t="shared" si="623"/>
        <v>ReencaucheAMC Llantas</v>
      </c>
    </row>
    <row r="2704" spans="2:26" outlineLevel="1">
      <c r="B2704" s="3269"/>
      <c r="C2704" s="2">
        <f t="shared" si="624"/>
        <v>119</v>
      </c>
      <c r="D2704" s="3">
        <f t="shared" si="625"/>
        <v>32</v>
      </c>
      <c r="E2704" s="66">
        <v>4</v>
      </c>
      <c r="F2704" s="67" t="s">
        <v>732</v>
      </c>
      <c r="G2704" s="68" t="s">
        <v>737</v>
      </c>
      <c r="H2704" s="69" t="s">
        <v>1813</v>
      </c>
      <c r="I2704" s="68" t="s">
        <v>726</v>
      </c>
      <c r="J2704" s="70" t="s">
        <v>1961</v>
      </c>
      <c r="K2704" s="71" t="s">
        <v>1987</v>
      </c>
      <c r="L2704" s="72">
        <v>40686</v>
      </c>
      <c r="M2704" s="73" t="s">
        <v>729</v>
      </c>
      <c r="N2704" s="74">
        <v>40701</v>
      </c>
      <c r="O2704" s="75">
        <f t="shared" si="626"/>
        <v>40701</v>
      </c>
      <c r="P2704" s="2765" t="s">
        <v>1983</v>
      </c>
      <c r="Q2704" s="2954"/>
      <c r="R2704" s="76">
        <v>305.0847</v>
      </c>
      <c r="S2704" s="1945" t="s">
        <v>731</v>
      </c>
      <c r="T2704" s="77"/>
      <c r="U2704" s="1893"/>
      <c r="V2704" s="2079">
        <f t="shared" si="616"/>
        <v>0</v>
      </c>
      <c r="W2704" s="78">
        <f t="shared" si="617"/>
        <v>359.99994599999997</v>
      </c>
      <c r="X2704" s="1878" t="str">
        <f t="shared" si="615"/>
        <v xml:space="preserve">4.- C Vikrant 0931007-OT_000672  Reencauche 002-001490 </v>
      </c>
      <c r="Z2704" s="19" t="str">
        <f t="shared" si="623"/>
        <v>Vulcanizado (curación)Lima Caucho - Servicio 10</v>
      </c>
    </row>
    <row r="2705" spans="2:26" outlineLevel="1">
      <c r="B2705" s="3269"/>
      <c r="C2705" s="2">
        <f t="shared" si="624"/>
        <v>118</v>
      </c>
      <c r="D2705" s="3">
        <f t="shared" si="625"/>
        <v>31</v>
      </c>
      <c r="E2705" s="66">
        <v>5</v>
      </c>
      <c r="F2705" s="67" t="s">
        <v>732</v>
      </c>
      <c r="G2705" s="68" t="s">
        <v>733</v>
      </c>
      <c r="H2705" s="69" t="s">
        <v>1198</v>
      </c>
      <c r="I2705" s="68" t="s">
        <v>726</v>
      </c>
      <c r="J2705" s="70" t="s">
        <v>1961</v>
      </c>
      <c r="K2705" s="71" t="s">
        <v>1987</v>
      </c>
      <c r="L2705" s="72">
        <v>40686</v>
      </c>
      <c r="M2705" s="73" t="s">
        <v>729</v>
      </c>
      <c r="N2705" s="74">
        <v>40701</v>
      </c>
      <c r="O2705" s="75">
        <f t="shared" si="626"/>
        <v>40701</v>
      </c>
      <c r="P2705" s="2765" t="s">
        <v>1983</v>
      </c>
      <c r="Q2705" s="2954"/>
      <c r="R2705" s="76">
        <v>305.0847</v>
      </c>
      <c r="S2705" s="1945" t="s">
        <v>731</v>
      </c>
      <c r="T2705" s="77"/>
      <c r="U2705" s="1893"/>
      <c r="V2705" s="2079">
        <f t="shared" si="616"/>
        <v>0</v>
      </c>
      <c r="W2705" s="78">
        <f t="shared" si="617"/>
        <v>359.99994599999997</v>
      </c>
      <c r="X2705" s="1878" t="str">
        <f t="shared" si="615"/>
        <v xml:space="preserve">5.- C Lima Caucho 0090107-OT_000672  Reencauche 002-001490 </v>
      </c>
      <c r="Z2705" s="19" t="str">
        <f t="shared" si="623"/>
        <v>Vulcanizado (curación)Lima Caucho - Servicio 10</v>
      </c>
    </row>
    <row r="2706" spans="2:26" outlineLevel="1">
      <c r="B2706" s="3269"/>
      <c r="C2706" s="2">
        <f t="shared" si="624"/>
        <v>117</v>
      </c>
      <c r="D2706" s="3">
        <f t="shared" si="625"/>
        <v>30</v>
      </c>
      <c r="E2706" s="79">
        <v>6</v>
      </c>
      <c r="F2706" s="80" t="s">
        <v>732</v>
      </c>
      <c r="G2706" s="81" t="s">
        <v>733</v>
      </c>
      <c r="H2706" s="82" t="s">
        <v>1537</v>
      </c>
      <c r="I2706" s="81" t="s">
        <v>726</v>
      </c>
      <c r="J2706" s="83" t="s">
        <v>1961</v>
      </c>
      <c r="K2706" s="84" t="s">
        <v>1987</v>
      </c>
      <c r="L2706" s="85">
        <v>40686</v>
      </c>
      <c r="M2706" s="86" t="s">
        <v>729</v>
      </c>
      <c r="N2706" s="87">
        <v>40701</v>
      </c>
      <c r="O2706" s="88">
        <f t="shared" si="626"/>
        <v>40701</v>
      </c>
      <c r="P2706" s="2766" t="s">
        <v>1983</v>
      </c>
      <c r="Q2706" s="2955"/>
      <c r="R2706" s="89">
        <v>305.0847</v>
      </c>
      <c r="S2706" s="1946" t="s">
        <v>731</v>
      </c>
      <c r="T2706" s="77"/>
      <c r="U2706" s="1893"/>
      <c r="V2706" s="2079">
        <f t="shared" si="616"/>
        <v>0</v>
      </c>
      <c r="W2706" s="78">
        <f t="shared" si="617"/>
        <v>359.99994599999997</v>
      </c>
      <c r="X2706" s="1878" t="str">
        <f t="shared" si="615"/>
        <v xml:space="preserve">6.- C Lima Caucho 0660810-OT_000672  Reencauche 002-001490 </v>
      </c>
      <c r="Z2706" s="19" t="str">
        <f t="shared" si="623"/>
        <v>ReencaucheReencauchadora Espinoza</v>
      </c>
    </row>
    <row r="2707" spans="2:26" outlineLevel="1">
      <c r="B2707" s="3269"/>
      <c r="C2707" s="2">
        <f t="shared" si="624"/>
        <v>116</v>
      </c>
      <c r="D2707" s="3">
        <f t="shared" si="625"/>
        <v>29</v>
      </c>
      <c r="E2707" s="388">
        <v>1</v>
      </c>
      <c r="F2707" s="67" t="s">
        <v>732</v>
      </c>
      <c r="G2707" s="174" t="s">
        <v>733</v>
      </c>
      <c r="H2707" s="175" t="s">
        <v>1989</v>
      </c>
      <c r="I2707" s="174" t="s">
        <v>811</v>
      </c>
      <c r="J2707" s="176" t="s">
        <v>1990</v>
      </c>
      <c r="K2707" s="389" t="s">
        <v>1991</v>
      </c>
      <c r="L2707" s="390">
        <v>40686</v>
      </c>
      <c r="M2707" s="391" t="s">
        <v>729</v>
      </c>
      <c r="N2707" s="74">
        <v>40697</v>
      </c>
      <c r="O2707" s="75">
        <f t="shared" si="626"/>
        <v>40697</v>
      </c>
      <c r="P2707" s="2803" t="s">
        <v>1992</v>
      </c>
      <c r="Q2707" s="2954"/>
      <c r="R2707" s="392"/>
      <c r="S2707" s="1969" t="s">
        <v>731</v>
      </c>
      <c r="T2707" s="411" t="s">
        <v>3858</v>
      </c>
      <c r="U2707" s="1897"/>
      <c r="V2707" s="2079">
        <f t="shared" si="616"/>
        <v>0</v>
      </c>
      <c r="W2707" s="78">
        <f t="shared" si="617"/>
        <v>0</v>
      </c>
      <c r="X2707" s="1878" t="str">
        <f t="shared" si="615"/>
        <v>1.- C Lima Caucho 1051210-OT_M-01965  Vulcanizado (curación) G-460-00271  [Llnt 21mm] Corte banda 03cm x objt tublr atrvza carcs</v>
      </c>
      <c r="Z2707" s="19" t="str">
        <f t="shared" si="623"/>
        <v>ReencaucheReencauchadora Espinoza</v>
      </c>
    </row>
    <row r="2708" spans="2:26" outlineLevel="1">
      <c r="B2708" s="3269"/>
      <c r="C2708" s="2">
        <f t="shared" si="624"/>
        <v>115</v>
      </c>
      <c r="D2708" s="3">
        <f t="shared" si="625"/>
        <v>28</v>
      </c>
      <c r="E2708" s="398">
        <v>2</v>
      </c>
      <c r="F2708" s="80" t="s">
        <v>732</v>
      </c>
      <c r="G2708" s="150" t="s">
        <v>737</v>
      </c>
      <c r="H2708" s="151" t="s">
        <v>1993</v>
      </c>
      <c r="I2708" s="150" t="s">
        <v>811</v>
      </c>
      <c r="J2708" s="152" t="s">
        <v>1990</v>
      </c>
      <c r="K2708" s="400" t="s">
        <v>1991</v>
      </c>
      <c r="L2708" s="401">
        <v>40686</v>
      </c>
      <c r="M2708" s="402" t="s">
        <v>729</v>
      </c>
      <c r="N2708" s="87">
        <v>40697</v>
      </c>
      <c r="O2708" s="88">
        <f t="shared" si="626"/>
        <v>40697</v>
      </c>
      <c r="P2708" s="2805" t="s">
        <v>1992</v>
      </c>
      <c r="Q2708" s="2955"/>
      <c r="R2708" s="403"/>
      <c r="S2708" s="1970" t="s">
        <v>731</v>
      </c>
      <c r="T2708" s="411" t="s">
        <v>1994</v>
      </c>
      <c r="U2708" s="1897"/>
      <c r="V2708" s="2079">
        <f t="shared" si="616"/>
        <v>0</v>
      </c>
      <c r="W2708" s="78">
        <f t="shared" si="617"/>
        <v>0</v>
      </c>
      <c r="X2708" s="1878" t="str">
        <f t="shared" si="615"/>
        <v>2.- C Vikrant 04022010-OT_M-01965  Vulcanizado (curación) G-460-00271  [Llnt 15mm]Corte en banda 05cm x  impto de objeto atravz carcsa</v>
      </c>
      <c r="Z2708" s="19" t="str">
        <f t="shared" si="623"/>
        <v>ReencaucheReencauchadora Espinoza</v>
      </c>
    </row>
    <row r="2709" spans="2:26" outlineLevel="1">
      <c r="B2709" s="3269"/>
      <c r="C2709" s="2">
        <f t="shared" si="624"/>
        <v>114</v>
      </c>
      <c r="D2709" s="3">
        <f t="shared" si="625"/>
        <v>27</v>
      </c>
      <c r="E2709" s="66">
        <v>1</v>
      </c>
      <c r="F2709" s="67" t="s">
        <v>732</v>
      </c>
      <c r="G2709" s="68" t="s">
        <v>737</v>
      </c>
      <c r="H2709" s="69" t="s">
        <v>1995</v>
      </c>
      <c r="I2709" s="68" t="s">
        <v>726</v>
      </c>
      <c r="J2709" s="70" t="s">
        <v>1543</v>
      </c>
      <c r="K2709" s="71" t="s">
        <v>1996</v>
      </c>
      <c r="L2709" s="72">
        <v>40680</v>
      </c>
      <c r="M2709" s="73" t="s">
        <v>729</v>
      </c>
      <c r="N2709" s="74">
        <v>40687</v>
      </c>
      <c r="O2709" s="75">
        <f t="shared" si="626"/>
        <v>40687</v>
      </c>
      <c r="P2709" s="2765" t="s">
        <v>1997</v>
      </c>
      <c r="Q2709" s="2954"/>
      <c r="R2709" s="76">
        <v>262.70999999999998</v>
      </c>
      <c r="S2709" s="1945" t="s">
        <v>731</v>
      </c>
      <c r="T2709" s="77"/>
      <c r="U2709" s="1893"/>
      <c r="V2709" s="2079">
        <f t="shared" si="616"/>
        <v>0</v>
      </c>
      <c r="W2709" s="78">
        <f t="shared" si="617"/>
        <v>309.99779999999998</v>
      </c>
      <c r="X2709" s="1878" t="str">
        <f t="shared" si="615"/>
        <v xml:space="preserve">1.- C Vikrant 1521103-OT_000508  Reencauche 001-001253 </v>
      </c>
      <c r="Z2709" s="19" t="str">
        <f t="shared" si="623"/>
        <v>ReencaucheReencauchadora Espinoza</v>
      </c>
    </row>
    <row r="2710" spans="2:26" outlineLevel="1">
      <c r="B2710" s="3269"/>
      <c r="C2710" s="2">
        <f t="shared" si="624"/>
        <v>113</v>
      </c>
      <c r="D2710" s="3">
        <f t="shared" si="625"/>
        <v>26</v>
      </c>
      <c r="E2710" s="66">
        <v>2</v>
      </c>
      <c r="F2710" s="67" t="s">
        <v>732</v>
      </c>
      <c r="G2710" s="68" t="s">
        <v>737</v>
      </c>
      <c r="H2710" s="69" t="s">
        <v>1998</v>
      </c>
      <c r="I2710" s="68" t="s">
        <v>726</v>
      </c>
      <c r="J2710" s="70" t="s">
        <v>1543</v>
      </c>
      <c r="K2710" s="71" t="s">
        <v>1996</v>
      </c>
      <c r="L2710" s="72">
        <v>40680</v>
      </c>
      <c r="M2710" s="73" t="s">
        <v>729</v>
      </c>
      <c r="N2710" s="74">
        <v>40687</v>
      </c>
      <c r="O2710" s="75">
        <f t="shared" si="626"/>
        <v>40687</v>
      </c>
      <c r="P2710" s="2765" t="s">
        <v>1997</v>
      </c>
      <c r="Q2710" s="2954"/>
      <c r="R2710" s="76">
        <v>262.70999999999998</v>
      </c>
      <c r="S2710" s="1945" t="s">
        <v>731</v>
      </c>
      <c r="T2710" s="77"/>
      <c r="U2710" s="1893"/>
      <c r="V2710" s="2079">
        <f t="shared" si="616"/>
        <v>0</v>
      </c>
      <c r="W2710" s="78">
        <f t="shared" si="617"/>
        <v>309.99779999999998</v>
      </c>
      <c r="X2710" s="1878" t="str">
        <f t="shared" si="615"/>
        <v xml:space="preserve">2.- C Vikrant 0450506-OT_000508  Reencauche 001-001253 </v>
      </c>
      <c r="Z2710" s="19" t="str">
        <f t="shared" si="623"/>
        <v>ReencaucheReencauchadora Espinoza</v>
      </c>
    </row>
    <row r="2711" spans="2:26" outlineLevel="1">
      <c r="B2711" s="3269"/>
      <c r="C2711" s="2">
        <f t="shared" si="624"/>
        <v>112</v>
      </c>
      <c r="D2711" s="3">
        <f t="shared" si="625"/>
        <v>25</v>
      </c>
      <c r="E2711" s="66">
        <v>3</v>
      </c>
      <c r="F2711" s="67" t="s">
        <v>732</v>
      </c>
      <c r="G2711" s="68" t="s">
        <v>757</v>
      </c>
      <c r="H2711" s="69" t="s">
        <v>1697</v>
      </c>
      <c r="I2711" s="68" t="s">
        <v>726</v>
      </c>
      <c r="J2711" s="70" t="s">
        <v>1543</v>
      </c>
      <c r="K2711" s="71" t="s">
        <v>1996</v>
      </c>
      <c r="L2711" s="72">
        <v>40680</v>
      </c>
      <c r="M2711" s="73" t="s">
        <v>729</v>
      </c>
      <c r="N2711" s="74">
        <v>40687</v>
      </c>
      <c r="O2711" s="75">
        <f t="shared" si="626"/>
        <v>40687</v>
      </c>
      <c r="P2711" s="2765" t="s">
        <v>1997</v>
      </c>
      <c r="Q2711" s="2954"/>
      <c r="R2711" s="76">
        <v>262.70999999999998</v>
      </c>
      <c r="S2711" s="1945" t="s">
        <v>731</v>
      </c>
      <c r="T2711" s="77"/>
      <c r="U2711" s="1893"/>
      <c r="V2711" s="2079">
        <f t="shared" si="616"/>
        <v>0</v>
      </c>
      <c r="W2711" s="78">
        <f t="shared" si="617"/>
        <v>309.99779999999998</v>
      </c>
      <c r="X2711" s="1878" t="str">
        <f t="shared" si="615"/>
        <v xml:space="preserve">3.- C Goodyear 0711201-OT_000508  Reencauche 001-001253 </v>
      </c>
      <c r="Z2711" s="19" t="str">
        <f t="shared" si="623"/>
        <v>Transpl BandaReencauchadora Espinoza</v>
      </c>
    </row>
    <row r="2712" spans="2:26" outlineLevel="1">
      <c r="B2712" s="3269"/>
      <c r="C2712" s="2">
        <f t="shared" si="624"/>
        <v>111</v>
      </c>
      <c r="D2712" s="3">
        <f t="shared" si="625"/>
        <v>24</v>
      </c>
      <c r="E2712" s="66">
        <v>4</v>
      </c>
      <c r="F2712" s="67" t="s">
        <v>732</v>
      </c>
      <c r="G2712" s="68" t="s">
        <v>733</v>
      </c>
      <c r="H2712" s="69" t="s">
        <v>1999</v>
      </c>
      <c r="I2712" s="68" t="s">
        <v>726</v>
      </c>
      <c r="J2712" s="70" t="s">
        <v>1543</v>
      </c>
      <c r="K2712" s="71" t="s">
        <v>1996</v>
      </c>
      <c r="L2712" s="72">
        <v>40680</v>
      </c>
      <c r="M2712" s="73" t="s">
        <v>729</v>
      </c>
      <c r="N2712" s="74">
        <v>40687</v>
      </c>
      <c r="O2712" s="75">
        <f t="shared" si="626"/>
        <v>40687</v>
      </c>
      <c r="P2712" s="2765" t="s">
        <v>1997</v>
      </c>
      <c r="Q2712" s="2954"/>
      <c r="R2712" s="76">
        <v>262.70999999999998</v>
      </c>
      <c r="S2712" s="1945" t="s">
        <v>731</v>
      </c>
      <c r="T2712" s="77"/>
      <c r="U2712" s="1893"/>
      <c r="V2712" s="2079">
        <f t="shared" si="616"/>
        <v>0</v>
      </c>
      <c r="W2712" s="78">
        <f t="shared" si="617"/>
        <v>309.99779999999998</v>
      </c>
      <c r="X2712" s="1878" t="str">
        <f t="shared" si="615"/>
        <v xml:space="preserve">4.- C Lima Caucho 1450107-OT_000508  Reencauche 001-001253 </v>
      </c>
      <c r="Z2712" s="19" t="str">
        <f t="shared" si="623"/>
        <v>Transpl BandaReencauchadora Espinoza</v>
      </c>
    </row>
    <row r="2713" spans="2:26" outlineLevel="1">
      <c r="B2713" s="3269"/>
      <c r="C2713" s="2">
        <f t="shared" si="624"/>
        <v>110</v>
      </c>
      <c r="D2713" s="3">
        <f t="shared" si="625"/>
        <v>23</v>
      </c>
      <c r="E2713" s="66">
        <v>5</v>
      </c>
      <c r="F2713" s="67" t="s">
        <v>732</v>
      </c>
      <c r="G2713" s="68" t="s">
        <v>733</v>
      </c>
      <c r="H2713" s="69" t="s">
        <v>1823</v>
      </c>
      <c r="I2713" s="68" t="s">
        <v>726</v>
      </c>
      <c r="J2713" s="70" t="s">
        <v>1543</v>
      </c>
      <c r="K2713" s="71" t="s">
        <v>1996</v>
      </c>
      <c r="L2713" s="72">
        <v>40680</v>
      </c>
      <c r="M2713" s="73" t="s">
        <v>729</v>
      </c>
      <c r="N2713" s="74">
        <v>40687</v>
      </c>
      <c r="O2713" s="75">
        <f t="shared" si="626"/>
        <v>40687</v>
      </c>
      <c r="P2713" s="2765" t="s">
        <v>1997</v>
      </c>
      <c r="Q2713" s="2954"/>
      <c r="R2713" s="76">
        <v>262.70999999999998</v>
      </c>
      <c r="S2713" s="1945" t="s">
        <v>731</v>
      </c>
      <c r="T2713" s="77"/>
      <c r="U2713" s="1893"/>
      <c r="V2713" s="2079">
        <f t="shared" si="616"/>
        <v>0</v>
      </c>
      <c r="W2713" s="78">
        <f t="shared" si="617"/>
        <v>309.99779999999998</v>
      </c>
      <c r="X2713" s="1878" t="str">
        <f t="shared" si="615"/>
        <v xml:space="preserve">5.- C Lima Caucho 0380707-OT_000508  Reencauche 001-001253 </v>
      </c>
      <c r="Z2713" s="19" t="str">
        <f t="shared" si="623"/>
        <v>Sacar_BandaReencauchadora Espinoza</v>
      </c>
    </row>
    <row r="2714" spans="2:26" outlineLevel="1">
      <c r="B2714" s="3269"/>
      <c r="C2714" s="2">
        <f t="shared" si="624"/>
        <v>109</v>
      </c>
      <c r="D2714" s="3">
        <f t="shared" si="625"/>
        <v>22</v>
      </c>
      <c r="E2714" s="346">
        <v>6</v>
      </c>
      <c r="F2714" s="67" t="s">
        <v>732</v>
      </c>
      <c r="G2714" s="90" t="s">
        <v>1233</v>
      </c>
      <c r="H2714" s="91" t="s">
        <v>1570</v>
      </c>
      <c r="I2714" s="257" t="s">
        <v>740</v>
      </c>
      <c r="J2714" s="92" t="s">
        <v>1543</v>
      </c>
      <c r="K2714" s="243" t="s">
        <v>2000</v>
      </c>
      <c r="L2714" s="244">
        <v>40680</v>
      </c>
      <c r="M2714" s="245" t="s">
        <v>729</v>
      </c>
      <c r="N2714" s="74">
        <v>40687</v>
      </c>
      <c r="O2714" s="75">
        <f t="shared" si="626"/>
        <v>40687</v>
      </c>
      <c r="P2714" s="2799" t="s">
        <v>1997</v>
      </c>
      <c r="Q2714" s="2954"/>
      <c r="R2714" s="248">
        <v>127.12</v>
      </c>
      <c r="S2714" s="1958" t="s">
        <v>731</v>
      </c>
      <c r="T2714" s="77"/>
      <c r="U2714" s="1893"/>
      <c r="V2714" s="2079">
        <f t="shared" si="616"/>
        <v>0</v>
      </c>
      <c r="W2714" s="78">
        <f t="shared" si="617"/>
        <v>150.0016</v>
      </c>
      <c r="X2714" s="1878" t="str">
        <f t="shared" si="615"/>
        <v xml:space="preserve">6.- C Saratoga 0250306-OT_000507  Transpl Banda 001-001253 </v>
      </c>
      <c r="Z2714" s="19" t="str">
        <f t="shared" si="623"/>
        <v>Sacar_BandaReencauchadora Espinoza</v>
      </c>
    </row>
    <row r="2715" spans="2:26" outlineLevel="1">
      <c r="B2715" s="3269"/>
      <c r="C2715" s="2">
        <f>1+C2718</f>
        <v>108</v>
      </c>
      <c r="D2715" s="3">
        <f>1+D2718</f>
        <v>21</v>
      </c>
      <c r="E2715" s="346">
        <v>7</v>
      </c>
      <c r="F2715" s="67" t="s">
        <v>732</v>
      </c>
      <c r="G2715" s="90" t="s">
        <v>733</v>
      </c>
      <c r="H2715" s="91" t="s">
        <v>2001</v>
      </c>
      <c r="I2715" s="257" t="s">
        <v>740</v>
      </c>
      <c r="J2715" s="92" t="s">
        <v>1543</v>
      </c>
      <c r="K2715" s="243" t="s">
        <v>2000</v>
      </c>
      <c r="L2715" s="244">
        <v>40680</v>
      </c>
      <c r="M2715" s="245" t="s">
        <v>729</v>
      </c>
      <c r="N2715" s="74">
        <v>40687</v>
      </c>
      <c r="O2715" s="75">
        <f t="shared" si="626"/>
        <v>40687</v>
      </c>
      <c r="P2715" s="2799" t="s">
        <v>1997</v>
      </c>
      <c r="Q2715" s="2954"/>
      <c r="R2715" s="248">
        <v>127.12</v>
      </c>
      <c r="S2715" s="1958" t="s">
        <v>731</v>
      </c>
      <c r="T2715" s="77"/>
      <c r="U2715" s="1893"/>
      <c r="V2715" s="2079">
        <f t="shared" si="616"/>
        <v>0</v>
      </c>
      <c r="W2715" s="78">
        <f t="shared" si="617"/>
        <v>150.0016</v>
      </c>
      <c r="X2715" s="1878" t="str">
        <f t="shared" si="615"/>
        <v xml:space="preserve">7.- C Lima Caucho 1271007-OT_000507  Transpl Banda 001-001253 </v>
      </c>
      <c r="Z2715" s="19" t="str">
        <f t="shared" si="623"/>
        <v>ReencaucheReencauchadora Espinoza</v>
      </c>
    </row>
    <row r="2716" spans="2:26" outlineLevel="1">
      <c r="B2716" s="3269"/>
      <c r="E2716" s="346">
        <v>8</v>
      </c>
      <c r="F2716" s="67" t="s">
        <v>732</v>
      </c>
      <c r="G2716" s="90" t="s">
        <v>733</v>
      </c>
      <c r="H2716" s="91" t="s">
        <v>2002</v>
      </c>
      <c r="I2716" s="257" t="s">
        <v>744</v>
      </c>
      <c r="J2716" s="92" t="s">
        <v>1543</v>
      </c>
      <c r="K2716" s="243" t="s">
        <v>2003</v>
      </c>
      <c r="L2716" s="244">
        <v>40680</v>
      </c>
      <c r="M2716" s="245" t="s">
        <v>729</v>
      </c>
      <c r="N2716" s="74">
        <v>40687</v>
      </c>
      <c r="O2716" s="75">
        <f t="shared" si="626"/>
        <v>40687</v>
      </c>
      <c r="P2716" s="2799" t="s">
        <v>1997</v>
      </c>
      <c r="Q2716" s="2954"/>
      <c r="R2716" s="248">
        <v>0</v>
      </c>
      <c r="S2716" s="1958" t="s">
        <v>731</v>
      </c>
      <c r="T2716" s="347" t="s">
        <v>2004</v>
      </c>
      <c r="U2716" s="1924"/>
      <c r="V2716" s="2079">
        <f t="shared" si="616"/>
        <v>0</v>
      </c>
      <c r="W2716" s="78">
        <f t="shared" si="617"/>
        <v>0</v>
      </c>
      <c r="X2716" s="1878" t="str">
        <f t="shared" si="615"/>
        <v>8.- C Lima Caucho 0940908-OT_000506  Sacar_Banda 001-001253 Dañado x golpe en casco, banda 11mm, desechada</v>
      </c>
      <c r="Z2716" s="19" t="str">
        <f t="shared" si="623"/>
        <v>ReencaucheReencauchadora Espinoza</v>
      </c>
    </row>
    <row r="2717" spans="2:26" outlineLevel="1">
      <c r="B2717" s="3269"/>
      <c r="E2717" s="349">
        <v>9</v>
      </c>
      <c r="F2717" s="80" t="s">
        <v>732</v>
      </c>
      <c r="G2717" s="114" t="s">
        <v>769</v>
      </c>
      <c r="H2717" s="115" t="s">
        <v>2005</v>
      </c>
      <c r="I2717" s="262" t="s">
        <v>744</v>
      </c>
      <c r="J2717" s="93" t="s">
        <v>1543</v>
      </c>
      <c r="K2717" s="350" t="s">
        <v>2003</v>
      </c>
      <c r="L2717" s="351">
        <v>40680</v>
      </c>
      <c r="M2717" s="352" t="s">
        <v>729</v>
      </c>
      <c r="N2717" s="87">
        <v>40687</v>
      </c>
      <c r="O2717" s="88">
        <f t="shared" si="626"/>
        <v>40687</v>
      </c>
      <c r="P2717" s="2806" t="s">
        <v>1997</v>
      </c>
      <c r="Q2717" s="2955"/>
      <c r="R2717" s="353">
        <v>0</v>
      </c>
      <c r="S2717" s="1966" t="s">
        <v>731</v>
      </c>
      <c r="T2717" s="347" t="s">
        <v>2006</v>
      </c>
      <c r="U2717" s="1924"/>
      <c r="V2717" s="2079">
        <f t="shared" si="616"/>
        <v>0</v>
      </c>
      <c r="W2717" s="78">
        <f t="shared" si="617"/>
        <v>0</v>
      </c>
      <c r="X2717" s="1878" t="str">
        <f t="shared" si="615"/>
        <v>9.- C Lu He 0150209-OT_000506  Sacar_Banda 001-001253 Dañado sopladura en casco, banda 12mm, desechada</v>
      </c>
      <c r="Z2717" s="19" t="str">
        <f t="shared" si="623"/>
        <v>ReencaucheReencauchadora Espinoza</v>
      </c>
    </row>
    <row r="2718" spans="2:26" outlineLevel="1">
      <c r="B2718" s="3269"/>
      <c r="C2718" s="2">
        <f t="shared" ref="C2718:C2735" si="627">1+C2719</f>
        <v>107</v>
      </c>
      <c r="D2718" s="3">
        <f t="shared" ref="D2718:D2735" si="628">1+D2719</f>
        <v>20</v>
      </c>
      <c r="E2718" s="66">
        <v>1</v>
      </c>
      <c r="F2718" s="67" t="s">
        <v>732</v>
      </c>
      <c r="G2718" s="68" t="s">
        <v>757</v>
      </c>
      <c r="H2718" s="69" t="s">
        <v>2007</v>
      </c>
      <c r="I2718" s="68" t="s">
        <v>726</v>
      </c>
      <c r="J2718" s="70" t="s">
        <v>1543</v>
      </c>
      <c r="K2718" s="71" t="s">
        <v>2008</v>
      </c>
      <c r="L2718" s="72">
        <v>40672</v>
      </c>
      <c r="M2718" s="73" t="s">
        <v>729</v>
      </c>
      <c r="N2718" s="74">
        <v>40680</v>
      </c>
      <c r="O2718" s="75">
        <f t="shared" si="626"/>
        <v>40680</v>
      </c>
      <c r="P2718" s="2765" t="s">
        <v>2010</v>
      </c>
      <c r="Q2718" s="2954"/>
      <c r="R2718" s="76">
        <f>310/(1.18)</f>
        <v>262.71186440677968</v>
      </c>
      <c r="S2718" s="1945" t="s">
        <v>731</v>
      </c>
      <c r="T2718" s="77"/>
      <c r="U2718" s="1893"/>
      <c r="V2718" s="2079">
        <f t="shared" si="616"/>
        <v>0</v>
      </c>
      <c r="W2718" s="78">
        <f t="shared" si="617"/>
        <v>310</v>
      </c>
      <c r="X2718" s="1878" t="str">
        <f t="shared" si="615"/>
        <v xml:space="preserve">1.- C Goodyear 0850520-OT_000581  Reencauche 001-001228 </v>
      </c>
      <c r="Z2718" s="19" t="str">
        <f t="shared" si="623"/>
        <v>ReencaucheReencauchadora Espinoza</v>
      </c>
    </row>
    <row r="2719" spans="2:26" outlineLevel="1">
      <c r="B2719" s="3269"/>
      <c r="C2719" s="2">
        <f t="shared" si="627"/>
        <v>106</v>
      </c>
      <c r="D2719" s="3">
        <f t="shared" si="628"/>
        <v>19</v>
      </c>
      <c r="E2719" s="66">
        <v>2</v>
      </c>
      <c r="F2719" s="67" t="s">
        <v>732</v>
      </c>
      <c r="G2719" s="68" t="s">
        <v>757</v>
      </c>
      <c r="H2719" s="69" t="s">
        <v>2011</v>
      </c>
      <c r="I2719" s="68" t="s">
        <v>726</v>
      </c>
      <c r="J2719" s="70" t="s">
        <v>1543</v>
      </c>
      <c r="K2719" s="71" t="s">
        <v>2008</v>
      </c>
      <c r="L2719" s="72">
        <v>40672</v>
      </c>
      <c r="M2719" s="73" t="s">
        <v>729</v>
      </c>
      <c r="N2719" s="74">
        <v>40680</v>
      </c>
      <c r="O2719" s="75">
        <f t="shared" si="626"/>
        <v>40680</v>
      </c>
      <c r="P2719" s="2765" t="s">
        <v>2010</v>
      </c>
      <c r="Q2719" s="2954"/>
      <c r="R2719" s="76">
        <f>310/(1.18)</f>
        <v>262.71186440677968</v>
      </c>
      <c r="S2719" s="1945" t="s">
        <v>731</v>
      </c>
      <c r="T2719" s="77"/>
      <c r="U2719" s="1893"/>
      <c r="V2719" s="2079">
        <f t="shared" si="616"/>
        <v>0</v>
      </c>
      <c r="W2719" s="78">
        <f t="shared" si="617"/>
        <v>310</v>
      </c>
      <c r="X2719" s="1878" t="str">
        <f t="shared" si="615"/>
        <v xml:space="preserve">2.- C Goodyear 0811201-OT_000581  Reencauche 001-001228 </v>
      </c>
      <c r="Z2719" s="19" t="str">
        <f t="shared" si="623"/>
        <v>ReencaucheReencauchadora Espinoza</v>
      </c>
    </row>
    <row r="2720" spans="2:26" outlineLevel="1">
      <c r="B2720" s="3269"/>
      <c r="C2720" s="2">
        <f t="shared" si="627"/>
        <v>105</v>
      </c>
      <c r="D2720" s="3">
        <f t="shared" si="628"/>
        <v>18</v>
      </c>
      <c r="E2720" s="66">
        <v>3</v>
      </c>
      <c r="F2720" s="67" t="s">
        <v>732</v>
      </c>
      <c r="G2720" s="68" t="s">
        <v>733</v>
      </c>
      <c r="H2720" s="69" t="s">
        <v>2012</v>
      </c>
      <c r="I2720" s="68" t="s">
        <v>726</v>
      </c>
      <c r="J2720" s="70" t="s">
        <v>1543</v>
      </c>
      <c r="K2720" s="71" t="s">
        <v>2008</v>
      </c>
      <c r="L2720" s="72">
        <v>40672</v>
      </c>
      <c r="M2720" s="73" t="s">
        <v>729</v>
      </c>
      <c r="N2720" s="74">
        <v>40680</v>
      </c>
      <c r="O2720" s="75">
        <f t="shared" si="626"/>
        <v>40680</v>
      </c>
      <c r="P2720" s="2765" t="s">
        <v>2010</v>
      </c>
      <c r="Q2720" s="2954"/>
      <c r="R2720" s="76">
        <f>310/(1.18)</f>
        <v>262.71186440677968</v>
      </c>
      <c r="S2720" s="1945" t="s">
        <v>731</v>
      </c>
      <c r="T2720" s="77"/>
      <c r="U2720" s="1893"/>
      <c r="V2720" s="2079">
        <f t="shared" si="616"/>
        <v>0</v>
      </c>
      <c r="W2720" s="78">
        <f t="shared" si="617"/>
        <v>310</v>
      </c>
      <c r="X2720" s="1878" t="str">
        <f t="shared" si="615"/>
        <v xml:space="preserve">3.- C Lima Caucho 0680808-OT_000581  Reencauche 001-001228 </v>
      </c>
      <c r="Z2720" s="19" t="str">
        <f t="shared" si="623"/>
        <v>Transpl BandaReencauchadora Espinoza</v>
      </c>
    </row>
    <row r="2721" spans="2:26" outlineLevel="1">
      <c r="B2721" s="3269"/>
      <c r="C2721" s="2">
        <f t="shared" si="627"/>
        <v>104</v>
      </c>
      <c r="D2721" s="3">
        <f t="shared" si="628"/>
        <v>17</v>
      </c>
      <c r="E2721" s="66">
        <v>4</v>
      </c>
      <c r="F2721" s="67" t="s">
        <v>732</v>
      </c>
      <c r="G2721" s="68" t="s">
        <v>737</v>
      </c>
      <c r="H2721" s="69" t="s">
        <v>2013</v>
      </c>
      <c r="I2721" s="68" t="s">
        <v>726</v>
      </c>
      <c r="J2721" s="70" t="s">
        <v>1543</v>
      </c>
      <c r="K2721" s="71" t="s">
        <v>2008</v>
      </c>
      <c r="L2721" s="72">
        <v>40672</v>
      </c>
      <c r="M2721" s="73" t="s">
        <v>729</v>
      </c>
      <c r="N2721" s="74">
        <v>40680</v>
      </c>
      <c r="O2721" s="75">
        <f t="shared" si="626"/>
        <v>40680</v>
      </c>
      <c r="P2721" s="2765" t="s">
        <v>2010</v>
      </c>
      <c r="Q2721" s="2954"/>
      <c r="R2721" s="76">
        <f>310/(1.18)</f>
        <v>262.71186440677968</v>
      </c>
      <c r="S2721" s="1945" t="s">
        <v>731</v>
      </c>
      <c r="T2721" s="77"/>
      <c r="U2721" s="1893"/>
      <c r="V2721" s="2079">
        <f t="shared" si="616"/>
        <v>0</v>
      </c>
      <c r="W2721" s="78">
        <f t="shared" si="617"/>
        <v>310</v>
      </c>
      <c r="X2721" s="1878" t="str">
        <f t="shared" si="615"/>
        <v xml:space="preserve">4.- C Vikrant 0650804-OT_000581  Reencauche 001-001228 </v>
      </c>
      <c r="Z2721" s="19" t="str">
        <f t="shared" si="623"/>
        <v>ReencaucheAMC Llantas</v>
      </c>
    </row>
    <row r="2722" spans="2:26" outlineLevel="1">
      <c r="B2722" s="3269"/>
      <c r="C2722" s="2">
        <f t="shared" si="627"/>
        <v>103</v>
      </c>
      <c r="D2722" s="3">
        <f t="shared" si="628"/>
        <v>16</v>
      </c>
      <c r="E2722" s="66">
        <v>5</v>
      </c>
      <c r="F2722" s="67" t="s">
        <v>732</v>
      </c>
      <c r="G2722" s="68" t="s">
        <v>737</v>
      </c>
      <c r="H2722" s="69" t="s">
        <v>1918</v>
      </c>
      <c r="I2722" s="68" t="s">
        <v>726</v>
      </c>
      <c r="J2722" s="70" t="s">
        <v>1543</v>
      </c>
      <c r="K2722" s="71" t="s">
        <v>2008</v>
      </c>
      <c r="L2722" s="72">
        <v>40672</v>
      </c>
      <c r="M2722" s="73" t="s">
        <v>729</v>
      </c>
      <c r="N2722" s="74">
        <v>40680</v>
      </c>
      <c r="O2722" s="75">
        <f t="shared" si="626"/>
        <v>40680</v>
      </c>
      <c r="P2722" s="2765" t="s">
        <v>2010</v>
      </c>
      <c r="Q2722" s="2954"/>
      <c r="R2722" s="76">
        <f>310/(1.18)</f>
        <v>262.71186440677968</v>
      </c>
      <c r="S2722" s="1945" t="s">
        <v>731</v>
      </c>
      <c r="T2722" s="77"/>
      <c r="U2722" s="1893"/>
      <c r="V2722" s="2079">
        <f t="shared" si="616"/>
        <v>0</v>
      </c>
      <c r="W2722" s="78">
        <f t="shared" si="617"/>
        <v>310</v>
      </c>
      <c r="X2722" s="1878" t="str">
        <f t="shared" ref="X2722:X2785" si="629">CONCATENATE(E2722,".- ",F2722," ",G2722," ",H2722,"-OT_",K2722," "," ",I2722," ",P2722," ",T2722)</f>
        <v xml:space="preserve">5.- C Vikrant 0741007-OT_000581  Reencauche 001-001228 </v>
      </c>
      <c r="Z2722" s="19" t="str">
        <f t="shared" si="623"/>
        <v>ReencaucheAMC Llantas</v>
      </c>
    </row>
    <row r="2723" spans="2:26" outlineLevel="1">
      <c r="B2723" s="3269"/>
      <c r="C2723" s="2">
        <f t="shared" si="627"/>
        <v>102</v>
      </c>
      <c r="D2723" s="3">
        <f t="shared" si="628"/>
        <v>15</v>
      </c>
      <c r="E2723" s="349">
        <v>6</v>
      </c>
      <c r="F2723" s="80" t="s">
        <v>732</v>
      </c>
      <c r="G2723" s="114" t="s">
        <v>737</v>
      </c>
      <c r="H2723" s="115" t="s">
        <v>2014</v>
      </c>
      <c r="I2723" s="262" t="s">
        <v>740</v>
      </c>
      <c r="J2723" s="412" t="s">
        <v>1543</v>
      </c>
      <c r="K2723" s="350" t="s">
        <v>2015</v>
      </c>
      <c r="L2723" s="351">
        <v>40672</v>
      </c>
      <c r="M2723" s="352" t="s">
        <v>729</v>
      </c>
      <c r="N2723" s="87">
        <v>40680</v>
      </c>
      <c r="O2723" s="88">
        <f t="shared" si="626"/>
        <v>40680</v>
      </c>
      <c r="P2723" s="2806" t="s">
        <v>2010</v>
      </c>
      <c r="Q2723" s="2955"/>
      <c r="R2723" s="353">
        <f>150/(1.18)</f>
        <v>127.11864406779662</v>
      </c>
      <c r="S2723" s="1966" t="s">
        <v>731</v>
      </c>
      <c r="T2723" s="1915" t="s">
        <v>2016</v>
      </c>
      <c r="U2723" s="1896"/>
      <c r="V2723" s="2079">
        <f t="shared" ref="V2723:V2786" si="630">+Q2723*(1.18)</f>
        <v>0</v>
      </c>
      <c r="W2723" s="78">
        <f t="shared" ref="W2723:W2786" si="631">+R2723*(1.18)</f>
        <v>150</v>
      </c>
      <c r="X2723" s="1878" t="str">
        <f t="shared" si="629"/>
        <v>6.- C Vikrant 010109-OT_000580  Transpl Banda 001-001228  Con banda transplantada  en 14mm  [ Goodyear 1150704]</v>
      </c>
      <c r="Z2723" s="19" t="str">
        <f t="shared" si="623"/>
        <v>ReencaucheAMC Llantas</v>
      </c>
    </row>
    <row r="2724" spans="2:26" outlineLevel="1">
      <c r="B2724" s="3269"/>
      <c r="C2724" s="2">
        <f t="shared" si="627"/>
        <v>101</v>
      </c>
      <c r="D2724" s="3">
        <f t="shared" si="628"/>
        <v>14</v>
      </c>
      <c r="E2724" s="66">
        <v>1</v>
      </c>
      <c r="F2724" s="67" t="s">
        <v>732</v>
      </c>
      <c r="G2724" s="68" t="s">
        <v>737</v>
      </c>
      <c r="H2724" s="69" t="s">
        <v>1389</v>
      </c>
      <c r="I2724" s="68" t="s">
        <v>726</v>
      </c>
      <c r="J2724" s="70" t="s">
        <v>1961</v>
      </c>
      <c r="K2724" s="71" t="s">
        <v>2017</v>
      </c>
      <c r="L2724" s="72">
        <v>40672</v>
      </c>
      <c r="M2724" s="73" t="s">
        <v>729</v>
      </c>
      <c r="N2724" s="74">
        <v>40687</v>
      </c>
      <c r="O2724" s="75">
        <f t="shared" si="626"/>
        <v>40687</v>
      </c>
      <c r="P2724" s="2765" t="s">
        <v>2018</v>
      </c>
      <c r="Q2724" s="2954"/>
      <c r="R2724" s="76">
        <f t="shared" ref="R2724:R2735" si="632">350/(1.18)</f>
        <v>296.61016949152543</v>
      </c>
      <c r="S2724" s="1945" t="s">
        <v>731</v>
      </c>
      <c r="T2724" s="77"/>
      <c r="U2724" s="1893"/>
      <c r="V2724" s="2079">
        <f t="shared" si="630"/>
        <v>0</v>
      </c>
      <c r="W2724" s="78">
        <f t="shared" si="631"/>
        <v>350</v>
      </c>
      <c r="X2724" s="1878" t="str">
        <f t="shared" si="629"/>
        <v xml:space="preserve">1.- C Vikrant 0060109-OT_000665  Reencauche 002-001483 </v>
      </c>
      <c r="Z2724" s="19" t="str">
        <f t="shared" si="623"/>
        <v>ReencaucheAMC Llantas</v>
      </c>
    </row>
    <row r="2725" spans="2:26" outlineLevel="1">
      <c r="B2725" s="3269"/>
      <c r="C2725" s="2">
        <f t="shared" si="627"/>
        <v>100</v>
      </c>
      <c r="D2725" s="3">
        <f t="shared" si="628"/>
        <v>13</v>
      </c>
      <c r="E2725" s="66">
        <v>2</v>
      </c>
      <c r="F2725" s="67" t="s">
        <v>732</v>
      </c>
      <c r="G2725" s="68" t="s">
        <v>737</v>
      </c>
      <c r="H2725" s="69" t="s">
        <v>1851</v>
      </c>
      <c r="I2725" s="68" t="s">
        <v>726</v>
      </c>
      <c r="J2725" s="70" t="s">
        <v>1961</v>
      </c>
      <c r="K2725" s="71" t="s">
        <v>2017</v>
      </c>
      <c r="L2725" s="72">
        <v>40672</v>
      </c>
      <c r="M2725" s="73" t="s">
        <v>729</v>
      </c>
      <c r="N2725" s="74">
        <v>40687</v>
      </c>
      <c r="O2725" s="75">
        <f t="shared" si="626"/>
        <v>40687</v>
      </c>
      <c r="P2725" s="2765" t="s">
        <v>2018</v>
      </c>
      <c r="Q2725" s="2954"/>
      <c r="R2725" s="76">
        <f t="shared" si="632"/>
        <v>296.61016949152543</v>
      </c>
      <c r="S2725" s="1945" t="s">
        <v>731</v>
      </c>
      <c r="T2725" s="77"/>
      <c r="U2725" s="1893"/>
      <c r="V2725" s="2079">
        <f t="shared" si="630"/>
        <v>0</v>
      </c>
      <c r="W2725" s="78">
        <f t="shared" si="631"/>
        <v>350</v>
      </c>
      <c r="X2725" s="1878" t="str">
        <f t="shared" si="629"/>
        <v xml:space="preserve">2.- C Vikrant 1210805-OT_000665  Reencauche 002-001483 </v>
      </c>
      <c r="Z2725" s="19" t="str">
        <f t="shared" si="623"/>
        <v>ReencaucheAMC Llantas</v>
      </c>
    </row>
    <row r="2726" spans="2:26" outlineLevel="1">
      <c r="B2726" s="3269"/>
      <c r="C2726" s="2">
        <f t="shared" si="627"/>
        <v>99</v>
      </c>
      <c r="D2726" s="3">
        <f t="shared" si="628"/>
        <v>12</v>
      </c>
      <c r="E2726" s="66">
        <v>3</v>
      </c>
      <c r="F2726" s="67" t="s">
        <v>732</v>
      </c>
      <c r="G2726" s="68" t="s">
        <v>733</v>
      </c>
      <c r="H2726" s="69" t="s">
        <v>753</v>
      </c>
      <c r="I2726" s="68" t="s">
        <v>726</v>
      </c>
      <c r="J2726" s="70" t="s">
        <v>1961</v>
      </c>
      <c r="K2726" s="71" t="s">
        <v>2017</v>
      </c>
      <c r="L2726" s="72">
        <v>40672</v>
      </c>
      <c r="M2726" s="73" t="s">
        <v>729</v>
      </c>
      <c r="N2726" s="74">
        <v>40687</v>
      </c>
      <c r="O2726" s="75">
        <f t="shared" si="626"/>
        <v>40687</v>
      </c>
      <c r="P2726" s="2765" t="s">
        <v>2018</v>
      </c>
      <c r="Q2726" s="2954"/>
      <c r="R2726" s="76">
        <f t="shared" si="632"/>
        <v>296.61016949152543</v>
      </c>
      <c r="S2726" s="1945" t="s">
        <v>731</v>
      </c>
      <c r="T2726" s="77"/>
      <c r="U2726" s="1893"/>
      <c r="V2726" s="2079">
        <f t="shared" si="630"/>
        <v>0</v>
      </c>
      <c r="W2726" s="78">
        <f t="shared" si="631"/>
        <v>350</v>
      </c>
      <c r="X2726" s="1878" t="str">
        <f t="shared" si="629"/>
        <v xml:space="preserve">3.- C Lima Caucho 0950908-OT_000665  Reencauche 002-001483 </v>
      </c>
      <c r="Z2726" s="19" t="str">
        <f t="shared" si="623"/>
        <v>ReencaucheAMC Llantas</v>
      </c>
    </row>
    <row r="2727" spans="2:26" outlineLevel="1">
      <c r="B2727" s="3269"/>
      <c r="C2727" s="2">
        <f t="shared" si="627"/>
        <v>98</v>
      </c>
      <c r="D2727" s="3">
        <f t="shared" si="628"/>
        <v>11</v>
      </c>
      <c r="E2727" s="66">
        <v>4</v>
      </c>
      <c r="F2727" s="67" t="s">
        <v>732</v>
      </c>
      <c r="G2727" s="68" t="s">
        <v>737</v>
      </c>
      <c r="H2727" s="69" t="s">
        <v>2019</v>
      </c>
      <c r="I2727" s="68" t="s">
        <v>726</v>
      </c>
      <c r="J2727" s="70" t="s">
        <v>1961</v>
      </c>
      <c r="K2727" s="71" t="s">
        <v>2017</v>
      </c>
      <c r="L2727" s="72">
        <v>40672</v>
      </c>
      <c r="M2727" s="73" t="s">
        <v>729</v>
      </c>
      <c r="N2727" s="74">
        <v>40687</v>
      </c>
      <c r="O2727" s="75">
        <f t="shared" si="626"/>
        <v>40687</v>
      </c>
      <c r="P2727" s="2765" t="s">
        <v>2018</v>
      </c>
      <c r="Q2727" s="2954"/>
      <c r="R2727" s="76">
        <f t="shared" si="632"/>
        <v>296.61016949152543</v>
      </c>
      <c r="S2727" s="1945" t="s">
        <v>731</v>
      </c>
      <c r="T2727" s="77"/>
      <c r="U2727" s="1893"/>
      <c r="V2727" s="2079">
        <f t="shared" si="630"/>
        <v>0</v>
      </c>
      <c r="W2727" s="78">
        <f t="shared" si="631"/>
        <v>350</v>
      </c>
      <c r="X2727" s="1878" t="str">
        <f t="shared" si="629"/>
        <v xml:space="preserve">4.- C Vikrant 0430506-OT_000665  Reencauche 002-001483 </v>
      </c>
      <c r="Z2727" s="19" t="str">
        <f t="shared" si="623"/>
        <v>ReencaucheAMC Llantas</v>
      </c>
    </row>
    <row r="2728" spans="2:26" outlineLevel="1">
      <c r="B2728" s="3269"/>
      <c r="C2728" s="2">
        <f t="shared" si="627"/>
        <v>97</v>
      </c>
      <c r="D2728" s="3">
        <f t="shared" si="628"/>
        <v>10</v>
      </c>
      <c r="E2728" s="66">
        <v>5</v>
      </c>
      <c r="F2728" s="67" t="s">
        <v>732</v>
      </c>
      <c r="G2728" s="68" t="s">
        <v>1233</v>
      </c>
      <c r="H2728" s="69" t="s">
        <v>2020</v>
      </c>
      <c r="I2728" s="68" t="s">
        <v>726</v>
      </c>
      <c r="J2728" s="70" t="s">
        <v>1961</v>
      </c>
      <c r="K2728" s="71" t="s">
        <v>2017</v>
      </c>
      <c r="L2728" s="72">
        <v>40672</v>
      </c>
      <c r="M2728" s="73" t="s">
        <v>729</v>
      </c>
      <c r="N2728" s="74">
        <v>40687</v>
      </c>
      <c r="O2728" s="75">
        <f t="shared" si="626"/>
        <v>40687</v>
      </c>
      <c r="P2728" s="2765" t="s">
        <v>2018</v>
      </c>
      <c r="Q2728" s="2954"/>
      <c r="R2728" s="76">
        <f t="shared" si="632"/>
        <v>296.61016949152543</v>
      </c>
      <c r="S2728" s="1945" t="s">
        <v>731</v>
      </c>
      <c r="T2728" s="77"/>
      <c r="U2728" s="1893"/>
      <c r="V2728" s="2079">
        <f t="shared" si="630"/>
        <v>0</v>
      </c>
      <c r="W2728" s="78">
        <f t="shared" si="631"/>
        <v>350</v>
      </c>
      <c r="X2728" s="1878" t="str">
        <f t="shared" si="629"/>
        <v xml:space="preserve">5.- C Saratoga 0120306-OT_000665  Reencauche 002-001483 </v>
      </c>
      <c r="Z2728" s="19" t="str">
        <f t="shared" si="623"/>
        <v>ReencaucheAMC Llantas</v>
      </c>
    </row>
    <row r="2729" spans="2:26" outlineLevel="1">
      <c r="B2729" s="3269"/>
      <c r="C2729" s="2">
        <f t="shared" si="627"/>
        <v>96</v>
      </c>
      <c r="D2729" s="3">
        <f t="shared" si="628"/>
        <v>9</v>
      </c>
      <c r="E2729" s="66">
        <v>6</v>
      </c>
      <c r="F2729" s="67" t="s">
        <v>732</v>
      </c>
      <c r="G2729" s="68" t="s">
        <v>733</v>
      </c>
      <c r="H2729" s="69" t="s">
        <v>1172</v>
      </c>
      <c r="I2729" s="68" t="s">
        <v>726</v>
      </c>
      <c r="J2729" s="70" t="s">
        <v>1961</v>
      </c>
      <c r="K2729" s="71" t="s">
        <v>2017</v>
      </c>
      <c r="L2729" s="72">
        <v>40672</v>
      </c>
      <c r="M2729" s="73" t="s">
        <v>729</v>
      </c>
      <c r="N2729" s="74">
        <v>40687</v>
      </c>
      <c r="O2729" s="75">
        <f t="shared" si="626"/>
        <v>40687</v>
      </c>
      <c r="P2729" s="2765" t="s">
        <v>2018</v>
      </c>
      <c r="Q2729" s="2954"/>
      <c r="R2729" s="76">
        <f t="shared" si="632"/>
        <v>296.61016949152543</v>
      </c>
      <c r="S2729" s="1945" t="s">
        <v>731</v>
      </c>
      <c r="T2729" s="77"/>
      <c r="U2729" s="1893"/>
      <c r="V2729" s="2079">
        <f t="shared" si="630"/>
        <v>0</v>
      </c>
      <c r="W2729" s="78">
        <f t="shared" si="631"/>
        <v>350</v>
      </c>
      <c r="X2729" s="1878" t="str">
        <f t="shared" si="629"/>
        <v xml:space="preserve">6.- C Lima Caucho 0300508-OT_000665  Reencauche 002-001483 </v>
      </c>
      <c r="Z2729" s="19" t="str">
        <f t="shared" si="623"/>
        <v>ReencaucheAMC Llantas</v>
      </c>
    </row>
    <row r="2730" spans="2:26" outlineLevel="1">
      <c r="B2730" s="3269"/>
      <c r="C2730" s="2">
        <f t="shared" si="627"/>
        <v>95</v>
      </c>
      <c r="D2730" s="3">
        <f t="shared" si="628"/>
        <v>8</v>
      </c>
      <c r="E2730" s="66">
        <v>7</v>
      </c>
      <c r="F2730" s="67" t="s">
        <v>732</v>
      </c>
      <c r="G2730" s="68" t="s">
        <v>757</v>
      </c>
      <c r="H2730" s="69" t="s">
        <v>2021</v>
      </c>
      <c r="I2730" s="68" t="s">
        <v>726</v>
      </c>
      <c r="J2730" s="70" t="s">
        <v>1961</v>
      </c>
      <c r="K2730" s="71" t="s">
        <v>2017</v>
      </c>
      <c r="L2730" s="72">
        <v>40672</v>
      </c>
      <c r="M2730" s="73" t="s">
        <v>729</v>
      </c>
      <c r="N2730" s="74">
        <v>40686</v>
      </c>
      <c r="O2730" s="75">
        <f t="shared" si="626"/>
        <v>40686</v>
      </c>
      <c r="P2730" s="2765" t="s">
        <v>2022</v>
      </c>
      <c r="Q2730" s="2954"/>
      <c r="R2730" s="76">
        <f t="shared" si="632"/>
        <v>296.61016949152543</v>
      </c>
      <c r="S2730" s="1945" t="s">
        <v>731</v>
      </c>
      <c r="T2730" s="77"/>
      <c r="U2730" s="1893"/>
      <c r="V2730" s="2079">
        <f t="shared" si="630"/>
        <v>0</v>
      </c>
      <c r="W2730" s="78">
        <f t="shared" si="631"/>
        <v>350</v>
      </c>
      <c r="X2730" s="1878" t="str">
        <f t="shared" si="629"/>
        <v xml:space="preserve">7.- C Goodyear 1190804-OT_000665  Reencauche 002-001482 </v>
      </c>
      <c r="Z2730" s="19" t="str">
        <f t="shared" si="623"/>
        <v>ReencaucheAMC Llantas</v>
      </c>
    </row>
    <row r="2731" spans="2:26" outlineLevel="1">
      <c r="B2731" s="3269"/>
      <c r="C2731" s="2">
        <f t="shared" si="627"/>
        <v>94</v>
      </c>
      <c r="D2731" s="3">
        <f t="shared" si="628"/>
        <v>7</v>
      </c>
      <c r="E2731" s="66">
        <v>8</v>
      </c>
      <c r="F2731" s="67" t="s">
        <v>732</v>
      </c>
      <c r="G2731" s="68" t="s">
        <v>737</v>
      </c>
      <c r="H2731" s="69" t="s">
        <v>1476</v>
      </c>
      <c r="I2731" s="68" t="s">
        <v>726</v>
      </c>
      <c r="J2731" s="70" t="s">
        <v>1961</v>
      </c>
      <c r="K2731" s="71" t="s">
        <v>2017</v>
      </c>
      <c r="L2731" s="72">
        <v>40672</v>
      </c>
      <c r="M2731" s="73" t="s">
        <v>729</v>
      </c>
      <c r="N2731" s="74">
        <v>40686</v>
      </c>
      <c r="O2731" s="75">
        <f t="shared" si="626"/>
        <v>40686</v>
      </c>
      <c r="P2731" s="2765" t="s">
        <v>2022</v>
      </c>
      <c r="Q2731" s="2954"/>
      <c r="R2731" s="76">
        <f t="shared" si="632"/>
        <v>296.61016949152543</v>
      </c>
      <c r="S2731" s="1945" t="s">
        <v>731</v>
      </c>
      <c r="T2731" s="77"/>
      <c r="U2731" s="1893"/>
      <c r="V2731" s="2079">
        <f t="shared" si="630"/>
        <v>0</v>
      </c>
      <c r="W2731" s="78">
        <f t="shared" si="631"/>
        <v>350</v>
      </c>
      <c r="X2731" s="1878" t="str">
        <f t="shared" si="629"/>
        <v xml:space="preserve">8.- C Vikrant 0050109-OT_000665  Reencauche 002-001482 </v>
      </c>
      <c r="Z2731" s="19" t="str">
        <f t="shared" si="623"/>
        <v>ReencaucheAMC Llantas</v>
      </c>
    </row>
    <row r="2732" spans="2:26" outlineLevel="1">
      <c r="B2732" s="3269"/>
      <c r="C2732" s="2">
        <f t="shared" si="627"/>
        <v>93</v>
      </c>
      <c r="D2732" s="3">
        <f t="shared" si="628"/>
        <v>6</v>
      </c>
      <c r="E2732" s="66">
        <v>9</v>
      </c>
      <c r="F2732" s="67" t="s">
        <v>732</v>
      </c>
      <c r="G2732" s="68" t="s">
        <v>757</v>
      </c>
      <c r="H2732" s="69" t="s">
        <v>2023</v>
      </c>
      <c r="I2732" s="68" t="s">
        <v>726</v>
      </c>
      <c r="J2732" s="70" t="s">
        <v>1961</v>
      </c>
      <c r="K2732" s="71" t="s">
        <v>2017</v>
      </c>
      <c r="L2732" s="72">
        <v>40672</v>
      </c>
      <c r="M2732" s="73" t="s">
        <v>729</v>
      </c>
      <c r="N2732" s="74">
        <v>40686</v>
      </c>
      <c r="O2732" s="75">
        <f t="shared" si="626"/>
        <v>40686</v>
      </c>
      <c r="P2732" s="2765" t="s">
        <v>2022</v>
      </c>
      <c r="Q2732" s="2954"/>
      <c r="R2732" s="76">
        <f t="shared" si="632"/>
        <v>296.61016949152543</v>
      </c>
      <c r="S2732" s="1945" t="s">
        <v>731</v>
      </c>
      <c r="T2732" s="77"/>
      <c r="U2732" s="1893"/>
      <c r="V2732" s="2079">
        <f t="shared" si="630"/>
        <v>0</v>
      </c>
      <c r="W2732" s="78">
        <f t="shared" si="631"/>
        <v>350</v>
      </c>
      <c r="X2732" s="1878" t="str">
        <f t="shared" si="629"/>
        <v xml:space="preserve">9.- C Goodyear 1551004-OT_000665  Reencauche 002-001482 </v>
      </c>
      <c r="Z2732" s="19" t="str">
        <f t="shared" si="623"/>
        <v>ReencaucheAMC Llantas</v>
      </c>
    </row>
    <row r="2733" spans="2:26" outlineLevel="1">
      <c r="B2733" s="3269"/>
      <c r="C2733" s="2">
        <f t="shared" si="627"/>
        <v>92</v>
      </c>
      <c r="D2733" s="3">
        <f t="shared" si="628"/>
        <v>5</v>
      </c>
      <c r="E2733" s="66">
        <v>10</v>
      </c>
      <c r="F2733" s="67" t="s">
        <v>732</v>
      </c>
      <c r="G2733" s="68" t="s">
        <v>1108</v>
      </c>
      <c r="H2733" s="69" t="s">
        <v>1206</v>
      </c>
      <c r="I2733" s="68" t="s">
        <v>726</v>
      </c>
      <c r="J2733" s="70" t="s">
        <v>1961</v>
      </c>
      <c r="K2733" s="71" t="s">
        <v>2017</v>
      </c>
      <c r="L2733" s="72">
        <v>40672</v>
      </c>
      <c r="M2733" s="73" t="s">
        <v>729</v>
      </c>
      <c r="N2733" s="74">
        <v>40686</v>
      </c>
      <c r="O2733" s="75">
        <f t="shared" si="626"/>
        <v>40686</v>
      </c>
      <c r="P2733" s="2765" t="s">
        <v>2022</v>
      </c>
      <c r="Q2733" s="2954"/>
      <c r="R2733" s="76">
        <f t="shared" si="632"/>
        <v>296.61016949152543</v>
      </c>
      <c r="S2733" s="1945" t="s">
        <v>731</v>
      </c>
      <c r="T2733" s="77"/>
      <c r="U2733" s="1893"/>
      <c r="V2733" s="2079">
        <f t="shared" si="630"/>
        <v>0</v>
      </c>
      <c r="W2733" s="78">
        <f t="shared" si="631"/>
        <v>350</v>
      </c>
      <c r="X2733" s="1878" t="str">
        <f t="shared" si="629"/>
        <v xml:space="preserve">10.- C Hankook 0530305-OT_000665  Reencauche 002-001482 </v>
      </c>
      <c r="Z2733" s="19" t="str">
        <f t="shared" si="623"/>
        <v>Transpl BandaReencauchadora Espinoza</v>
      </c>
    </row>
    <row r="2734" spans="2:26" outlineLevel="1">
      <c r="B2734" s="3269"/>
      <c r="C2734" s="2">
        <f t="shared" si="627"/>
        <v>91</v>
      </c>
      <c r="D2734" s="3">
        <f t="shared" si="628"/>
        <v>4</v>
      </c>
      <c r="E2734" s="66">
        <v>11</v>
      </c>
      <c r="F2734" s="67" t="s">
        <v>732</v>
      </c>
      <c r="G2734" s="68" t="s">
        <v>757</v>
      </c>
      <c r="H2734" s="69" t="s">
        <v>2024</v>
      </c>
      <c r="I2734" s="68" t="s">
        <v>726</v>
      </c>
      <c r="J2734" s="70" t="s">
        <v>1961</v>
      </c>
      <c r="K2734" s="71" t="s">
        <v>2017</v>
      </c>
      <c r="L2734" s="72">
        <v>40672</v>
      </c>
      <c r="M2734" s="73" t="s">
        <v>729</v>
      </c>
      <c r="N2734" s="74">
        <v>40686</v>
      </c>
      <c r="O2734" s="75">
        <f t="shared" si="626"/>
        <v>40686</v>
      </c>
      <c r="P2734" s="2765" t="s">
        <v>2022</v>
      </c>
      <c r="Q2734" s="2954"/>
      <c r="R2734" s="76">
        <f t="shared" si="632"/>
        <v>296.61016949152543</v>
      </c>
      <c r="S2734" s="1945" t="s">
        <v>731</v>
      </c>
      <c r="T2734" s="77"/>
      <c r="U2734" s="1893"/>
      <c r="V2734" s="2079">
        <f t="shared" si="630"/>
        <v>0</v>
      </c>
      <c r="W2734" s="78">
        <f t="shared" si="631"/>
        <v>350</v>
      </c>
      <c r="X2734" s="1878" t="str">
        <f t="shared" si="629"/>
        <v xml:space="preserve">11.- C Goodyear 1250804-OT_000665  Reencauche 002-001482 </v>
      </c>
      <c r="Z2734" s="19" t="str">
        <f t="shared" si="623"/>
        <v>Transpl BandaReencauchadora Espinoza</v>
      </c>
    </row>
    <row r="2735" spans="2:26" outlineLevel="1">
      <c r="B2735" s="3269"/>
      <c r="C2735" s="2">
        <f t="shared" si="627"/>
        <v>90</v>
      </c>
      <c r="D2735" s="3">
        <f t="shared" si="628"/>
        <v>3</v>
      </c>
      <c r="E2735" s="79">
        <v>12</v>
      </c>
      <c r="F2735" s="80" t="s">
        <v>732</v>
      </c>
      <c r="G2735" s="81" t="s">
        <v>733</v>
      </c>
      <c r="H2735" s="82" t="s">
        <v>965</v>
      </c>
      <c r="I2735" s="81" t="s">
        <v>726</v>
      </c>
      <c r="J2735" s="83" t="s">
        <v>1961</v>
      </c>
      <c r="K2735" s="84" t="s">
        <v>2017</v>
      </c>
      <c r="L2735" s="85">
        <v>40672</v>
      </c>
      <c r="M2735" s="287" t="s">
        <v>729</v>
      </c>
      <c r="N2735" s="87">
        <v>40686</v>
      </c>
      <c r="O2735" s="88">
        <f t="shared" si="626"/>
        <v>40686</v>
      </c>
      <c r="P2735" s="2784" t="s">
        <v>2022</v>
      </c>
      <c r="Q2735" s="2955"/>
      <c r="R2735" s="89">
        <f t="shared" si="632"/>
        <v>296.61016949152543</v>
      </c>
      <c r="S2735" s="1946" t="s">
        <v>731</v>
      </c>
      <c r="T2735" s="413"/>
      <c r="U2735" s="1893"/>
      <c r="V2735" s="2079">
        <f t="shared" si="630"/>
        <v>0</v>
      </c>
      <c r="W2735" s="78">
        <f t="shared" si="631"/>
        <v>350</v>
      </c>
      <c r="X2735" s="1878" t="str">
        <f t="shared" si="629"/>
        <v xml:space="preserve">12.- C Lima Caucho 0290508-OT_000665  Reencauche 002-001482 </v>
      </c>
      <c r="Z2735" s="19" t="str">
        <f t="shared" si="623"/>
        <v/>
      </c>
    </row>
    <row r="2736" spans="2:26" outlineLevel="1">
      <c r="B2736" s="3269"/>
      <c r="C2736" s="2">
        <f>1+C2737</f>
        <v>89</v>
      </c>
      <c r="D2736" s="3">
        <v>2</v>
      </c>
      <c r="E2736" s="346">
        <v>1</v>
      </c>
      <c r="F2736" s="67" t="s">
        <v>732</v>
      </c>
      <c r="G2736" s="90" t="s">
        <v>757</v>
      </c>
      <c r="H2736" s="91" t="s">
        <v>1949</v>
      </c>
      <c r="I2736" s="257" t="s">
        <v>740</v>
      </c>
      <c r="J2736" s="92" t="s">
        <v>1543</v>
      </c>
      <c r="K2736" s="243" t="s">
        <v>1459</v>
      </c>
      <c r="L2736" s="244">
        <v>40665</v>
      </c>
      <c r="M2736" s="245" t="s">
        <v>729</v>
      </c>
      <c r="N2736" s="74">
        <v>40670</v>
      </c>
      <c r="O2736" s="75">
        <f t="shared" si="626"/>
        <v>40670</v>
      </c>
      <c r="P2736" s="2799" t="s">
        <v>2025</v>
      </c>
      <c r="Q2736" s="2954"/>
      <c r="R2736" s="248">
        <f>150/(1.18)</f>
        <v>127.11864406779662</v>
      </c>
      <c r="S2736" s="1958" t="s">
        <v>731</v>
      </c>
      <c r="T2736" s="433" t="s">
        <v>2026</v>
      </c>
      <c r="U2736" s="1896"/>
      <c r="V2736" s="2079">
        <f t="shared" si="630"/>
        <v>0</v>
      </c>
      <c r="W2736" s="78">
        <f t="shared" si="631"/>
        <v>150</v>
      </c>
      <c r="X2736" s="1878" t="str">
        <f t="shared" si="629"/>
        <v xml:space="preserve">1.- C Goodyear 0370901-OT_000569  Transpl Banda 001-001216  Con banda transplantada  en 15mm  [ Lima Caucho 0660907] </v>
      </c>
      <c r="Z2736" s="19" t="str">
        <f t="shared" si="623"/>
        <v>Sacar_BandaReencauchadora Espinoza</v>
      </c>
    </row>
    <row r="2737" spans="2:26" outlineLevel="1">
      <c r="B2737" s="3269"/>
      <c r="C2737" s="2">
        <f>1+C2743</f>
        <v>88</v>
      </c>
      <c r="D2737" s="3">
        <v>1</v>
      </c>
      <c r="E2737" s="346">
        <v>2</v>
      </c>
      <c r="F2737" s="67" t="s">
        <v>732</v>
      </c>
      <c r="G2737" s="90" t="s">
        <v>831</v>
      </c>
      <c r="H2737" s="91" t="s">
        <v>1634</v>
      </c>
      <c r="I2737" s="257" t="s">
        <v>740</v>
      </c>
      <c r="J2737" s="92" t="s">
        <v>1543</v>
      </c>
      <c r="K2737" s="243" t="s">
        <v>1459</v>
      </c>
      <c r="L2737" s="244">
        <v>40665</v>
      </c>
      <c r="M2737" s="245" t="s">
        <v>729</v>
      </c>
      <c r="N2737" s="74">
        <v>40670</v>
      </c>
      <c r="O2737" s="75">
        <f t="shared" si="626"/>
        <v>40670</v>
      </c>
      <c r="P2737" s="2799" t="s">
        <v>2025</v>
      </c>
      <c r="Q2737" s="2954"/>
      <c r="R2737" s="248">
        <f>150/(1.18)</f>
        <v>127.11864406779662</v>
      </c>
      <c r="S2737" s="1958" t="s">
        <v>731</v>
      </c>
      <c r="T2737" s="1915" t="s">
        <v>2027</v>
      </c>
      <c r="U2737" s="1896"/>
      <c r="V2737" s="2079">
        <f t="shared" si="630"/>
        <v>0</v>
      </c>
      <c r="W2737" s="78">
        <f t="shared" si="631"/>
        <v>150</v>
      </c>
      <c r="X2737" s="1878" t="str">
        <f t="shared" si="629"/>
        <v xml:space="preserve">2.- C Kumho 0570305-OT_000569  Transpl Banda 001-001216  Con banda transplantada  en 14mm  [ Birla 0690405] </v>
      </c>
      <c r="Z2737" s="19" t="str">
        <f t="shared" si="623"/>
        <v>Sacar_BandaReencauchadora Espinoza</v>
      </c>
    </row>
    <row r="2738" spans="2:26" outlineLevel="1">
      <c r="B2738" s="3269"/>
      <c r="E2738" s="406">
        <v>3</v>
      </c>
      <c r="F2738" s="573" t="s">
        <v>732</v>
      </c>
      <c r="G2738" s="290" t="s">
        <v>757</v>
      </c>
      <c r="H2738" s="289" t="s">
        <v>2028</v>
      </c>
      <c r="I2738" s="414"/>
      <c r="J2738" s="291"/>
      <c r="K2738" s="292" t="s">
        <v>1459</v>
      </c>
      <c r="L2738" s="293">
        <v>40665</v>
      </c>
      <c r="M2738" s="294" t="s">
        <v>729</v>
      </c>
      <c r="N2738" s="295">
        <v>40670</v>
      </c>
      <c r="O2738" s="296">
        <f t="shared" si="626"/>
        <v>40670</v>
      </c>
      <c r="P2738" s="2795" t="s">
        <v>2025</v>
      </c>
      <c r="Q2738" s="2976"/>
      <c r="R2738" s="286">
        <v>0</v>
      </c>
      <c r="S2738" s="1962" t="s">
        <v>731</v>
      </c>
      <c r="T2738" s="274" t="s">
        <v>1617</v>
      </c>
      <c r="U2738" s="1895"/>
      <c r="V2738" s="2079">
        <f t="shared" si="630"/>
        <v>0</v>
      </c>
      <c r="W2738" s="78">
        <f t="shared" si="631"/>
        <v>0</v>
      </c>
      <c r="X2738" s="1878" t="str">
        <f t="shared" si="629"/>
        <v>3.- C Goodyear 0320302-OT_000569   001-001216  Llanta Rechazada, no se facturo</v>
      </c>
      <c r="Z2738" s="19" t="str">
        <f t="shared" si="623"/>
        <v>Sacar_BandaReencauchadora Espinoza</v>
      </c>
    </row>
    <row r="2739" spans="2:26">
      <c r="B2739" s="3269"/>
      <c r="E2739" s="346">
        <v>4</v>
      </c>
      <c r="F2739" s="67" t="s">
        <v>732</v>
      </c>
      <c r="G2739" s="90" t="s">
        <v>814</v>
      </c>
      <c r="H2739" s="91" t="s">
        <v>2029</v>
      </c>
      <c r="I2739" s="257" t="s">
        <v>744</v>
      </c>
      <c r="J2739" s="92" t="s">
        <v>1543</v>
      </c>
      <c r="K2739" s="243" t="s">
        <v>2030</v>
      </c>
      <c r="L2739" s="244">
        <v>40665</v>
      </c>
      <c r="M2739" s="245" t="s">
        <v>729</v>
      </c>
      <c r="N2739" s="74">
        <v>40670</v>
      </c>
      <c r="O2739" s="75">
        <f t="shared" si="626"/>
        <v>40670</v>
      </c>
      <c r="P2739" s="2799" t="s">
        <v>2025</v>
      </c>
      <c r="Q2739" s="2954"/>
      <c r="R2739" s="248">
        <v>0</v>
      </c>
      <c r="S2739" s="1958" t="s">
        <v>731</v>
      </c>
      <c r="T2739" s="347" t="s">
        <v>2031</v>
      </c>
      <c r="U2739" s="1924"/>
      <c r="V2739" s="2079">
        <f t="shared" si="630"/>
        <v>0</v>
      </c>
      <c r="W2739" s="78">
        <f t="shared" si="631"/>
        <v>0</v>
      </c>
      <c r="X2739" s="1878" t="str">
        <f t="shared" si="629"/>
        <v>4.- C Birla 0690405-OT_000570  Sacar_Banda 001-001216 Casco soplado, banda 14mm, desechada</v>
      </c>
    </row>
    <row r="2740" spans="2:26" outlineLevel="1">
      <c r="B2740" s="3269"/>
      <c r="E2740" s="346">
        <v>5</v>
      </c>
      <c r="F2740" s="67" t="s">
        <v>732</v>
      </c>
      <c r="G2740" s="90" t="s">
        <v>733</v>
      </c>
      <c r="H2740" s="91" t="s">
        <v>2032</v>
      </c>
      <c r="I2740" s="257" t="s">
        <v>744</v>
      </c>
      <c r="J2740" s="92" t="s">
        <v>1543</v>
      </c>
      <c r="K2740" s="243" t="s">
        <v>2030</v>
      </c>
      <c r="L2740" s="244">
        <v>40665</v>
      </c>
      <c r="M2740" s="245" t="s">
        <v>729</v>
      </c>
      <c r="N2740" s="74">
        <v>40670</v>
      </c>
      <c r="O2740" s="75">
        <f t="shared" si="626"/>
        <v>40670</v>
      </c>
      <c r="P2740" s="2799" t="s">
        <v>2025</v>
      </c>
      <c r="Q2740" s="2954"/>
      <c r="R2740" s="248">
        <v>0</v>
      </c>
      <c r="S2740" s="1958" t="s">
        <v>731</v>
      </c>
      <c r="T2740" s="347" t="s">
        <v>2033</v>
      </c>
      <c r="U2740" s="1924"/>
      <c r="V2740" s="2079">
        <f t="shared" si="630"/>
        <v>0</v>
      </c>
      <c r="W2740" s="78">
        <f t="shared" si="631"/>
        <v>0</v>
      </c>
      <c r="X2740" s="1878" t="str">
        <f t="shared" si="629"/>
        <v>5.- C Lima Caucho 0660907-OT_000570  Sacar_Banda 001-001216 Dañado x golpe en casco, banda 15mm, desechada</v>
      </c>
      <c r="Z2740" s="19" t="str">
        <f t="shared" ref="Z2740:Z2756" si="633">CONCATENATE(I2743,J2743)</f>
        <v>ReencaucheAMC Llantas</v>
      </c>
    </row>
    <row r="2741" spans="2:26" ht="15.75" outlineLevel="1" thickBot="1">
      <c r="B2741" s="3270"/>
      <c r="E2741" s="410">
        <v>6</v>
      </c>
      <c r="F2741" s="328" t="s">
        <v>732</v>
      </c>
      <c r="G2741" s="360" t="s">
        <v>757</v>
      </c>
      <c r="H2741" s="361" t="s">
        <v>2034</v>
      </c>
      <c r="I2741" s="331" t="s">
        <v>744</v>
      </c>
      <c r="J2741" s="332" t="s">
        <v>1543</v>
      </c>
      <c r="K2741" s="362" t="s">
        <v>2030</v>
      </c>
      <c r="L2741" s="363">
        <v>40665</v>
      </c>
      <c r="M2741" s="364" t="s">
        <v>729</v>
      </c>
      <c r="N2741" s="336">
        <v>40670</v>
      </c>
      <c r="O2741" s="337">
        <f t="shared" si="626"/>
        <v>40670</v>
      </c>
      <c r="P2741" s="2802" t="s">
        <v>2025</v>
      </c>
      <c r="Q2741" s="2979"/>
      <c r="R2741" s="365">
        <v>0</v>
      </c>
      <c r="S2741" s="1967" t="s">
        <v>731</v>
      </c>
      <c r="T2741" s="347" t="s">
        <v>2035</v>
      </c>
      <c r="U2741" s="1924"/>
      <c r="V2741" s="2079">
        <f t="shared" si="630"/>
        <v>0</v>
      </c>
      <c r="W2741" s="78">
        <f t="shared" si="631"/>
        <v>0</v>
      </c>
      <c r="X2741" s="1878" t="str">
        <f t="shared" si="629"/>
        <v>6.- C Goodyear 1150704-OT_000570  Sacar_Banda 001-001216 Casco soplado falla en casco, banda 14mm, desechada</v>
      </c>
      <c r="Z2741" s="19" t="str">
        <f t="shared" si="633"/>
        <v>ReencaucheAMC Llantas</v>
      </c>
    </row>
    <row r="2742" spans="2:26" ht="15.75" outlineLevel="1" thickBot="1">
      <c r="B2742" s="3267">
        <f>+B2743</f>
        <v>40634</v>
      </c>
      <c r="C2742" s="3267"/>
      <c r="D2742" s="387">
        <f>+D2743</f>
        <v>14</v>
      </c>
      <c r="E2742" s="346"/>
      <c r="F2742" s="67"/>
      <c r="G2742" s="90"/>
      <c r="H2742" s="91"/>
      <c r="I2742" s="257"/>
      <c r="J2742" s="92"/>
      <c r="K2742" s="243"/>
      <c r="L2742" s="244"/>
      <c r="M2742" s="245"/>
      <c r="N2742" s="74"/>
      <c r="O2742" s="75"/>
      <c r="P2742" s="2799"/>
      <c r="Q2742" s="2954"/>
      <c r="R2742" s="248"/>
      <c r="S2742" s="1958"/>
      <c r="T2742" s="347"/>
      <c r="U2742" s="1924"/>
      <c r="V2742" s="2079">
        <f t="shared" si="630"/>
        <v>0</v>
      </c>
      <c r="W2742" s="78">
        <f t="shared" si="631"/>
        <v>0</v>
      </c>
      <c r="X2742" s="1878" t="str">
        <f t="shared" si="629"/>
        <v xml:space="preserve">.-   -OT_    </v>
      </c>
      <c r="Z2742" s="19" t="str">
        <f t="shared" si="633"/>
        <v>ReencaucheAMC Llantas</v>
      </c>
    </row>
    <row r="2743" spans="2:26" outlineLevel="1">
      <c r="B2743" s="3274">
        <v>40634</v>
      </c>
      <c r="C2743" s="2">
        <f t="shared" ref="C2743:C2752" si="634">1+C2744</f>
        <v>87</v>
      </c>
      <c r="D2743" s="306">
        <f t="shared" ref="D2743:D2752" si="635">1+D2744</f>
        <v>14</v>
      </c>
      <c r="E2743" s="66">
        <v>1</v>
      </c>
      <c r="F2743" s="67" t="s">
        <v>732</v>
      </c>
      <c r="G2743" s="68" t="s">
        <v>757</v>
      </c>
      <c r="H2743" s="69" t="s">
        <v>1213</v>
      </c>
      <c r="I2743" s="68" t="s">
        <v>726</v>
      </c>
      <c r="J2743" s="70" t="s">
        <v>1961</v>
      </c>
      <c r="K2743" s="71" t="s">
        <v>2036</v>
      </c>
      <c r="L2743" s="72">
        <v>40644</v>
      </c>
      <c r="M2743" s="73" t="s">
        <v>729</v>
      </c>
      <c r="N2743" s="74">
        <v>40653</v>
      </c>
      <c r="O2743" s="75">
        <f t="shared" ref="O2743:O2759" si="636">+N2743</f>
        <v>40653</v>
      </c>
      <c r="P2743" s="2765" t="s">
        <v>2037</v>
      </c>
      <c r="Q2743" s="2954"/>
      <c r="R2743" s="76">
        <f t="shared" ref="R2743:R2752" si="637">327/(1.18)</f>
        <v>277.11864406779665</v>
      </c>
      <c r="S2743" s="1945" t="s">
        <v>731</v>
      </c>
      <c r="T2743" s="408"/>
      <c r="U2743" s="1930"/>
      <c r="V2743" s="2079">
        <f t="shared" si="630"/>
        <v>0</v>
      </c>
      <c r="W2743" s="78">
        <f t="shared" si="631"/>
        <v>327.00000000000006</v>
      </c>
      <c r="X2743" s="1878" t="str">
        <f t="shared" si="629"/>
        <v xml:space="preserve">1.- C Goodyear 1881204-OT_000642  Reencauche 002-001470 </v>
      </c>
      <c r="Z2743" s="19" t="str">
        <f t="shared" si="633"/>
        <v>ReencaucheAMC Llantas</v>
      </c>
    </row>
    <row r="2744" spans="2:26" outlineLevel="1">
      <c r="B2744" s="3275"/>
      <c r="C2744" s="2">
        <f t="shared" si="634"/>
        <v>86</v>
      </c>
      <c r="D2744" s="3">
        <f t="shared" si="635"/>
        <v>13</v>
      </c>
      <c r="E2744" s="66">
        <v>2</v>
      </c>
      <c r="F2744" s="67" t="s">
        <v>732</v>
      </c>
      <c r="G2744" s="68" t="s">
        <v>733</v>
      </c>
      <c r="H2744" s="69" t="s">
        <v>2038</v>
      </c>
      <c r="I2744" s="68" t="s">
        <v>726</v>
      </c>
      <c r="J2744" s="70" t="s">
        <v>1961</v>
      </c>
      <c r="K2744" s="71" t="s">
        <v>2036</v>
      </c>
      <c r="L2744" s="72">
        <v>40644</v>
      </c>
      <c r="M2744" s="73" t="s">
        <v>729</v>
      </c>
      <c r="N2744" s="74">
        <v>40653</v>
      </c>
      <c r="O2744" s="75">
        <f t="shared" si="636"/>
        <v>40653</v>
      </c>
      <c r="P2744" s="2765" t="s">
        <v>2037</v>
      </c>
      <c r="Q2744" s="2954"/>
      <c r="R2744" s="76">
        <f t="shared" si="637"/>
        <v>277.11864406779665</v>
      </c>
      <c r="S2744" s="1945" t="s">
        <v>731</v>
      </c>
      <c r="T2744" s="408"/>
      <c r="U2744" s="1930"/>
      <c r="V2744" s="2079">
        <f t="shared" si="630"/>
        <v>0</v>
      </c>
      <c r="W2744" s="78">
        <f t="shared" si="631"/>
        <v>327.00000000000006</v>
      </c>
      <c r="X2744" s="1878" t="str">
        <f t="shared" si="629"/>
        <v xml:space="preserve">2.- C Lima Caucho 090908-OT_000642  Reencauche 002-001470 </v>
      </c>
      <c r="Z2744" s="19" t="str">
        <f t="shared" si="633"/>
        <v>ReencaucheAMC Llantas</v>
      </c>
    </row>
    <row r="2745" spans="2:26" outlineLevel="1">
      <c r="B2745" s="3275"/>
      <c r="C2745" s="2">
        <f t="shared" si="634"/>
        <v>85</v>
      </c>
      <c r="D2745" s="3">
        <f t="shared" si="635"/>
        <v>12</v>
      </c>
      <c r="E2745" s="66">
        <v>3</v>
      </c>
      <c r="F2745" s="67" t="s">
        <v>732</v>
      </c>
      <c r="G2745" s="68" t="s">
        <v>1233</v>
      </c>
      <c r="H2745" s="69" t="s">
        <v>2039</v>
      </c>
      <c r="I2745" s="68" t="s">
        <v>726</v>
      </c>
      <c r="J2745" s="70" t="s">
        <v>1961</v>
      </c>
      <c r="K2745" s="71" t="s">
        <v>2036</v>
      </c>
      <c r="L2745" s="72">
        <v>40644</v>
      </c>
      <c r="M2745" s="73" t="s">
        <v>729</v>
      </c>
      <c r="N2745" s="74">
        <v>40653</v>
      </c>
      <c r="O2745" s="75">
        <f t="shared" si="636"/>
        <v>40653</v>
      </c>
      <c r="P2745" s="2765" t="s">
        <v>2037</v>
      </c>
      <c r="Q2745" s="2954"/>
      <c r="R2745" s="76">
        <f t="shared" si="637"/>
        <v>277.11864406779665</v>
      </c>
      <c r="S2745" s="1945" t="s">
        <v>731</v>
      </c>
      <c r="T2745" s="77"/>
      <c r="U2745" s="1893"/>
      <c r="V2745" s="2079">
        <f t="shared" si="630"/>
        <v>0</v>
      </c>
      <c r="W2745" s="78">
        <f t="shared" si="631"/>
        <v>327.00000000000006</v>
      </c>
      <c r="X2745" s="1878" t="str">
        <f t="shared" si="629"/>
        <v xml:space="preserve">3.- C Saratoga 0230506-OT_000642  Reencauche 002-001470 </v>
      </c>
      <c r="Z2745" s="19" t="str">
        <f t="shared" si="633"/>
        <v>ReencaucheAMC Llantas</v>
      </c>
    </row>
    <row r="2746" spans="2:26" outlineLevel="1">
      <c r="B2746" s="3275"/>
      <c r="C2746" s="2">
        <f t="shared" si="634"/>
        <v>84</v>
      </c>
      <c r="D2746" s="3">
        <f t="shared" si="635"/>
        <v>11</v>
      </c>
      <c r="E2746" s="66">
        <v>4</v>
      </c>
      <c r="F2746" s="67" t="s">
        <v>732</v>
      </c>
      <c r="G2746" s="68" t="s">
        <v>757</v>
      </c>
      <c r="H2746" s="69" t="s">
        <v>2040</v>
      </c>
      <c r="I2746" s="68" t="s">
        <v>726</v>
      </c>
      <c r="J2746" s="70" t="s">
        <v>1961</v>
      </c>
      <c r="K2746" s="71" t="s">
        <v>2036</v>
      </c>
      <c r="L2746" s="72">
        <v>40644</v>
      </c>
      <c r="M2746" s="73" t="s">
        <v>729</v>
      </c>
      <c r="N2746" s="74">
        <v>40653</v>
      </c>
      <c r="O2746" s="75">
        <f t="shared" si="636"/>
        <v>40653</v>
      </c>
      <c r="P2746" s="2765" t="s">
        <v>2037</v>
      </c>
      <c r="Q2746" s="2954"/>
      <c r="R2746" s="76">
        <f t="shared" si="637"/>
        <v>277.11864406779665</v>
      </c>
      <c r="S2746" s="1945" t="s">
        <v>731</v>
      </c>
      <c r="T2746" s="77"/>
      <c r="U2746" s="1893"/>
      <c r="V2746" s="2079">
        <f t="shared" si="630"/>
        <v>0</v>
      </c>
      <c r="W2746" s="78">
        <f t="shared" si="631"/>
        <v>327.00000000000006</v>
      </c>
      <c r="X2746" s="1878" t="str">
        <f t="shared" si="629"/>
        <v xml:space="preserve">4.- C Goodyear 1951204-OT_000642  Reencauche 002-001470 </v>
      </c>
      <c r="Z2746" s="19" t="str">
        <f t="shared" si="633"/>
        <v>ReencaucheAMC Llantas</v>
      </c>
    </row>
    <row r="2747" spans="2:26" outlineLevel="1">
      <c r="B2747" s="3275"/>
      <c r="C2747" s="2">
        <f t="shared" si="634"/>
        <v>83</v>
      </c>
      <c r="D2747" s="3">
        <f t="shared" si="635"/>
        <v>10</v>
      </c>
      <c r="E2747" s="66">
        <v>5</v>
      </c>
      <c r="F2747" s="67" t="s">
        <v>732</v>
      </c>
      <c r="G2747" s="68" t="s">
        <v>1233</v>
      </c>
      <c r="H2747" s="69" t="s">
        <v>1586</v>
      </c>
      <c r="I2747" s="68" t="s">
        <v>726</v>
      </c>
      <c r="J2747" s="70" t="s">
        <v>1961</v>
      </c>
      <c r="K2747" s="71" t="s">
        <v>2036</v>
      </c>
      <c r="L2747" s="72">
        <v>40644</v>
      </c>
      <c r="M2747" s="73" t="s">
        <v>729</v>
      </c>
      <c r="N2747" s="74">
        <v>40653</v>
      </c>
      <c r="O2747" s="75">
        <f t="shared" si="636"/>
        <v>40653</v>
      </c>
      <c r="P2747" s="2765" t="s">
        <v>2037</v>
      </c>
      <c r="Q2747" s="2954"/>
      <c r="R2747" s="76">
        <f t="shared" si="637"/>
        <v>277.11864406779665</v>
      </c>
      <c r="S2747" s="1945" t="s">
        <v>731</v>
      </c>
      <c r="T2747" s="77"/>
      <c r="U2747" s="1893"/>
      <c r="V2747" s="2079">
        <f t="shared" si="630"/>
        <v>0</v>
      </c>
      <c r="W2747" s="78">
        <f t="shared" si="631"/>
        <v>327.00000000000006</v>
      </c>
      <c r="X2747" s="1878" t="str">
        <f t="shared" si="629"/>
        <v xml:space="preserve">5.- C Saratoga 0050306-OT_000642  Reencauche 002-001470 </v>
      </c>
      <c r="Z2747" s="19" t="str">
        <f t="shared" si="633"/>
        <v>ReencaucheAMC Llantas</v>
      </c>
    </row>
    <row r="2748" spans="2:26" outlineLevel="1">
      <c r="B2748" s="3275"/>
      <c r="C2748" s="2">
        <f t="shared" si="634"/>
        <v>82</v>
      </c>
      <c r="D2748" s="3">
        <f t="shared" si="635"/>
        <v>9</v>
      </c>
      <c r="E2748" s="66">
        <v>6</v>
      </c>
      <c r="F2748" s="67" t="s">
        <v>732</v>
      </c>
      <c r="G2748" s="415" t="s">
        <v>733</v>
      </c>
      <c r="H2748" s="416" t="s">
        <v>1455</v>
      </c>
      <c r="I2748" s="415" t="s">
        <v>726</v>
      </c>
      <c r="J2748" s="417" t="s">
        <v>1961</v>
      </c>
      <c r="K2748" s="418" t="s">
        <v>2036</v>
      </c>
      <c r="L2748" s="419">
        <v>40644</v>
      </c>
      <c r="M2748" s="73" t="s">
        <v>729</v>
      </c>
      <c r="N2748" s="74">
        <v>40653</v>
      </c>
      <c r="O2748" s="75">
        <f t="shared" si="636"/>
        <v>40653</v>
      </c>
      <c r="P2748" s="2765" t="s">
        <v>2037</v>
      </c>
      <c r="Q2748" s="2954"/>
      <c r="R2748" s="76">
        <f t="shared" si="637"/>
        <v>277.11864406779665</v>
      </c>
      <c r="S2748" s="1945" t="s">
        <v>731</v>
      </c>
      <c r="T2748" s="77"/>
      <c r="U2748" s="1893"/>
      <c r="V2748" s="2079">
        <f t="shared" si="630"/>
        <v>0</v>
      </c>
      <c r="W2748" s="78">
        <f t="shared" si="631"/>
        <v>327.00000000000006</v>
      </c>
      <c r="X2748" s="1878" t="str">
        <f t="shared" si="629"/>
        <v xml:space="preserve">6.- C Lima Caucho 0010107-OT_000642  Reencauche 002-001470 </v>
      </c>
      <c r="Z2748" s="19" t="str">
        <f t="shared" si="633"/>
        <v>ReencaucheAMC Llantas</v>
      </c>
    </row>
    <row r="2749" spans="2:26" outlineLevel="1">
      <c r="B2749" s="3275"/>
      <c r="C2749" s="2">
        <f t="shared" si="634"/>
        <v>81</v>
      </c>
      <c r="D2749" s="3">
        <f t="shared" si="635"/>
        <v>8</v>
      </c>
      <c r="E2749" s="66">
        <v>7</v>
      </c>
      <c r="F2749" s="67" t="s">
        <v>732</v>
      </c>
      <c r="G2749" s="68" t="s">
        <v>733</v>
      </c>
      <c r="H2749" s="69" t="s">
        <v>1613</v>
      </c>
      <c r="I2749" s="68" t="s">
        <v>726</v>
      </c>
      <c r="J2749" s="70" t="s">
        <v>1961</v>
      </c>
      <c r="K2749" s="71" t="s">
        <v>2036</v>
      </c>
      <c r="L2749" s="72">
        <v>40644</v>
      </c>
      <c r="M2749" s="73" t="s">
        <v>729</v>
      </c>
      <c r="N2749" s="74">
        <v>40653</v>
      </c>
      <c r="O2749" s="75">
        <f t="shared" si="636"/>
        <v>40653</v>
      </c>
      <c r="P2749" s="2765" t="s">
        <v>2037</v>
      </c>
      <c r="Q2749" s="2954"/>
      <c r="R2749" s="76">
        <f t="shared" si="637"/>
        <v>277.11864406779665</v>
      </c>
      <c r="S2749" s="1945" t="s">
        <v>731</v>
      </c>
      <c r="T2749" s="77"/>
      <c r="U2749" s="1893"/>
      <c r="V2749" s="2079">
        <f t="shared" si="630"/>
        <v>0</v>
      </c>
      <c r="W2749" s="78">
        <f t="shared" si="631"/>
        <v>327.00000000000006</v>
      </c>
      <c r="X2749" s="1878" t="str">
        <f t="shared" si="629"/>
        <v xml:space="preserve">7.- C Lima Caucho 1311207-OT_000642  Reencauche 002-001470 </v>
      </c>
      <c r="Z2749" s="19" t="str">
        <f t="shared" si="633"/>
        <v>ReencaucheAMC Llantas</v>
      </c>
    </row>
    <row r="2750" spans="2:26" outlineLevel="1">
      <c r="B2750" s="3275"/>
      <c r="C2750" s="2">
        <f t="shared" si="634"/>
        <v>80</v>
      </c>
      <c r="D2750" s="3">
        <f t="shared" si="635"/>
        <v>7</v>
      </c>
      <c r="E2750" s="66">
        <v>8</v>
      </c>
      <c r="F2750" s="67" t="s">
        <v>732</v>
      </c>
      <c r="G2750" s="68" t="s">
        <v>733</v>
      </c>
      <c r="H2750" s="69" t="s">
        <v>1708</v>
      </c>
      <c r="I2750" s="68" t="s">
        <v>726</v>
      </c>
      <c r="J2750" s="70" t="s">
        <v>1961</v>
      </c>
      <c r="K2750" s="71" t="s">
        <v>2036</v>
      </c>
      <c r="L2750" s="72">
        <v>40644</v>
      </c>
      <c r="M2750" s="73" t="s">
        <v>729</v>
      </c>
      <c r="N2750" s="74">
        <v>40653</v>
      </c>
      <c r="O2750" s="75">
        <f t="shared" si="636"/>
        <v>40653</v>
      </c>
      <c r="P2750" s="2765" t="s">
        <v>2037</v>
      </c>
      <c r="Q2750" s="2954"/>
      <c r="R2750" s="76">
        <f t="shared" si="637"/>
        <v>277.11864406779665</v>
      </c>
      <c r="S2750" s="1945" t="s">
        <v>731</v>
      </c>
      <c r="T2750" s="77"/>
      <c r="U2750" s="1893"/>
      <c r="V2750" s="2079">
        <f t="shared" si="630"/>
        <v>0</v>
      </c>
      <c r="W2750" s="78">
        <f t="shared" si="631"/>
        <v>327.00000000000006</v>
      </c>
      <c r="X2750" s="1878" t="str">
        <f t="shared" si="629"/>
        <v xml:space="preserve">8.- C Lima Caucho 0050107-OT_000642  Reencauche 002-001470 </v>
      </c>
      <c r="Z2750" s="19" t="str">
        <f t="shared" si="633"/>
        <v>Vulcanizado (curación)AMC Llantas</v>
      </c>
    </row>
    <row r="2751" spans="2:26" outlineLevel="1">
      <c r="B2751" s="3275"/>
      <c r="C2751" s="2">
        <f t="shared" si="634"/>
        <v>79</v>
      </c>
      <c r="D2751" s="3">
        <f t="shared" si="635"/>
        <v>6</v>
      </c>
      <c r="E2751" s="66">
        <v>9</v>
      </c>
      <c r="F2751" s="67" t="s">
        <v>732</v>
      </c>
      <c r="G2751" s="68" t="s">
        <v>733</v>
      </c>
      <c r="H2751" s="69" t="s">
        <v>1417</v>
      </c>
      <c r="I2751" s="68" t="s">
        <v>726</v>
      </c>
      <c r="J2751" s="70" t="s">
        <v>1961</v>
      </c>
      <c r="K2751" s="71" t="s">
        <v>2036</v>
      </c>
      <c r="L2751" s="72">
        <v>40644</v>
      </c>
      <c r="M2751" s="73" t="s">
        <v>729</v>
      </c>
      <c r="N2751" s="74">
        <v>40653</v>
      </c>
      <c r="O2751" s="75">
        <f t="shared" si="636"/>
        <v>40653</v>
      </c>
      <c r="P2751" s="2765" t="s">
        <v>2037</v>
      </c>
      <c r="Q2751" s="2954"/>
      <c r="R2751" s="76">
        <f t="shared" si="637"/>
        <v>277.11864406779665</v>
      </c>
      <c r="S2751" s="1945" t="s">
        <v>731</v>
      </c>
      <c r="T2751" s="77"/>
      <c r="U2751" s="1893"/>
      <c r="V2751" s="2079">
        <f t="shared" si="630"/>
        <v>0</v>
      </c>
      <c r="W2751" s="78">
        <f t="shared" si="631"/>
        <v>327.00000000000006</v>
      </c>
      <c r="X2751" s="1878" t="str">
        <f t="shared" si="629"/>
        <v xml:space="preserve">9.- C Lima Caucho 0450707-OT_000642  Reencauche 002-001470 </v>
      </c>
      <c r="Z2751" s="19" t="str">
        <f t="shared" si="633"/>
        <v>Transpl BandaReencauchadora Espinoza</v>
      </c>
    </row>
    <row r="2752" spans="2:26" outlineLevel="1">
      <c r="B2752" s="3275"/>
      <c r="C2752" s="2">
        <f t="shared" si="634"/>
        <v>78</v>
      </c>
      <c r="D2752" s="3">
        <f t="shared" si="635"/>
        <v>5</v>
      </c>
      <c r="E2752" s="66">
        <v>10</v>
      </c>
      <c r="F2752" s="67" t="s">
        <v>732</v>
      </c>
      <c r="G2752" s="68" t="s">
        <v>757</v>
      </c>
      <c r="H2752" s="69" t="s">
        <v>1507</v>
      </c>
      <c r="I2752" s="68" t="s">
        <v>726</v>
      </c>
      <c r="J2752" s="70" t="s">
        <v>1961</v>
      </c>
      <c r="K2752" s="71" t="s">
        <v>2036</v>
      </c>
      <c r="L2752" s="72">
        <v>40644</v>
      </c>
      <c r="M2752" s="73" t="s">
        <v>729</v>
      </c>
      <c r="N2752" s="74">
        <v>40653</v>
      </c>
      <c r="O2752" s="75">
        <f t="shared" si="636"/>
        <v>40653</v>
      </c>
      <c r="P2752" s="2765" t="s">
        <v>2037</v>
      </c>
      <c r="Q2752" s="2954"/>
      <c r="R2752" s="76">
        <f t="shared" si="637"/>
        <v>277.11864406779665</v>
      </c>
      <c r="S2752" s="1945" t="s">
        <v>731</v>
      </c>
      <c r="T2752" s="77"/>
      <c r="U2752" s="1893"/>
      <c r="V2752" s="2079">
        <f t="shared" si="630"/>
        <v>0</v>
      </c>
      <c r="W2752" s="78">
        <f t="shared" si="631"/>
        <v>327.00000000000006</v>
      </c>
      <c r="X2752" s="1878" t="str">
        <f t="shared" si="629"/>
        <v xml:space="preserve">10.- C Goodyear 0370302-OT_000642  Reencauche 002-001470 </v>
      </c>
      <c r="Z2752" s="19" t="str">
        <f t="shared" si="633"/>
        <v>Transpl BandaReencauchadora Espinoza</v>
      </c>
    </row>
    <row r="2753" spans="2:26" outlineLevel="1">
      <c r="B2753" s="3275"/>
      <c r="C2753" s="2">
        <f>1+C2754</f>
        <v>77</v>
      </c>
      <c r="D2753" s="3">
        <v>4</v>
      </c>
      <c r="E2753" s="79">
        <v>11</v>
      </c>
      <c r="F2753" s="80" t="s">
        <v>732</v>
      </c>
      <c r="G2753" s="150" t="s">
        <v>1233</v>
      </c>
      <c r="H2753" s="151" t="s">
        <v>2041</v>
      </c>
      <c r="I2753" s="150" t="s">
        <v>811</v>
      </c>
      <c r="J2753" s="152" t="s">
        <v>1961</v>
      </c>
      <c r="K2753" s="400" t="s">
        <v>2036</v>
      </c>
      <c r="L2753" s="401">
        <v>40644</v>
      </c>
      <c r="M2753" s="402" t="s">
        <v>729</v>
      </c>
      <c r="N2753" s="87">
        <v>40653</v>
      </c>
      <c r="O2753" s="88">
        <f t="shared" si="636"/>
        <v>40653</v>
      </c>
      <c r="P2753" s="2805" t="s">
        <v>2042</v>
      </c>
      <c r="Q2753" s="2955"/>
      <c r="R2753" s="403">
        <v>0</v>
      </c>
      <c r="S2753" s="1970" t="s">
        <v>731</v>
      </c>
      <c r="T2753" s="409" t="s">
        <v>2043</v>
      </c>
      <c r="U2753" s="1897"/>
      <c r="V2753" s="2079">
        <f t="shared" si="630"/>
        <v>0</v>
      </c>
      <c r="W2753" s="78">
        <f t="shared" si="631"/>
        <v>0</v>
      </c>
      <c r="X2753" s="1878" t="str">
        <f t="shared" si="629"/>
        <v>11.- C Saratoga 0080306-OT_000642  Vulcanizado (curación) G001-001248 Curacion en parte lateral, cortesia de AMC</v>
      </c>
      <c r="Z2753" s="19" t="str">
        <f t="shared" si="633"/>
        <v>Transpl BandaReencauchadora Espinoza</v>
      </c>
    </row>
    <row r="2754" spans="2:26" outlineLevel="1">
      <c r="B2754" s="3275"/>
      <c r="C2754" s="2">
        <f>1+C2755</f>
        <v>76</v>
      </c>
      <c r="D2754" s="3">
        <v>3</v>
      </c>
      <c r="E2754" s="346">
        <v>1</v>
      </c>
      <c r="F2754" s="67" t="s">
        <v>732</v>
      </c>
      <c r="G2754" s="90" t="s">
        <v>733</v>
      </c>
      <c r="H2754" s="91" t="s">
        <v>1133</v>
      </c>
      <c r="I2754" s="257" t="s">
        <v>740</v>
      </c>
      <c r="J2754" s="92" t="s">
        <v>1543</v>
      </c>
      <c r="K2754" s="243" t="s">
        <v>2044</v>
      </c>
      <c r="L2754" s="244">
        <v>40638</v>
      </c>
      <c r="M2754" s="245" t="s">
        <v>729</v>
      </c>
      <c r="N2754" s="74">
        <v>40646</v>
      </c>
      <c r="O2754" s="75">
        <f t="shared" si="636"/>
        <v>40646</v>
      </c>
      <c r="P2754" s="2799" t="s">
        <v>2045</v>
      </c>
      <c r="Q2754" s="2954"/>
      <c r="R2754" s="248">
        <f>150/(1.18)</f>
        <v>127.11864406779662</v>
      </c>
      <c r="S2754" s="1958" t="s">
        <v>731</v>
      </c>
      <c r="T2754" s="1915" t="s">
        <v>2046</v>
      </c>
      <c r="U2754" s="1896"/>
      <c r="V2754" s="2079">
        <f t="shared" si="630"/>
        <v>0</v>
      </c>
      <c r="W2754" s="78">
        <f t="shared" si="631"/>
        <v>150</v>
      </c>
      <c r="X2754" s="1878" t="str">
        <f t="shared" si="629"/>
        <v xml:space="preserve">1.- C Lima Caucho 0110107-OT_000616  Transpl Banda 001-001166  Con banda transplantada  en 20mm  [ Lima Cacho - 1231210] </v>
      </c>
      <c r="Z2754" s="19" t="str">
        <f t="shared" si="633"/>
        <v>Sacar_BandaReencauchadora Espinoza</v>
      </c>
    </row>
    <row r="2755" spans="2:26" outlineLevel="1">
      <c r="B2755" s="3275"/>
      <c r="C2755" s="2">
        <f>1+C2756</f>
        <v>75</v>
      </c>
      <c r="D2755" s="3">
        <v>2</v>
      </c>
      <c r="E2755" s="346">
        <v>2</v>
      </c>
      <c r="F2755" s="67" t="s">
        <v>732</v>
      </c>
      <c r="G2755" s="90" t="s">
        <v>733</v>
      </c>
      <c r="H2755" s="91" t="s">
        <v>2047</v>
      </c>
      <c r="I2755" s="257" t="s">
        <v>740</v>
      </c>
      <c r="J2755" s="92" t="s">
        <v>1543</v>
      </c>
      <c r="K2755" s="243" t="s">
        <v>2044</v>
      </c>
      <c r="L2755" s="244">
        <v>40638</v>
      </c>
      <c r="M2755" s="245" t="s">
        <v>729</v>
      </c>
      <c r="N2755" s="74">
        <v>40646</v>
      </c>
      <c r="O2755" s="75">
        <f t="shared" si="636"/>
        <v>40646</v>
      </c>
      <c r="P2755" s="2799" t="s">
        <v>2045</v>
      </c>
      <c r="Q2755" s="2954"/>
      <c r="R2755" s="248">
        <f>150/(1.18)</f>
        <v>127.11864406779662</v>
      </c>
      <c r="S2755" s="1958" t="s">
        <v>731</v>
      </c>
      <c r="T2755" s="1915" t="s">
        <v>2048</v>
      </c>
      <c r="U2755" s="1896"/>
      <c r="V2755" s="2079">
        <f t="shared" si="630"/>
        <v>0</v>
      </c>
      <c r="W2755" s="78">
        <f t="shared" si="631"/>
        <v>150</v>
      </c>
      <c r="X2755" s="1878" t="str">
        <f t="shared" si="629"/>
        <v xml:space="preserve">2.- C Lima Caucho 0460608-OT_000616  Transpl Banda 001-001166  Con banda transplantada  en 20mm  [ Lima Cacho - 1241210] </v>
      </c>
      <c r="Z2755" s="19" t="str">
        <f t="shared" si="633"/>
        <v>Sacar_BandaReencauchadora Espinoza</v>
      </c>
    </row>
    <row r="2756" spans="2:26" outlineLevel="1">
      <c r="B2756" s="3275"/>
      <c r="C2756" s="2">
        <f>1+C2761</f>
        <v>74</v>
      </c>
      <c r="D2756" s="3">
        <v>1</v>
      </c>
      <c r="E2756" s="346">
        <v>3</v>
      </c>
      <c r="F2756" s="67" t="s">
        <v>732</v>
      </c>
      <c r="G2756" s="90" t="s">
        <v>757</v>
      </c>
      <c r="H2756" s="91" t="s">
        <v>2049</v>
      </c>
      <c r="I2756" s="257" t="s">
        <v>740</v>
      </c>
      <c r="J2756" s="92" t="s">
        <v>1543</v>
      </c>
      <c r="K2756" s="243" t="s">
        <v>2044</v>
      </c>
      <c r="L2756" s="244">
        <v>40638</v>
      </c>
      <c r="M2756" s="245" t="s">
        <v>729</v>
      </c>
      <c r="N2756" s="74">
        <v>40646</v>
      </c>
      <c r="O2756" s="75">
        <f t="shared" si="636"/>
        <v>40646</v>
      </c>
      <c r="P2756" s="2799" t="s">
        <v>2045</v>
      </c>
      <c r="Q2756" s="2954"/>
      <c r="R2756" s="248">
        <f>150/(1.18)</f>
        <v>127.11864406779662</v>
      </c>
      <c r="S2756" s="1958" t="s">
        <v>731</v>
      </c>
      <c r="T2756" s="1915" t="s">
        <v>2050</v>
      </c>
      <c r="U2756" s="1896"/>
      <c r="V2756" s="2079">
        <f t="shared" si="630"/>
        <v>0</v>
      </c>
      <c r="W2756" s="78">
        <f t="shared" si="631"/>
        <v>150</v>
      </c>
      <c r="X2756" s="1878" t="str">
        <f t="shared" si="629"/>
        <v xml:space="preserve">3.- C Goodyear 10204587-OT_000616  Transpl Banda 001-001166  Con banda transplantada  en 14mm  [ Lu He - 0270209] </v>
      </c>
      <c r="Z2756" s="19" t="str">
        <f t="shared" si="633"/>
        <v>Sacar_BandaReencauchadora Espinoza</v>
      </c>
    </row>
    <row r="2757" spans="2:26">
      <c r="B2757" s="3275"/>
      <c r="E2757" s="346">
        <v>4</v>
      </c>
      <c r="F2757" s="67" t="s">
        <v>732</v>
      </c>
      <c r="G2757" s="90" t="s">
        <v>733</v>
      </c>
      <c r="H2757" s="91" t="s">
        <v>2051</v>
      </c>
      <c r="I2757" s="257" t="s">
        <v>744</v>
      </c>
      <c r="J2757" s="92" t="s">
        <v>1543</v>
      </c>
      <c r="K2757" s="243" t="s">
        <v>2044</v>
      </c>
      <c r="L2757" s="244">
        <v>40638</v>
      </c>
      <c r="M2757" s="245" t="s">
        <v>729</v>
      </c>
      <c r="N2757" s="74">
        <v>40646</v>
      </c>
      <c r="O2757" s="75">
        <f t="shared" si="636"/>
        <v>40646</v>
      </c>
      <c r="P2757" s="2799" t="s">
        <v>2045</v>
      </c>
      <c r="Q2757" s="2954"/>
      <c r="R2757" s="248">
        <v>0</v>
      </c>
      <c r="S2757" s="1958" t="s">
        <v>731</v>
      </c>
      <c r="T2757" s="347" t="s">
        <v>2052</v>
      </c>
      <c r="U2757" s="1924"/>
      <c r="V2757" s="2079">
        <f t="shared" si="630"/>
        <v>0</v>
      </c>
      <c r="W2757" s="78">
        <f t="shared" si="631"/>
        <v>0</v>
      </c>
      <c r="X2757" s="1878" t="str">
        <f t="shared" si="629"/>
        <v>4.- C Lima Caucho 1231210-OT_000616  Sacar_Banda 001-001166 Casco Volado x golpe en casco, banda 20mm, desechada</v>
      </c>
    </row>
    <row r="2758" spans="2:26" outlineLevel="1">
      <c r="B2758" s="3275"/>
      <c r="E2758" s="346">
        <v>5</v>
      </c>
      <c r="F2758" s="67" t="s">
        <v>732</v>
      </c>
      <c r="G2758" s="90" t="s">
        <v>733</v>
      </c>
      <c r="H2758" s="91" t="s">
        <v>2053</v>
      </c>
      <c r="I2758" s="257" t="s">
        <v>744</v>
      </c>
      <c r="J2758" s="92" t="s">
        <v>1543</v>
      </c>
      <c r="K2758" s="243" t="s">
        <v>2044</v>
      </c>
      <c r="L2758" s="244">
        <v>40638</v>
      </c>
      <c r="M2758" s="245" t="s">
        <v>729</v>
      </c>
      <c r="N2758" s="74">
        <v>40646</v>
      </c>
      <c r="O2758" s="75">
        <f t="shared" si="636"/>
        <v>40646</v>
      </c>
      <c r="P2758" s="2799" t="s">
        <v>2045</v>
      </c>
      <c r="Q2758" s="2954"/>
      <c r="R2758" s="248">
        <v>0</v>
      </c>
      <c r="S2758" s="1958" t="s">
        <v>731</v>
      </c>
      <c r="T2758" s="347" t="s">
        <v>2052</v>
      </c>
      <c r="U2758" s="1924"/>
      <c r="V2758" s="2079">
        <f t="shared" si="630"/>
        <v>0</v>
      </c>
      <c r="W2758" s="78">
        <f t="shared" si="631"/>
        <v>0</v>
      </c>
      <c r="X2758" s="1878" t="str">
        <f t="shared" si="629"/>
        <v>5.- C Lima Caucho 1241210-OT_000616  Sacar_Banda 001-001166 Casco Volado x golpe en casco, banda 20mm, desechada</v>
      </c>
      <c r="Z2758" s="19" t="str">
        <f t="shared" ref="Z2758:Z2767" si="638">CONCATENATE(I2761,J2761)</f>
        <v>Transpl BandaReencauchadora Espinoza</v>
      </c>
    </row>
    <row r="2759" spans="2:26" ht="15.75" outlineLevel="1" thickBot="1">
      <c r="B2759" s="3276"/>
      <c r="C2759" s="420"/>
      <c r="D2759" s="421"/>
      <c r="E2759" s="410">
        <v>6</v>
      </c>
      <c r="F2759" s="328" t="s">
        <v>732</v>
      </c>
      <c r="G2759" s="360" t="s">
        <v>2054</v>
      </c>
      <c r="H2759" s="361" t="s">
        <v>2055</v>
      </c>
      <c r="I2759" s="331" t="s">
        <v>744</v>
      </c>
      <c r="J2759" s="332" t="s">
        <v>1543</v>
      </c>
      <c r="K2759" s="362" t="s">
        <v>2044</v>
      </c>
      <c r="L2759" s="363">
        <v>40638</v>
      </c>
      <c r="M2759" s="364" t="s">
        <v>729</v>
      </c>
      <c r="N2759" s="336">
        <v>40646</v>
      </c>
      <c r="O2759" s="337">
        <f t="shared" si="636"/>
        <v>40646</v>
      </c>
      <c r="P2759" s="2802" t="s">
        <v>2045</v>
      </c>
      <c r="Q2759" s="2979"/>
      <c r="R2759" s="365">
        <v>0</v>
      </c>
      <c r="S2759" s="1967" t="s">
        <v>731</v>
      </c>
      <c r="T2759" s="347" t="s">
        <v>2035</v>
      </c>
      <c r="U2759" s="1924"/>
      <c r="V2759" s="2079">
        <f t="shared" si="630"/>
        <v>0</v>
      </c>
      <c r="W2759" s="78">
        <f t="shared" si="631"/>
        <v>0</v>
      </c>
      <c r="X2759" s="1878" t="str">
        <f t="shared" si="629"/>
        <v>6.- C Lu  He 0270209-OT_000616  Sacar_Banda 001-001166 Casco soplado falla en casco, banda 14mm, desechada</v>
      </c>
      <c r="Z2759" s="19" t="str">
        <f t="shared" si="638"/>
        <v>Transpl BandaReencauchadora Espinoza</v>
      </c>
    </row>
    <row r="2760" spans="2:26" ht="15.75" outlineLevel="1" thickBot="1">
      <c r="B2760" s="3267">
        <f>+B2761</f>
        <v>40603</v>
      </c>
      <c r="C2760" s="3267"/>
      <c r="D2760" s="387">
        <f>+D2761</f>
        <v>8</v>
      </c>
      <c r="E2760" s="66"/>
      <c r="F2760" s="67"/>
      <c r="G2760" s="68"/>
      <c r="H2760" s="69"/>
      <c r="I2760" s="68"/>
      <c r="J2760" s="70"/>
      <c r="K2760" s="71"/>
      <c r="L2760" s="72"/>
      <c r="M2760" s="73"/>
      <c r="N2760" s="74"/>
      <c r="O2760" s="75"/>
      <c r="P2760" s="2765"/>
      <c r="Q2760" s="2954"/>
      <c r="R2760" s="76"/>
      <c r="S2760" s="1945"/>
      <c r="T2760" s="77"/>
      <c r="U2760" s="1893"/>
      <c r="V2760" s="2079">
        <f t="shared" si="630"/>
        <v>0</v>
      </c>
      <c r="W2760" s="78">
        <f t="shared" si="631"/>
        <v>0</v>
      </c>
      <c r="X2760" s="1878" t="str">
        <f t="shared" si="629"/>
        <v xml:space="preserve">.-   -OT_    </v>
      </c>
      <c r="Z2760" s="19" t="str">
        <f t="shared" si="638"/>
        <v>Sacar_BandaReencauchadora Espinoza</v>
      </c>
    </row>
    <row r="2761" spans="2:26" outlineLevel="1">
      <c r="B2761" s="3271">
        <v>40603</v>
      </c>
      <c r="C2761" s="2">
        <f>1+C2762</f>
        <v>73</v>
      </c>
      <c r="D2761" s="306">
        <f>1+D2762</f>
        <v>8</v>
      </c>
      <c r="E2761" s="346">
        <v>1</v>
      </c>
      <c r="F2761" s="67" t="s">
        <v>732</v>
      </c>
      <c r="G2761" s="90" t="s">
        <v>733</v>
      </c>
      <c r="H2761" s="91" t="s">
        <v>2056</v>
      </c>
      <c r="I2761" s="257" t="s">
        <v>740</v>
      </c>
      <c r="J2761" s="92" t="s">
        <v>1543</v>
      </c>
      <c r="K2761" s="243" t="s">
        <v>2057</v>
      </c>
      <c r="L2761" s="244">
        <v>40617</v>
      </c>
      <c r="M2761" s="245" t="s">
        <v>729</v>
      </c>
      <c r="N2761" s="74">
        <v>40626</v>
      </c>
      <c r="O2761" s="75">
        <f t="shared" ref="O2761:O2770" si="639">+N2761</f>
        <v>40626</v>
      </c>
      <c r="P2761" s="2799">
        <v>1119</v>
      </c>
      <c r="Q2761" s="2954"/>
      <c r="R2761" s="248">
        <f>150/(1.18)</f>
        <v>127.11864406779662</v>
      </c>
      <c r="S2761" s="1958" t="s">
        <v>731</v>
      </c>
      <c r="T2761" s="1915" t="s">
        <v>2058</v>
      </c>
      <c r="U2761" s="1896"/>
      <c r="V2761" s="2079">
        <f t="shared" si="630"/>
        <v>0</v>
      </c>
      <c r="W2761" s="78">
        <f t="shared" si="631"/>
        <v>150</v>
      </c>
      <c r="X2761" s="1878" t="str">
        <f t="shared" si="629"/>
        <v xml:space="preserve">1.- C Lima Caucho 1351207-OT_000601  Transpl Banda 1119  Con banda transplantada  en 14mm  [ Lima Caucho - 0580808] </v>
      </c>
      <c r="Z2761" s="19" t="str">
        <f t="shared" si="638"/>
        <v>Sacar_BandaReencauchadora Espinoza</v>
      </c>
    </row>
    <row r="2762" spans="2:26" outlineLevel="1">
      <c r="B2762" s="3272"/>
      <c r="C2762" s="2">
        <f>1+C2765</f>
        <v>72</v>
      </c>
      <c r="D2762" s="3">
        <f>1+D2765</f>
        <v>7</v>
      </c>
      <c r="E2762" s="346">
        <v>2</v>
      </c>
      <c r="F2762" s="67" t="s">
        <v>732</v>
      </c>
      <c r="G2762" s="90" t="s">
        <v>737</v>
      </c>
      <c r="H2762" s="91" t="s">
        <v>1539</v>
      </c>
      <c r="I2762" s="257" t="s">
        <v>740</v>
      </c>
      <c r="J2762" s="92" t="s">
        <v>1543</v>
      </c>
      <c r="K2762" s="243" t="s">
        <v>2057</v>
      </c>
      <c r="L2762" s="244">
        <v>40617</v>
      </c>
      <c r="M2762" s="245" t="s">
        <v>729</v>
      </c>
      <c r="N2762" s="74">
        <v>40626</v>
      </c>
      <c r="O2762" s="75">
        <f t="shared" si="639"/>
        <v>40626</v>
      </c>
      <c r="P2762" s="2799">
        <v>1119</v>
      </c>
      <c r="Q2762" s="2954"/>
      <c r="R2762" s="248">
        <f>150/(1.18)</f>
        <v>127.11864406779662</v>
      </c>
      <c r="S2762" s="1958" t="s">
        <v>731</v>
      </c>
      <c r="T2762" s="1915" t="s">
        <v>2059</v>
      </c>
      <c r="U2762" s="1896"/>
      <c r="V2762" s="2079">
        <f t="shared" si="630"/>
        <v>0</v>
      </c>
      <c r="W2762" s="78">
        <f t="shared" si="631"/>
        <v>150</v>
      </c>
      <c r="X2762" s="1878" t="str">
        <f t="shared" si="629"/>
        <v xml:space="preserve">2.- C Vikrant 1230805-OT_000601  Transpl Banda 1119  Con banda transplantada  en 12mm  [ Vikrant - 0560709] </v>
      </c>
      <c r="Z2762" s="19" t="str">
        <f t="shared" si="638"/>
        <v>Transpl BandaReencauchadora Espinoza</v>
      </c>
    </row>
    <row r="2763" spans="2:26" outlineLevel="1">
      <c r="B2763" s="3272"/>
      <c r="E2763" s="346">
        <v>3</v>
      </c>
      <c r="F2763" s="67" t="s">
        <v>732</v>
      </c>
      <c r="G2763" s="90" t="s">
        <v>737</v>
      </c>
      <c r="H2763" s="91" t="s">
        <v>2060</v>
      </c>
      <c r="I2763" s="257" t="s">
        <v>744</v>
      </c>
      <c r="J2763" s="92" t="s">
        <v>1543</v>
      </c>
      <c r="K2763" s="243" t="s">
        <v>2057</v>
      </c>
      <c r="L2763" s="244">
        <v>40617</v>
      </c>
      <c r="M2763" s="245" t="s">
        <v>729</v>
      </c>
      <c r="N2763" s="74">
        <v>40626</v>
      </c>
      <c r="O2763" s="75">
        <f t="shared" si="639"/>
        <v>40626</v>
      </c>
      <c r="P2763" s="2799">
        <v>1119</v>
      </c>
      <c r="Q2763" s="2954"/>
      <c r="R2763" s="248">
        <v>0</v>
      </c>
      <c r="S2763" s="1958" t="s">
        <v>731</v>
      </c>
      <c r="T2763" s="347" t="s">
        <v>2061</v>
      </c>
      <c r="U2763" s="1924"/>
      <c r="V2763" s="2079">
        <f t="shared" si="630"/>
        <v>0</v>
      </c>
      <c r="W2763" s="78">
        <f t="shared" si="631"/>
        <v>0</v>
      </c>
      <c r="X2763" s="1878" t="str">
        <f t="shared" si="629"/>
        <v>3.- C Vikrant 0560709-OT_000601  Sacar_Banda 1119 Casco soplado falla en casco, banda 10mm, desechada</v>
      </c>
      <c r="Z2763" s="19" t="str">
        <f t="shared" si="638"/>
        <v>Vulcanizado (curación)Lima Caucho - Servicio 10</v>
      </c>
    </row>
    <row r="2764" spans="2:26" outlineLevel="1">
      <c r="B2764" s="3272"/>
      <c r="E2764" s="346">
        <v>4</v>
      </c>
      <c r="F2764" s="67" t="s">
        <v>732</v>
      </c>
      <c r="G2764" s="90" t="s">
        <v>737</v>
      </c>
      <c r="H2764" s="91" t="s">
        <v>2062</v>
      </c>
      <c r="I2764" s="257" t="s">
        <v>744</v>
      </c>
      <c r="J2764" s="92" t="s">
        <v>1543</v>
      </c>
      <c r="K2764" s="243" t="s">
        <v>2057</v>
      </c>
      <c r="L2764" s="244">
        <v>40617</v>
      </c>
      <c r="M2764" s="245" t="s">
        <v>729</v>
      </c>
      <c r="N2764" s="74">
        <v>40626</v>
      </c>
      <c r="O2764" s="75">
        <f t="shared" si="639"/>
        <v>40626</v>
      </c>
      <c r="P2764" s="2803"/>
      <c r="Q2764" s="2954"/>
      <c r="R2764" s="392">
        <v>0</v>
      </c>
      <c r="S2764" s="1969" t="s">
        <v>731</v>
      </c>
      <c r="T2764" s="347" t="s">
        <v>2035</v>
      </c>
      <c r="U2764" s="1924"/>
      <c r="V2764" s="2079">
        <f t="shared" si="630"/>
        <v>0</v>
      </c>
      <c r="W2764" s="78">
        <f t="shared" si="631"/>
        <v>0</v>
      </c>
      <c r="X2764" s="1878" t="str">
        <f t="shared" si="629"/>
        <v>4.- C Vikrant 1531105-OT_000601  Sacar_Banda  Casco soplado falla en casco, banda 14mm, desechada</v>
      </c>
      <c r="Z2764" s="19" t="str">
        <f t="shared" si="638"/>
        <v>ReencaucheReencauchadora Espinoza</v>
      </c>
    </row>
    <row r="2765" spans="2:26" outlineLevel="1">
      <c r="B2765" s="3272"/>
      <c r="C2765" s="2">
        <f>1+C2766</f>
        <v>71</v>
      </c>
      <c r="D2765" s="3">
        <v>6</v>
      </c>
      <c r="E2765" s="349">
        <v>5</v>
      </c>
      <c r="F2765" s="80" t="s">
        <v>732</v>
      </c>
      <c r="G2765" s="114" t="s">
        <v>733</v>
      </c>
      <c r="H2765" s="115" t="s">
        <v>2063</v>
      </c>
      <c r="I2765" s="262" t="s">
        <v>740</v>
      </c>
      <c r="J2765" s="93" t="s">
        <v>1543</v>
      </c>
      <c r="K2765" s="350" t="s">
        <v>2057</v>
      </c>
      <c r="L2765" s="351">
        <v>40617</v>
      </c>
      <c r="M2765" s="352" t="s">
        <v>729</v>
      </c>
      <c r="N2765" s="87">
        <v>40638</v>
      </c>
      <c r="O2765" s="88">
        <f t="shared" si="639"/>
        <v>40638</v>
      </c>
      <c r="P2765" s="2806">
        <v>1119</v>
      </c>
      <c r="Q2765" s="2955"/>
      <c r="R2765" s="353">
        <f>150/(1.18)</f>
        <v>127.11864406779662</v>
      </c>
      <c r="S2765" s="1966" t="s">
        <v>731</v>
      </c>
      <c r="T2765" s="347"/>
      <c r="U2765" s="1924"/>
      <c r="V2765" s="2079">
        <f t="shared" si="630"/>
        <v>0</v>
      </c>
      <c r="W2765" s="78">
        <f t="shared" si="631"/>
        <v>150</v>
      </c>
      <c r="X2765" s="1878" t="str">
        <f t="shared" si="629"/>
        <v xml:space="preserve">5.- C Lima Caucho 0580808-OT_000601  Transpl Banda 1119 </v>
      </c>
      <c r="Z2765" s="19" t="str">
        <f t="shared" si="638"/>
        <v>ReencaucheReencauchadora Espinoza</v>
      </c>
    </row>
    <row r="2766" spans="2:26" outlineLevel="1">
      <c r="B2766" s="3272"/>
      <c r="C2766" s="2">
        <f>1+C2767</f>
        <v>70</v>
      </c>
      <c r="D2766" s="3">
        <f>1+D2767</f>
        <v>5</v>
      </c>
      <c r="E2766" s="422">
        <v>1</v>
      </c>
      <c r="F2766" s="125" t="s">
        <v>732</v>
      </c>
      <c r="G2766" s="202" t="s">
        <v>733</v>
      </c>
      <c r="H2766" s="423" t="s">
        <v>2064</v>
      </c>
      <c r="I2766" s="202" t="s">
        <v>811</v>
      </c>
      <c r="J2766" s="203" t="s">
        <v>1990</v>
      </c>
      <c r="K2766" s="424" t="s">
        <v>2065</v>
      </c>
      <c r="L2766" s="425">
        <v>40606</v>
      </c>
      <c r="M2766" s="426" t="s">
        <v>729</v>
      </c>
      <c r="N2766" s="131">
        <v>40612</v>
      </c>
      <c r="O2766" s="132">
        <f t="shared" si="639"/>
        <v>40612</v>
      </c>
      <c r="P2766" s="2807" t="s">
        <v>2066</v>
      </c>
      <c r="Q2766" s="2962"/>
      <c r="R2766" s="427">
        <f>82.46/(1.18)</f>
        <v>69.881355932203391</v>
      </c>
      <c r="S2766" s="1971" t="s">
        <v>731</v>
      </c>
      <c r="T2766" s="409" t="s">
        <v>2067</v>
      </c>
      <c r="U2766" s="1897"/>
      <c r="V2766" s="2079">
        <f t="shared" si="630"/>
        <v>0</v>
      </c>
      <c r="W2766" s="78">
        <f t="shared" si="631"/>
        <v>82.46</v>
      </c>
      <c r="X2766" s="1878" t="str">
        <f t="shared" si="629"/>
        <v>1.- C Lima Caucho 1221210-OT_M-01942  Vulcanizado (curación) 460-0001234 Corte Lateral 10cm x objt punzocortante atravieza carcasa</v>
      </c>
      <c r="Z2766" s="19" t="str">
        <f t="shared" si="638"/>
        <v>ReencaucheReencauchadora Espinoza</v>
      </c>
    </row>
    <row r="2767" spans="2:26" outlineLevel="1">
      <c r="B2767" s="3272"/>
      <c r="C2767" s="2">
        <f>1+C2768</f>
        <v>69</v>
      </c>
      <c r="D2767" s="3">
        <f>1+D2768</f>
        <v>4</v>
      </c>
      <c r="E2767" s="66">
        <v>1</v>
      </c>
      <c r="F2767" s="67" t="s">
        <v>732</v>
      </c>
      <c r="G2767" s="68" t="s">
        <v>757</v>
      </c>
      <c r="H2767" s="69" t="s">
        <v>1502</v>
      </c>
      <c r="I2767" s="68" t="s">
        <v>726</v>
      </c>
      <c r="J2767" s="70" t="s">
        <v>1543</v>
      </c>
      <c r="K2767" s="71" t="s">
        <v>2068</v>
      </c>
      <c r="L2767" s="72">
        <v>40605</v>
      </c>
      <c r="M2767" s="73" t="s">
        <v>729</v>
      </c>
      <c r="N2767" s="74">
        <v>40617</v>
      </c>
      <c r="O2767" s="75">
        <f t="shared" si="639"/>
        <v>40617</v>
      </c>
      <c r="P2767" s="2765" t="s">
        <v>2069</v>
      </c>
      <c r="Q2767" s="2954"/>
      <c r="R2767" s="76">
        <f>300/(1.18)</f>
        <v>254.23728813559325</v>
      </c>
      <c r="S2767" s="1945" t="s">
        <v>731</v>
      </c>
      <c r="T2767" s="77"/>
      <c r="U2767" s="1893"/>
      <c r="V2767" s="2079">
        <f t="shared" si="630"/>
        <v>0</v>
      </c>
      <c r="W2767" s="78">
        <f t="shared" si="631"/>
        <v>300</v>
      </c>
      <c r="X2767" s="1878" t="str">
        <f t="shared" si="629"/>
        <v xml:space="preserve">1.- C Goodyear 032082003-OT_000208  Reencauche 001-001094 </v>
      </c>
      <c r="Z2767" s="19" t="str">
        <f t="shared" si="638"/>
        <v>ReencaucheReencauchadora Espinoza</v>
      </c>
    </row>
    <row r="2768" spans="2:26">
      <c r="B2768" s="3272"/>
      <c r="C2768" s="2">
        <f>1+C2769</f>
        <v>68</v>
      </c>
      <c r="D2768" s="3">
        <f>1+D2769</f>
        <v>3</v>
      </c>
      <c r="E2768" s="66">
        <v>2</v>
      </c>
      <c r="F2768" s="67" t="s">
        <v>732</v>
      </c>
      <c r="G2768" s="68" t="s">
        <v>757</v>
      </c>
      <c r="H2768" s="69" t="s">
        <v>1615</v>
      </c>
      <c r="I2768" s="68" t="s">
        <v>726</v>
      </c>
      <c r="J2768" s="70" t="s">
        <v>1543</v>
      </c>
      <c r="K2768" s="71" t="s">
        <v>2068</v>
      </c>
      <c r="L2768" s="72">
        <v>40605</v>
      </c>
      <c r="M2768" s="73" t="s">
        <v>729</v>
      </c>
      <c r="N2768" s="74">
        <v>40617</v>
      </c>
      <c r="O2768" s="75">
        <f t="shared" si="639"/>
        <v>40617</v>
      </c>
      <c r="P2768" s="2765" t="s">
        <v>2069</v>
      </c>
      <c r="Q2768" s="2954"/>
      <c r="R2768" s="76">
        <f>300/(1.18)</f>
        <v>254.23728813559325</v>
      </c>
      <c r="S2768" s="1945" t="s">
        <v>731</v>
      </c>
      <c r="T2768" s="77"/>
      <c r="U2768" s="1893"/>
      <c r="V2768" s="2079">
        <f t="shared" si="630"/>
        <v>0</v>
      </c>
      <c r="W2768" s="78">
        <f t="shared" si="631"/>
        <v>300</v>
      </c>
      <c r="X2768" s="1878" t="str">
        <f t="shared" si="629"/>
        <v xml:space="preserve">2.- C Goodyear 0531001-OT_000208  Reencauche 001-001094 </v>
      </c>
    </row>
    <row r="2769" spans="2:26" outlineLevel="1">
      <c r="B2769" s="3272"/>
      <c r="C2769" s="2">
        <f>1+C2770</f>
        <v>67</v>
      </c>
      <c r="D2769" s="3">
        <f>1+D2770</f>
        <v>2</v>
      </c>
      <c r="E2769" s="66">
        <v>3</v>
      </c>
      <c r="F2769" s="67" t="s">
        <v>732</v>
      </c>
      <c r="G2769" s="68" t="s">
        <v>733</v>
      </c>
      <c r="H2769" s="69" t="s">
        <v>1523</v>
      </c>
      <c r="I2769" s="68" t="s">
        <v>726</v>
      </c>
      <c r="J2769" s="70" t="s">
        <v>1543</v>
      </c>
      <c r="K2769" s="71" t="s">
        <v>2068</v>
      </c>
      <c r="L2769" s="72">
        <v>40605</v>
      </c>
      <c r="M2769" s="73" t="s">
        <v>729</v>
      </c>
      <c r="N2769" s="74">
        <v>40617</v>
      </c>
      <c r="O2769" s="75">
        <f t="shared" si="639"/>
        <v>40617</v>
      </c>
      <c r="P2769" s="2765" t="s">
        <v>2069</v>
      </c>
      <c r="Q2769" s="2954"/>
      <c r="R2769" s="76">
        <f>300/(1.18)</f>
        <v>254.23728813559325</v>
      </c>
      <c r="S2769" s="1945" t="s">
        <v>731</v>
      </c>
      <c r="T2769" s="77"/>
      <c r="U2769" s="1893"/>
      <c r="V2769" s="2079">
        <f t="shared" si="630"/>
        <v>0</v>
      </c>
      <c r="W2769" s="78">
        <f t="shared" si="631"/>
        <v>300</v>
      </c>
      <c r="X2769" s="1878" t="str">
        <f t="shared" si="629"/>
        <v xml:space="preserve">3.- C Lima Caucho 0550807-OT_000208  Reencauche 001-001094 </v>
      </c>
      <c r="Z2769" s="19" t="str">
        <f t="shared" ref="Z2769:Z2811" si="640">CONCATENATE(I2772,J2772)</f>
        <v>ReencaucheReencauchadora Espinoza</v>
      </c>
    </row>
    <row r="2770" spans="2:26" ht="15.75" outlineLevel="1" thickBot="1">
      <c r="B2770" s="3273"/>
      <c r="C2770" s="420">
        <f>1+C2772</f>
        <v>66</v>
      </c>
      <c r="D2770" s="428">
        <v>1</v>
      </c>
      <c r="E2770" s="307">
        <v>4</v>
      </c>
      <c r="F2770" s="328" t="s">
        <v>732</v>
      </c>
      <c r="G2770" s="329" t="s">
        <v>737</v>
      </c>
      <c r="H2770" s="330" t="s">
        <v>1031</v>
      </c>
      <c r="I2770" s="329" t="s">
        <v>726</v>
      </c>
      <c r="J2770" s="356" t="s">
        <v>1543</v>
      </c>
      <c r="K2770" s="333" t="s">
        <v>2068</v>
      </c>
      <c r="L2770" s="334">
        <v>40605</v>
      </c>
      <c r="M2770" s="335" t="s">
        <v>729</v>
      </c>
      <c r="N2770" s="336">
        <v>40617</v>
      </c>
      <c r="O2770" s="337">
        <f t="shared" si="639"/>
        <v>40617</v>
      </c>
      <c r="P2770" s="2798" t="s">
        <v>2069</v>
      </c>
      <c r="Q2770" s="2979"/>
      <c r="R2770" s="338">
        <f>300/(1.18)</f>
        <v>254.23728813559325</v>
      </c>
      <c r="S2770" s="1965" t="s">
        <v>731</v>
      </c>
      <c r="T2770" s="77"/>
      <c r="U2770" s="1893"/>
      <c r="V2770" s="2079">
        <f t="shared" si="630"/>
        <v>0</v>
      </c>
      <c r="W2770" s="78">
        <f t="shared" si="631"/>
        <v>300</v>
      </c>
      <c r="X2770" s="1878" t="str">
        <f t="shared" si="629"/>
        <v xml:space="preserve">4.- C Vikrant 0840505-OT_000208  Reencauche 001-001094 </v>
      </c>
      <c r="Z2770" s="19" t="str">
        <f t="shared" si="640"/>
        <v>ReencaucheReencauchadora Espinoza</v>
      </c>
    </row>
    <row r="2771" spans="2:26" ht="15.75" outlineLevel="1" thickBot="1">
      <c r="B2771" s="3267">
        <f>+B2772</f>
        <v>40575</v>
      </c>
      <c r="C2771" s="3267"/>
      <c r="D2771" s="387">
        <f>+D2772</f>
        <v>36</v>
      </c>
      <c r="E2771" s="66"/>
      <c r="F2771" s="67"/>
      <c r="G2771" s="68"/>
      <c r="H2771" s="69"/>
      <c r="I2771" s="68"/>
      <c r="J2771" s="70"/>
      <c r="K2771" s="71"/>
      <c r="L2771" s="72"/>
      <c r="M2771" s="73"/>
      <c r="N2771" s="74"/>
      <c r="O2771" s="75"/>
      <c r="P2771" s="2765"/>
      <c r="Q2771" s="2954"/>
      <c r="R2771" s="76"/>
      <c r="S2771" s="1945"/>
      <c r="T2771" s="77"/>
      <c r="U2771" s="1893"/>
      <c r="V2771" s="2079">
        <f t="shared" si="630"/>
        <v>0</v>
      </c>
      <c r="W2771" s="78">
        <f t="shared" si="631"/>
        <v>0</v>
      </c>
      <c r="X2771" s="1878" t="str">
        <f t="shared" si="629"/>
        <v xml:space="preserve">.-   -OT_    </v>
      </c>
      <c r="Z2771" s="19" t="str">
        <f t="shared" si="640"/>
        <v>ReencaucheReencauchadora Espinoza</v>
      </c>
    </row>
    <row r="2772" spans="2:26" outlineLevel="1">
      <c r="B2772" s="3268">
        <v>40575</v>
      </c>
      <c r="C2772" s="2">
        <f>1+C2773</f>
        <v>65</v>
      </c>
      <c r="D2772" s="306">
        <f>1+D2773</f>
        <v>36</v>
      </c>
      <c r="E2772" s="66">
        <v>1</v>
      </c>
      <c r="F2772" s="67" t="s">
        <v>732</v>
      </c>
      <c r="G2772" s="68" t="s">
        <v>757</v>
      </c>
      <c r="H2772" s="69" t="s">
        <v>2070</v>
      </c>
      <c r="I2772" s="68" t="s">
        <v>726</v>
      </c>
      <c r="J2772" s="429" t="s">
        <v>1543</v>
      </c>
      <c r="K2772" s="71" t="s">
        <v>2071</v>
      </c>
      <c r="L2772" s="72">
        <v>40595</v>
      </c>
      <c r="M2772" s="73" t="s">
        <v>729</v>
      </c>
      <c r="N2772" s="74">
        <v>40606</v>
      </c>
      <c r="O2772" s="75">
        <f t="shared" ref="O2772:O2814" si="641">+N2772</f>
        <v>40606</v>
      </c>
      <c r="P2772" s="2765" t="s">
        <v>2072</v>
      </c>
      <c r="Q2772" s="2954"/>
      <c r="R2772" s="76">
        <f>300/(1.18)</f>
        <v>254.23728813559325</v>
      </c>
      <c r="S2772" s="1945" t="s">
        <v>731</v>
      </c>
      <c r="T2772" s="77"/>
      <c r="U2772" s="1893"/>
      <c r="V2772" s="2079">
        <f t="shared" si="630"/>
        <v>0</v>
      </c>
      <c r="W2772" s="78">
        <f t="shared" si="631"/>
        <v>300</v>
      </c>
      <c r="X2772" s="1878" t="str">
        <f t="shared" si="629"/>
        <v xml:space="preserve">1.- C Goodyear 0900520-OT_000198  Reencauche 001-001052 </v>
      </c>
      <c r="Z2772" s="19" t="str">
        <f t="shared" si="640"/>
        <v>Vulcanizado (curación)Reencauchadora Espinoza</v>
      </c>
    </row>
    <row r="2773" spans="2:26" outlineLevel="1">
      <c r="B2773" s="3269"/>
      <c r="C2773" s="2">
        <f>1+C2774</f>
        <v>64</v>
      </c>
      <c r="D2773" s="3">
        <f>1+D2774</f>
        <v>35</v>
      </c>
      <c r="E2773" s="66">
        <v>2</v>
      </c>
      <c r="F2773" s="67" t="s">
        <v>732</v>
      </c>
      <c r="G2773" s="68" t="s">
        <v>737</v>
      </c>
      <c r="H2773" s="69" t="s">
        <v>2073</v>
      </c>
      <c r="I2773" s="68" t="s">
        <v>726</v>
      </c>
      <c r="J2773" s="429" t="s">
        <v>1543</v>
      </c>
      <c r="K2773" s="71" t="s">
        <v>2071</v>
      </c>
      <c r="L2773" s="72">
        <v>40595</v>
      </c>
      <c r="M2773" s="73" t="s">
        <v>729</v>
      </c>
      <c r="N2773" s="74">
        <v>40606</v>
      </c>
      <c r="O2773" s="75">
        <f t="shared" si="641"/>
        <v>40606</v>
      </c>
      <c r="P2773" s="2765" t="s">
        <v>2072</v>
      </c>
      <c r="Q2773" s="2954"/>
      <c r="R2773" s="76">
        <f>300/(1.18)</f>
        <v>254.23728813559325</v>
      </c>
      <c r="S2773" s="1945" t="s">
        <v>731</v>
      </c>
      <c r="T2773" s="77"/>
      <c r="U2773" s="1893"/>
      <c r="V2773" s="2079">
        <f t="shared" si="630"/>
        <v>0</v>
      </c>
      <c r="W2773" s="78">
        <f t="shared" si="631"/>
        <v>300</v>
      </c>
      <c r="X2773" s="1878" t="str">
        <f t="shared" si="629"/>
        <v xml:space="preserve">2.- C Vikrant 0731007-OT_000198  Reencauche 001-001052 </v>
      </c>
      <c r="Z2773" s="19" t="str">
        <f t="shared" si="640"/>
        <v>ReencaucheReencauchadora RENOVA</v>
      </c>
    </row>
    <row r="2774" spans="2:26" outlineLevel="1">
      <c r="B2774" s="3269"/>
      <c r="C2774" s="2">
        <f>1+C2776</f>
        <v>63</v>
      </c>
      <c r="D2774" s="3">
        <f>1+D2776</f>
        <v>34</v>
      </c>
      <c r="E2774" s="66">
        <v>3</v>
      </c>
      <c r="F2774" s="67" t="s">
        <v>732</v>
      </c>
      <c r="G2774" s="68" t="s">
        <v>831</v>
      </c>
      <c r="H2774" s="69" t="s">
        <v>2074</v>
      </c>
      <c r="I2774" s="68" t="s">
        <v>726</v>
      </c>
      <c r="J2774" s="429" t="s">
        <v>1543</v>
      </c>
      <c r="K2774" s="71" t="s">
        <v>2071</v>
      </c>
      <c r="L2774" s="72">
        <v>40595</v>
      </c>
      <c r="M2774" s="73" t="s">
        <v>729</v>
      </c>
      <c r="N2774" s="74">
        <v>40605</v>
      </c>
      <c r="O2774" s="75">
        <f t="shared" si="641"/>
        <v>40605</v>
      </c>
      <c r="P2774" s="2765" t="s">
        <v>2072</v>
      </c>
      <c r="Q2774" s="2954"/>
      <c r="R2774" s="76">
        <f>300/(1.18)</f>
        <v>254.23728813559325</v>
      </c>
      <c r="S2774" s="1945" t="s">
        <v>731</v>
      </c>
      <c r="T2774" s="77"/>
      <c r="U2774" s="1893"/>
      <c r="V2774" s="2079">
        <f t="shared" si="630"/>
        <v>0</v>
      </c>
      <c r="W2774" s="78">
        <f t="shared" si="631"/>
        <v>300</v>
      </c>
      <c r="X2774" s="1878" t="str">
        <f t="shared" si="629"/>
        <v xml:space="preserve">3.- C Kumho 2001204-OT_000198  Reencauche 001-001052 </v>
      </c>
      <c r="Z2774" s="19" t="str">
        <f t="shared" si="640"/>
        <v>ReencaucheReencauchadora RENOVA</v>
      </c>
    </row>
    <row r="2775" spans="2:26" outlineLevel="1">
      <c r="B2775" s="3269"/>
      <c r="E2775" s="398">
        <v>4</v>
      </c>
      <c r="F2775" s="80" t="s">
        <v>732</v>
      </c>
      <c r="G2775" s="150" t="s">
        <v>737</v>
      </c>
      <c r="H2775" s="151" t="s">
        <v>1787</v>
      </c>
      <c r="I2775" s="150" t="s">
        <v>811</v>
      </c>
      <c r="J2775" s="430" t="s">
        <v>1543</v>
      </c>
      <c r="K2775" s="400" t="s">
        <v>2071</v>
      </c>
      <c r="L2775" s="401">
        <v>40595</v>
      </c>
      <c r="M2775" s="402" t="s">
        <v>729</v>
      </c>
      <c r="N2775" s="87">
        <v>40605</v>
      </c>
      <c r="O2775" s="88">
        <f t="shared" si="641"/>
        <v>40605</v>
      </c>
      <c r="P2775" s="2805" t="s">
        <v>2072</v>
      </c>
      <c r="Q2775" s="2955"/>
      <c r="R2775" s="403">
        <v>0</v>
      </c>
      <c r="S2775" s="1970" t="s">
        <v>731</v>
      </c>
      <c r="T2775" s="1916" t="s">
        <v>2075</v>
      </c>
      <c r="U2775" s="1897"/>
      <c r="V2775" s="2079">
        <f t="shared" si="630"/>
        <v>0</v>
      </c>
      <c r="W2775" s="78">
        <f t="shared" si="631"/>
        <v>0</v>
      </c>
      <c r="X2775" s="1878" t="str">
        <f t="shared" si="629"/>
        <v>4.- C Vikrant 0881206-OT_000198  Vulcanizado (curación) 001-001052 Con protuberancia lateral, se pone protector a la medida (RECLAMO)</v>
      </c>
      <c r="Z2775" s="19" t="str">
        <f t="shared" si="640"/>
        <v>ReencaucheReencauchadora RENOVA</v>
      </c>
    </row>
    <row r="2776" spans="2:26" outlineLevel="1">
      <c r="B2776" s="3269"/>
      <c r="C2776" s="2">
        <f t="shared" ref="C2776:C2798" si="642">1+C2777</f>
        <v>62</v>
      </c>
      <c r="D2776" s="3">
        <f t="shared" ref="D2776:D2798" si="643">1+D2777</f>
        <v>33</v>
      </c>
      <c r="E2776" s="66">
        <v>1</v>
      </c>
      <c r="F2776" s="67" t="s">
        <v>732</v>
      </c>
      <c r="G2776" s="68" t="s">
        <v>737</v>
      </c>
      <c r="H2776" s="69" t="s">
        <v>1585</v>
      </c>
      <c r="I2776" s="68" t="s">
        <v>726</v>
      </c>
      <c r="J2776" s="431" t="s">
        <v>760</v>
      </c>
      <c r="K2776" s="71" t="s">
        <v>2076</v>
      </c>
      <c r="L2776" s="72">
        <v>40590</v>
      </c>
      <c r="M2776" s="73" t="s">
        <v>729</v>
      </c>
      <c r="N2776" s="74">
        <v>40599</v>
      </c>
      <c r="O2776" s="75">
        <f t="shared" si="641"/>
        <v>40599</v>
      </c>
      <c r="P2776" s="2765" t="s">
        <v>2077</v>
      </c>
      <c r="Q2776" s="2954">
        <v>100.54</v>
      </c>
      <c r="R2776" s="76"/>
      <c r="S2776" s="1945" t="s">
        <v>731</v>
      </c>
      <c r="T2776" s="77"/>
      <c r="U2776" s="1893"/>
      <c r="V2776" s="2079">
        <f t="shared" si="630"/>
        <v>118.63720000000001</v>
      </c>
      <c r="W2776" s="78">
        <f t="shared" si="631"/>
        <v>0</v>
      </c>
      <c r="X2776" s="1878" t="str">
        <f t="shared" si="629"/>
        <v xml:space="preserve">1.- C Vikrant 0861009-OT_146190  Reencauche 030-0010478 </v>
      </c>
      <c r="Z2776" s="19" t="str">
        <f t="shared" si="640"/>
        <v>ReencaucheReencauchadora RENOVA</v>
      </c>
    </row>
    <row r="2777" spans="2:26" outlineLevel="1">
      <c r="B2777" s="3269"/>
      <c r="C2777" s="2">
        <f t="shared" si="642"/>
        <v>61</v>
      </c>
      <c r="D2777" s="3">
        <f t="shared" si="643"/>
        <v>32</v>
      </c>
      <c r="E2777" s="66">
        <v>2</v>
      </c>
      <c r="F2777" s="67" t="s">
        <v>732</v>
      </c>
      <c r="G2777" s="68" t="s">
        <v>737</v>
      </c>
      <c r="H2777" s="69" t="s">
        <v>2078</v>
      </c>
      <c r="I2777" s="68" t="s">
        <v>726</v>
      </c>
      <c r="J2777" s="431" t="s">
        <v>760</v>
      </c>
      <c r="K2777" s="71" t="s">
        <v>2076</v>
      </c>
      <c r="L2777" s="72">
        <v>40590</v>
      </c>
      <c r="M2777" s="73" t="s">
        <v>729</v>
      </c>
      <c r="N2777" s="74">
        <v>40599</v>
      </c>
      <c r="O2777" s="75">
        <f t="shared" si="641"/>
        <v>40599</v>
      </c>
      <c r="P2777" s="2765" t="s">
        <v>2077</v>
      </c>
      <c r="Q2777" s="2954">
        <v>100.54</v>
      </c>
      <c r="R2777" s="76"/>
      <c r="S2777" s="1945" t="s">
        <v>731</v>
      </c>
      <c r="T2777" s="77"/>
      <c r="U2777" s="1893"/>
      <c r="V2777" s="2079">
        <f t="shared" si="630"/>
        <v>118.63720000000001</v>
      </c>
      <c r="W2777" s="78">
        <f t="shared" si="631"/>
        <v>0</v>
      </c>
      <c r="X2777" s="1878" t="str">
        <f t="shared" si="629"/>
        <v xml:space="preserve">2.- C Vikrant 0991206-OT_146190  Reencauche 030-0010478 </v>
      </c>
      <c r="Z2777" s="19" t="str">
        <f t="shared" si="640"/>
        <v>ReencaucheReencauchadora RENOVA</v>
      </c>
    </row>
    <row r="2778" spans="2:26" outlineLevel="1">
      <c r="B2778" s="3269"/>
      <c r="C2778" s="2">
        <f t="shared" si="642"/>
        <v>60</v>
      </c>
      <c r="D2778" s="3">
        <f t="shared" si="643"/>
        <v>31</v>
      </c>
      <c r="E2778" s="66">
        <v>3</v>
      </c>
      <c r="F2778" s="67" t="s">
        <v>732</v>
      </c>
      <c r="G2778" s="68" t="s">
        <v>737</v>
      </c>
      <c r="H2778" s="69" t="s">
        <v>1436</v>
      </c>
      <c r="I2778" s="68" t="s">
        <v>726</v>
      </c>
      <c r="J2778" s="431" t="s">
        <v>760</v>
      </c>
      <c r="K2778" s="71" t="s">
        <v>2076</v>
      </c>
      <c r="L2778" s="72">
        <v>40590</v>
      </c>
      <c r="M2778" s="73" t="s">
        <v>729</v>
      </c>
      <c r="N2778" s="74">
        <v>40599</v>
      </c>
      <c r="O2778" s="75">
        <f t="shared" si="641"/>
        <v>40599</v>
      </c>
      <c r="P2778" s="2765" t="s">
        <v>2077</v>
      </c>
      <c r="Q2778" s="2954">
        <v>100.54</v>
      </c>
      <c r="R2778" s="76"/>
      <c r="S2778" s="1945" t="s">
        <v>731</v>
      </c>
      <c r="T2778" s="77"/>
      <c r="U2778" s="1893"/>
      <c r="V2778" s="2079">
        <f t="shared" si="630"/>
        <v>118.63720000000001</v>
      </c>
      <c r="W2778" s="78">
        <f t="shared" si="631"/>
        <v>0</v>
      </c>
      <c r="X2778" s="1878" t="str">
        <f t="shared" si="629"/>
        <v xml:space="preserve">3.- C Vikrant 1691205-OT_146190  Reencauche 030-0010478 </v>
      </c>
      <c r="Z2778" s="19" t="str">
        <f t="shared" si="640"/>
        <v>ReencaucheReencauchadora RENOVA</v>
      </c>
    </row>
    <row r="2779" spans="2:26" outlineLevel="1">
      <c r="B2779" s="3269"/>
      <c r="C2779" s="2">
        <f t="shared" si="642"/>
        <v>59</v>
      </c>
      <c r="D2779" s="3">
        <f t="shared" si="643"/>
        <v>30</v>
      </c>
      <c r="E2779" s="66">
        <v>4</v>
      </c>
      <c r="F2779" s="67" t="s">
        <v>732</v>
      </c>
      <c r="G2779" s="68" t="s">
        <v>737</v>
      </c>
      <c r="H2779" s="69" t="s">
        <v>1039</v>
      </c>
      <c r="I2779" s="68" t="s">
        <v>726</v>
      </c>
      <c r="J2779" s="431" t="s">
        <v>760</v>
      </c>
      <c r="K2779" s="71" t="s">
        <v>2076</v>
      </c>
      <c r="L2779" s="72">
        <v>40590</v>
      </c>
      <c r="M2779" s="73" t="s">
        <v>729</v>
      </c>
      <c r="N2779" s="74">
        <v>40599</v>
      </c>
      <c r="O2779" s="75">
        <f t="shared" si="641"/>
        <v>40599</v>
      </c>
      <c r="P2779" s="2765" t="s">
        <v>2077</v>
      </c>
      <c r="Q2779" s="2954">
        <v>100.54</v>
      </c>
      <c r="R2779" s="76"/>
      <c r="S2779" s="1945" t="s">
        <v>731</v>
      </c>
      <c r="T2779" s="77"/>
      <c r="U2779" s="1893"/>
      <c r="V2779" s="2079">
        <f t="shared" si="630"/>
        <v>118.63720000000001</v>
      </c>
      <c r="W2779" s="78">
        <f t="shared" si="631"/>
        <v>0</v>
      </c>
      <c r="X2779" s="1878" t="str">
        <f t="shared" si="629"/>
        <v xml:space="preserve">4.- C Vikrant 0781009-OT_146190  Reencauche 030-0010478 </v>
      </c>
      <c r="Z2779" s="19" t="str">
        <f t="shared" si="640"/>
        <v>ReencaucheReencauchadora RENOVA</v>
      </c>
    </row>
    <row r="2780" spans="2:26" outlineLevel="1">
      <c r="B2780" s="3269"/>
      <c r="C2780" s="2">
        <f t="shared" si="642"/>
        <v>58</v>
      </c>
      <c r="D2780" s="3">
        <f t="shared" si="643"/>
        <v>29</v>
      </c>
      <c r="E2780" s="66">
        <v>5</v>
      </c>
      <c r="F2780" s="67" t="s">
        <v>732</v>
      </c>
      <c r="G2780" s="68" t="s">
        <v>733</v>
      </c>
      <c r="H2780" s="69" t="s">
        <v>2079</v>
      </c>
      <c r="I2780" s="68" t="s">
        <v>726</v>
      </c>
      <c r="J2780" s="431" t="s">
        <v>760</v>
      </c>
      <c r="K2780" s="71" t="s">
        <v>2076</v>
      </c>
      <c r="L2780" s="72">
        <v>40590</v>
      </c>
      <c r="M2780" s="73" t="s">
        <v>729</v>
      </c>
      <c r="N2780" s="74">
        <v>40599</v>
      </c>
      <c r="O2780" s="75">
        <f t="shared" si="641"/>
        <v>40599</v>
      </c>
      <c r="P2780" s="2765" t="s">
        <v>2077</v>
      </c>
      <c r="Q2780" s="2954">
        <v>100.54</v>
      </c>
      <c r="R2780" s="76"/>
      <c r="S2780" s="1945" t="s">
        <v>731</v>
      </c>
      <c r="T2780" s="77"/>
      <c r="U2780" s="1893"/>
      <c r="V2780" s="2079">
        <f t="shared" si="630"/>
        <v>118.63720000000001</v>
      </c>
      <c r="W2780" s="78">
        <f t="shared" si="631"/>
        <v>0</v>
      </c>
      <c r="X2780" s="1878" t="str">
        <f t="shared" si="629"/>
        <v xml:space="preserve">5.- C Lima Caucho 0190108-OT_146190  Reencauche 030-0010478 </v>
      </c>
      <c r="Z2780" s="19" t="str">
        <f t="shared" si="640"/>
        <v>ReencaucheReencauchadora RENOVA</v>
      </c>
    </row>
    <row r="2781" spans="2:26" outlineLevel="1">
      <c r="B2781" s="3269"/>
      <c r="C2781" s="2">
        <f t="shared" si="642"/>
        <v>57</v>
      </c>
      <c r="D2781" s="3">
        <f t="shared" si="643"/>
        <v>28</v>
      </c>
      <c r="E2781" s="66">
        <v>6</v>
      </c>
      <c r="F2781" s="67" t="s">
        <v>732</v>
      </c>
      <c r="G2781" s="68" t="s">
        <v>733</v>
      </c>
      <c r="H2781" s="69" t="s">
        <v>1232</v>
      </c>
      <c r="I2781" s="68" t="s">
        <v>726</v>
      </c>
      <c r="J2781" s="431" t="s">
        <v>760</v>
      </c>
      <c r="K2781" s="71" t="s">
        <v>2076</v>
      </c>
      <c r="L2781" s="72">
        <v>40590</v>
      </c>
      <c r="M2781" s="73" t="s">
        <v>729</v>
      </c>
      <c r="N2781" s="74">
        <v>40599</v>
      </c>
      <c r="O2781" s="75">
        <f t="shared" si="641"/>
        <v>40599</v>
      </c>
      <c r="P2781" s="2765" t="s">
        <v>2077</v>
      </c>
      <c r="Q2781" s="2954">
        <v>100.54</v>
      </c>
      <c r="R2781" s="76"/>
      <c r="S2781" s="1945" t="s">
        <v>731</v>
      </c>
      <c r="T2781" s="77"/>
      <c r="U2781" s="1893"/>
      <c r="V2781" s="2079">
        <f t="shared" si="630"/>
        <v>118.63720000000001</v>
      </c>
      <c r="W2781" s="78">
        <f t="shared" si="631"/>
        <v>0</v>
      </c>
      <c r="X2781" s="1878" t="str">
        <f t="shared" si="629"/>
        <v xml:space="preserve">6.- C Lima Caucho 0680907-OT_146190  Reencauche 030-0010478 </v>
      </c>
      <c r="Z2781" s="19" t="str">
        <f t="shared" si="640"/>
        <v>ReencaucheReencauchadora RENOVA</v>
      </c>
    </row>
    <row r="2782" spans="2:26" outlineLevel="1">
      <c r="B2782" s="3269"/>
      <c r="C2782" s="2">
        <f t="shared" si="642"/>
        <v>56</v>
      </c>
      <c r="D2782" s="3">
        <f t="shared" si="643"/>
        <v>27</v>
      </c>
      <c r="E2782" s="66">
        <v>7</v>
      </c>
      <c r="F2782" s="67" t="s">
        <v>732</v>
      </c>
      <c r="G2782" s="68" t="s">
        <v>733</v>
      </c>
      <c r="H2782" s="69" t="s">
        <v>1406</v>
      </c>
      <c r="I2782" s="68" t="s">
        <v>726</v>
      </c>
      <c r="J2782" s="431" t="s">
        <v>760</v>
      </c>
      <c r="K2782" s="71" t="s">
        <v>2076</v>
      </c>
      <c r="L2782" s="72">
        <v>40590</v>
      </c>
      <c r="M2782" s="73" t="s">
        <v>729</v>
      </c>
      <c r="N2782" s="74">
        <v>40599</v>
      </c>
      <c r="O2782" s="75">
        <f t="shared" si="641"/>
        <v>40599</v>
      </c>
      <c r="P2782" s="2765" t="s">
        <v>2077</v>
      </c>
      <c r="Q2782" s="2954">
        <v>100.54</v>
      </c>
      <c r="R2782" s="76"/>
      <c r="S2782" s="1945" t="s">
        <v>731</v>
      </c>
      <c r="T2782" s="77"/>
      <c r="U2782" s="1893"/>
      <c r="V2782" s="2079">
        <f t="shared" si="630"/>
        <v>118.63720000000001</v>
      </c>
      <c r="W2782" s="78">
        <f t="shared" si="631"/>
        <v>0</v>
      </c>
      <c r="X2782" s="1878" t="str">
        <f t="shared" si="629"/>
        <v xml:space="preserve">7.- C Lima Caucho 0540708-OT_146190  Reencauche 030-0010478 </v>
      </c>
      <c r="Z2782" s="19" t="str">
        <f t="shared" si="640"/>
        <v>ReencaucheReencauchadora RENOVA</v>
      </c>
    </row>
    <row r="2783" spans="2:26" outlineLevel="1">
      <c r="B2783" s="3269"/>
      <c r="C2783" s="2">
        <f t="shared" si="642"/>
        <v>55</v>
      </c>
      <c r="D2783" s="3">
        <f t="shared" si="643"/>
        <v>26</v>
      </c>
      <c r="E2783" s="66">
        <v>8</v>
      </c>
      <c r="F2783" s="67" t="s">
        <v>732</v>
      </c>
      <c r="G2783" s="68" t="s">
        <v>733</v>
      </c>
      <c r="H2783" s="69" t="s">
        <v>1471</v>
      </c>
      <c r="I2783" s="68" t="s">
        <v>726</v>
      </c>
      <c r="J2783" s="431" t="s">
        <v>760</v>
      </c>
      <c r="K2783" s="71" t="s">
        <v>2076</v>
      </c>
      <c r="L2783" s="72">
        <v>40590</v>
      </c>
      <c r="M2783" s="73" t="s">
        <v>729</v>
      </c>
      <c r="N2783" s="74">
        <v>40599</v>
      </c>
      <c r="O2783" s="75">
        <f t="shared" si="641"/>
        <v>40599</v>
      </c>
      <c r="P2783" s="2765" t="s">
        <v>2077</v>
      </c>
      <c r="Q2783" s="2954">
        <v>100.54</v>
      </c>
      <c r="R2783" s="76"/>
      <c r="S2783" s="1945" t="s">
        <v>731</v>
      </c>
      <c r="T2783" s="77"/>
      <c r="U2783" s="1893"/>
      <c r="V2783" s="2079">
        <f t="shared" si="630"/>
        <v>118.63720000000001</v>
      </c>
      <c r="W2783" s="78">
        <f t="shared" si="631"/>
        <v>0</v>
      </c>
      <c r="X2783" s="1878" t="str">
        <f t="shared" si="629"/>
        <v xml:space="preserve">8.- C Lima Caucho 0170207-OT_146190  Reencauche 030-0010478 </v>
      </c>
      <c r="Z2783" s="19" t="str">
        <f t="shared" si="640"/>
        <v>ReencaucheReencauchadora RENOVA</v>
      </c>
    </row>
    <row r="2784" spans="2:26" outlineLevel="1">
      <c r="B2784" s="3269"/>
      <c r="C2784" s="2">
        <f t="shared" si="642"/>
        <v>54</v>
      </c>
      <c r="D2784" s="3">
        <f t="shared" si="643"/>
        <v>25</v>
      </c>
      <c r="E2784" s="66">
        <v>9</v>
      </c>
      <c r="F2784" s="67" t="s">
        <v>732</v>
      </c>
      <c r="G2784" s="68" t="s">
        <v>733</v>
      </c>
      <c r="H2784" s="69" t="s">
        <v>2080</v>
      </c>
      <c r="I2784" s="68" t="s">
        <v>726</v>
      </c>
      <c r="J2784" s="431" t="s">
        <v>760</v>
      </c>
      <c r="K2784" s="71" t="s">
        <v>2076</v>
      </c>
      <c r="L2784" s="72">
        <v>40590</v>
      </c>
      <c r="M2784" s="73" t="s">
        <v>729</v>
      </c>
      <c r="N2784" s="74">
        <v>40599</v>
      </c>
      <c r="O2784" s="75">
        <f t="shared" si="641"/>
        <v>40599</v>
      </c>
      <c r="P2784" s="2765" t="s">
        <v>2077</v>
      </c>
      <c r="Q2784" s="2954">
        <v>100.54</v>
      </c>
      <c r="R2784" s="76"/>
      <c r="S2784" s="1945" t="s">
        <v>731</v>
      </c>
      <c r="T2784" s="77"/>
      <c r="U2784" s="1893"/>
      <c r="V2784" s="2079">
        <f t="shared" si="630"/>
        <v>118.63720000000001</v>
      </c>
      <c r="W2784" s="78">
        <f t="shared" si="631"/>
        <v>0</v>
      </c>
      <c r="X2784" s="1878" t="str">
        <f t="shared" si="629"/>
        <v xml:space="preserve">9.- C Lima Caucho 1321207-OT_146190  Reencauche 030-0010478 </v>
      </c>
      <c r="Z2784" s="19" t="str">
        <f t="shared" si="640"/>
        <v>ReencaucheReencauchadora RENOVA</v>
      </c>
    </row>
    <row r="2785" spans="2:26" outlineLevel="1">
      <c r="B2785" s="3269"/>
      <c r="C2785" s="2">
        <f t="shared" si="642"/>
        <v>53</v>
      </c>
      <c r="D2785" s="3">
        <f t="shared" si="643"/>
        <v>24</v>
      </c>
      <c r="E2785" s="66">
        <v>10</v>
      </c>
      <c r="F2785" s="67" t="s">
        <v>732</v>
      </c>
      <c r="G2785" s="68" t="s">
        <v>733</v>
      </c>
      <c r="H2785" s="69" t="s">
        <v>2081</v>
      </c>
      <c r="I2785" s="68" t="s">
        <v>726</v>
      </c>
      <c r="J2785" s="431" t="s">
        <v>760</v>
      </c>
      <c r="K2785" s="71" t="s">
        <v>2076</v>
      </c>
      <c r="L2785" s="72">
        <v>40590</v>
      </c>
      <c r="M2785" s="73" t="s">
        <v>729</v>
      </c>
      <c r="N2785" s="74">
        <v>40599</v>
      </c>
      <c r="O2785" s="75">
        <f t="shared" si="641"/>
        <v>40599</v>
      </c>
      <c r="P2785" s="2765" t="s">
        <v>2077</v>
      </c>
      <c r="Q2785" s="2954">
        <v>100.54</v>
      </c>
      <c r="R2785" s="76"/>
      <c r="S2785" s="1945" t="s">
        <v>731</v>
      </c>
      <c r="T2785" s="77"/>
      <c r="U2785" s="1893"/>
      <c r="V2785" s="2079">
        <f t="shared" si="630"/>
        <v>118.63720000000001</v>
      </c>
      <c r="W2785" s="78">
        <f t="shared" si="631"/>
        <v>0</v>
      </c>
      <c r="X2785" s="1878" t="str">
        <f t="shared" si="629"/>
        <v xml:space="preserve">10.- C Lima Caucho 0350508-OT_146190  Reencauche 030-0010478 </v>
      </c>
      <c r="Z2785" s="19" t="str">
        <f t="shared" si="640"/>
        <v>ReencaucheReencauchadora RENOVA</v>
      </c>
    </row>
    <row r="2786" spans="2:26" outlineLevel="1">
      <c r="B2786" s="3269"/>
      <c r="C2786" s="2">
        <f t="shared" si="642"/>
        <v>52</v>
      </c>
      <c r="D2786" s="3">
        <f t="shared" si="643"/>
        <v>23</v>
      </c>
      <c r="E2786" s="66">
        <v>11</v>
      </c>
      <c r="F2786" s="67" t="s">
        <v>732</v>
      </c>
      <c r="G2786" s="68" t="s">
        <v>757</v>
      </c>
      <c r="H2786" s="69" t="s">
        <v>2082</v>
      </c>
      <c r="I2786" s="68" t="s">
        <v>726</v>
      </c>
      <c r="J2786" s="431" t="s">
        <v>760</v>
      </c>
      <c r="K2786" s="71" t="s">
        <v>2083</v>
      </c>
      <c r="L2786" s="72">
        <v>40590</v>
      </c>
      <c r="M2786" s="73" t="s">
        <v>729</v>
      </c>
      <c r="N2786" s="74">
        <v>40599</v>
      </c>
      <c r="O2786" s="75">
        <f t="shared" si="641"/>
        <v>40599</v>
      </c>
      <c r="P2786" s="2765" t="s">
        <v>2077</v>
      </c>
      <c r="Q2786" s="2954">
        <v>100.54</v>
      </c>
      <c r="R2786" s="76"/>
      <c r="S2786" s="1945" t="s">
        <v>731</v>
      </c>
      <c r="T2786" s="77"/>
      <c r="U2786" s="1893"/>
      <c r="V2786" s="2079">
        <f t="shared" si="630"/>
        <v>118.63720000000001</v>
      </c>
      <c r="W2786" s="78">
        <f t="shared" si="631"/>
        <v>0</v>
      </c>
      <c r="X2786" s="1878" t="str">
        <f t="shared" ref="X2786:X2849" si="644">CONCATENATE(E2786,".- ",F2786," ",G2786," ",H2786,"-OT_",K2786," "," ",I2786," ",P2786," ",T2786)</f>
        <v xml:space="preserve">11.- C Goodyear 1700920-OT_146189  Reencauche 030-0010478 </v>
      </c>
      <c r="Z2786" s="19" t="str">
        <f t="shared" si="640"/>
        <v>ReencaucheReencauchadora RENOVA</v>
      </c>
    </row>
    <row r="2787" spans="2:26" outlineLevel="1">
      <c r="B2787" s="3269"/>
      <c r="C2787" s="2">
        <f t="shared" si="642"/>
        <v>51</v>
      </c>
      <c r="D2787" s="3">
        <f t="shared" si="643"/>
        <v>22</v>
      </c>
      <c r="E2787" s="66">
        <v>12</v>
      </c>
      <c r="F2787" s="67" t="s">
        <v>732</v>
      </c>
      <c r="G2787" s="68" t="s">
        <v>757</v>
      </c>
      <c r="H2787" s="69" t="s">
        <v>1510</v>
      </c>
      <c r="I2787" s="68" t="s">
        <v>726</v>
      </c>
      <c r="J2787" s="431" t="s">
        <v>760</v>
      </c>
      <c r="K2787" s="71" t="s">
        <v>2083</v>
      </c>
      <c r="L2787" s="72">
        <v>40590</v>
      </c>
      <c r="M2787" s="73" t="s">
        <v>729</v>
      </c>
      <c r="N2787" s="74">
        <v>40599</v>
      </c>
      <c r="O2787" s="75">
        <f t="shared" si="641"/>
        <v>40599</v>
      </c>
      <c r="P2787" s="2765" t="s">
        <v>2077</v>
      </c>
      <c r="Q2787" s="2954">
        <v>100.54</v>
      </c>
      <c r="R2787" s="76"/>
      <c r="S2787" s="1945" t="s">
        <v>731</v>
      </c>
      <c r="T2787" s="77"/>
      <c r="U2787" s="1893"/>
      <c r="V2787" s="2079">
        <f t="shared" ref="V2787:V2850" si="645">+Q2787*(1.18)</f>
        <v>118.63720000000001</v>
      </c>
      <c r="W2787" s="78">
        <f t="shared" ref="W2787:W2850" si="646">+R2787*(1.18)</f>
        <v>0</v>
      </c>
      <c r="X2787" s="1878" t="str">
        <f t="shared" si="644"/>
        <v xml:space="preserve">12.- C Goodyear 046092003-OT_146189  Reencauche 030-0010478 </v>
      </c>
      <c r="Z2787" s="19" t="str">
        <f t="shared" si="640"/>
        <v>ReencaucheReencauchadora RENOVA</v>
      </c>
    </row>
    <row r="2788" spans="2:26" outlineLevel="1">
      <c r="B2788" s="3269"/>
      <c r="C2788" s="2">
        <f t="shared" si="642"/>
        <v>50</v>
      </c>
      <c r="D2788" s="3">
        <f t="shared" si="643"/>
        <v>21</v>
      </c>
      <c r="E2788" s="66">
        <v>13</v>
      </c>
      <c r="F2788" s="67" t="s">
        <v>732</v>
      </c>
      <c r="G2788" s="68" t="s">
        <v>757</v>
      </c>
      <c r="H2788" s="69" t="s">
        <v>1155</v>
      </c>
      <c r="I2788" s="68" t="s">
        <v>726</v>
      </c>
      <c r="J2788" s="431" t="s">
        <v>760</v>
      </c>
      <c r="K2788" s="71" t="s">
        <v>2083</v>
      </c>
      <c r="L2788" s="72">
        <v>40590</v>
      </c>
      <c r="M2788" s="73" t="s">
        <v>729</v>
      </c>
      <c r="N2788" s="74">
        <v>40599</v>
      </c>
      <c r="O2788" s="75">
        <f t="shared" si="641"/>
        <v>40599</v>
      </c>
      <c r="P2788" s="2765" t="s">
        <v>2077</v>
      </c>
      <c r="Q2788" s="2954">
        <v>100.54</v>
      </c>
      <c r="R2788" s="76"/>
      <c r="S2788" s="1945" t="s">
        <v>731</v>
      </c>
      <c r="T2788" s="77"/>
      <c r="U2788" s="1893"/>
      <c r="V2788" s="2079">
        <f t="shared" si="645"/>
        <v>118.63720000000001</v>
      </c>
      <c r="W2788" s="78">
        <f t="shared" si="646"/>
        <v>0</v>
      </c>
      <c r="X2788" s="1878" t="str">
        <f t="shared" si="644"/>
        <v xml:space="preserve">13.- C Goodyear 1140704-OT_146189  Reencauche 030-0010478 </v>
      </c>
      <c r="Z2788" s="19" t="str">
        <f t="shared" si="640"/>
        <v>ReencaucheReencauchadora RENOVA</v>
      </c>
    </row>
    <row r="2789" spans="2:26" outlineLevel="1">
      <c r="B2789" s="3269"/>
      <c r="C2789" s="2">
        <f t="shared" si="642"/>
        <v>49</v>
      </c>
      <c r="D2789" s="3">
        <f t="shared" si="643"/>
        <v>20</v>
      </c>
      <c r="E2789" s="66">
        <v>14</v>
      </c>
      <c r="F2789" s="67" t="s">
        <v>732</v>
      </c>
      <c r="G2789" s="68" t="s">
        <v>757</v>
      </c>
      <c r="H2789" s="69" t="s">
        <v>2084</v>
      </c>
      <c r="I2789" s="68" t="s">
        <v>726</v>
      </c>
      <c r="J2789" s="431" t="s">
        <v>760</v>
      </c>
      <c r="K2789" s="71" t="s">
        <v>2083</v>
      </c>
      <c r="L2789" s="72">
        <v>40590</v>
      </c>
      <c r="M2789" s="73" t="s">
        <v>729</v>
      </c>
      <c r="N2789" s="74">
        <v>40599</v>
      </c>
      <c r="O2789" s="75">
        <f t="shared" si="641"/>
        <v>40599</v>
      </c>
      <c r="P2789" s="2765" t="s">
        <v>2077</v>
      </c>
      <c r="Q2789" s="2954">
        <v>100.54</v>
      </c>
      <c r="R2789" s="76"/>
      <c r="S2789" s="1945" t="s">
        <v>731</v>
      </c>
      <c r="T2789" s="77"/>
      <c r="U2789" s="1893"/>
      <c r="V2789" s="2079">
        <f t="shared" si="645"/>
        <v>118.63720000000001</v>
      </c>
      <c r="W2789" s="78">
        <f t="shared" si="646"/>
        <v>0</v>
      </c>
      <c r="X2789" s="1878" t="str">
        <f t="shared" si="644"/>
        <v xml:space="preserve">14.- C Goodyear 056032004-OT_146189  Reencauche 030-0010478 </v>
      </c>
      <c r="Z2789" s="19" t="str">
        <f t="shared" si="640"/>
        <v>ReencaucheReencauchadora RENOVA</v>
      </c>
    </row>
    <row r="2790" spans="2:26" outlineLevel="1">
      <c r="B2790" s="3269"/>
      <c r="C2790" s="2">
        <f t="shared" si="642"/>
        <v>48</v>
      </c>
      <c r="D2790" s="3">
        <f t="shared" si="643"/>
        <v>19</v>
      </c>
      <c r="E2790" s="66">
        <v>15</v>
      </c>
      <c r="F2790" s="67" t="s">
        <v>732</v>
      </c>
      <c r="G2790" s="68" t="s">
        <v>757</v>
      </c>
      <c r="H2790" s="69" t="s">
        <v>1511</v>
      </c>
      <c r="I2790" s="68" t="s">
        <v>726</v>
      </c>
      <c r="J2790" s="431" t="s">
        <v>760</v>
      </c>
      <c r="K2790" s="71" t="s">
        <v>2083</v>
      </c>
      <c r="L2790" s="72">
        <v>40590</v>
      </c>
      <c r="M2790" s="73" t="s">
        <v>729</v>
      </c>
      <c r="N2790" s="74">
        <v>40599</v>
      </c>
      <c r="O2790" s="75">
        <f t="shared" si="641"/>
        <v>40599</v>
      </c>
      <c r="P2790" s="2765" t="s">
        <v>2077</v>
      </c>
      <c r="Q2790" s="2954">
        <v>100.54</v>
      </c>
      <c r="R2790" s="76"/>
      <c r="S2790" s="1945" t="s">
        <v>731</v>
      </c>
      <c r="T2790" s="77"/>
      <c r="U2790" s="1893"/>
      <c r="V2790" s="2079">
        <f t="shared" si="645"/>
        <v>118.63720000000001</v>
      </c>
      <c r="W2790" s="78">
        <f t="shared" si="646"/>
        <v>0</v>
      </c>
      <c r="X2790" s="1878" t="str">
        <f t="shared" si="644"/>
        <v xml:space="preserve">15.- C Goodyear 1911204-OT_146189  Reencauche 030-0010478 </v>
      </c>
      <c r="Z2790" s="19" t="str">
        <f t="shared" si="640"/>
        <v>ReencaucheReencauchadora RENOVA</v>
      </c>
    </row>
    <row r="2791" spans="2:26" outlineLevel="1">
      <c r="B2791" s="3269"/>
      <c r="C2791" s="2">
        <f t="shared" si="642"/>
        <v>47</v>
      </c>
      <c r="D2791" s="3">
        <f t="shared" si="643"/>
        <v>18</v>
      </c>
      <c r="E2791" s="66">
        <v>16</v>
      </c>
      <c r="F2791" s="67" t="s">
        <v>732</v>
      </c>
      <c r="G2791" s="68" t="s">
        <v>757</v>
      </c>
      <c r="H2791" s="69" t="s">
        <v>1845</v>
      </c>
      <c r="I2791" s="68" t="s">
        <v>726</v>
      </c>
      <c r="J2791" s="431" t="s">
        <v>760</v>
      </c>
      <c r="K2791" s="71" t="s">
        <v>2083</v>
      </c>
      <c r="L2791" s="72">
        <v>40590</v>
      </c>
      <c r="M2791" s="73" t="s">
        <v>729</v>
      </c>
      <c r="N2791" s="74">
        <v>40599</v>
      </c>
      <c r="O2791" s="75">
        <f t="shared" si="641"/>
        <v>40599</v>
      </c>
      <c r="P2791" s="2765" t="s">
        <v>2077</v>
      </c>
      <c r="Q2791" s="2954">
        <v>100.54</v>
      </c>
      <c r="R2791" s="76"/>
      <c r="S2791" s="1945" t="s">
        <v>731</v>
      </c>
      <c r="T2791" s="77"/>
      <c r="U2791" s="1893"/>
      <c r="V2791" s="2079">
        <f t="shared" si="645"/>
        <v>118.63720000000001</v>
      </c>
      <c r="W2791" s="78">
        <f t="shared" si="646"/>
        <v>0</v>
      </c>
      <c r="X2791" s="1878" t="str">
        <f t="shared" si="644"/>
        <v xml:space="preserve">16.- C Goodyear 0100205-OT_146189  Reencauche 030-0010478 </v>
      </c>
      <c r="Z2791" s="19" t="str">
        <f t="shared" si="640"/>
        <v>ReencaucheReencauchadora RENOVA</v>
      </c>
    </row>
    <row r="2792" spans="2:26" outlineLevel="1">
      <c r="B2792" s="3269"/>
      <c r="C2792" s="2">
        <f t="shared" si="642"/>
        <v>46</v>
      </c>
      <c r="D2792" s="3">
        <f t="shared" si="643"/>
        <v>17</v>
      </c>
      <c r="E2792" s="66">
        <v>17</v>
      </c>
      <c r="F2792" s="67" t="s">
        <v>732</v>
      </c>
      <c r="G2792" s="68" t="s">
        <v>769</v>
      </c>
      <c r="H2792" s="69" t="s">
        <v>966</v>
      </c>
      <c r="I2792" s="68" t="s">
        <v>726</v>
      </c>
      <c r="J2792" s="431" t="s">
        <v>760</v>
      </c>
      <c r="K2792" s="71" t="s">
        <v>2083</v>
      </c>
      <c r="L2792" s="72">
        <v>40590</v>
      </c>
      <c r="M2792" s="73" t="s">
        <v>729</v>
      </c>
      <c r="N2792" s="74">
        <v>40599</v>
      </c>
      <c r="O2792" s="75">
        <f t="shared" si="641"/>
        <v>40599</v>
      </c>
      <c r="P2792" s="2765" t="s">
        <v>2077</v>
      </c>
      <c r="Q2792" s="2954">
        <v>100.54</v>
      </c>
      <c r="R2792" s="76"/>
      <c r="S2792" s="1945" t="s">
        <v>731</v>
      </c>
      <c r="T2792" s="77"/>
      <c r="U2792" s="1893"/>
      <c r="V2792" s="2079">
        <f t="shared" si="645"/>
        <v>118.63720000000001</v>
      </c>
      <c r="W2792" s="78">
        <f t="shared" si="646"/>
        <v>0</v>
      </c>
      <c r="X2792" s="1878" t="str">
        <f t="shared" si="644"/>
        <v xml:space="preserve">17.- C Lu He 0390509-OT_146189  Reencauche 030-0010478 </v>
      </c>
      <c r="Z2792" s="19" t="str">
        <f t="shared" si="640"/>
        <v>ReencaucheReencauchadora RENOVA</v>
      </c>
    </row>
    <row r="2793" spans="2:26" outlineLevel="1">
      <c r="B2793" s="3269"/>
      <c r="C2793" s="2">
        <f t="shared" si="642"/>
        <v>45</v>
      </c>
      <c r="D2793" s="3">
        <f t="shared" si="643"/>
        <v>16</v>
      </c>
      <c r="E2793" s="66">
        <v>18</v>
      </c>
      <c r="F2793" s="67" t="s">
        <v>732</v>
      </c>
      <c r="G2793" s="68" t="s">
        <v>733</v>
      </c>
      <c r="H2793" s="69" t="s">
        <v>1148</v>
      </c>
      <c r="I2793" s="68" t="s">
        <v>726</v>
      </c>
      <c r="J2793" s="431" t="s">
        <v>760</v>
      </c>
      <c r="K2793" s="71" t="s">
        <v>2085</v>
      </c>
      <c r="L2793" s="72">
        <v>40590</v>
      </c>
      <c r="M2793" s="73" t="s">
        <v>729</v>
      </c>
      <c r="N2793" s="74">
        <v>40599</v>
      </c>
      <c r="O2793" s="75">
        <f t="shared" si="641"/>
        <v>40599</v>
      </c>
      <c r="P2793" s="2765" t="s">
        <v>2077</v>
      </c>
      <c r="Q2793" s="2954">
        <v>100.54</v>
      </c>
      <c r="R2793" s="76"/>
      <c r="S2793" s="1945" t="s">
        <v>731</v>
      </c>
      <c r="T2793" s="77"/>
      <c r="U2793" s="1893"/>
      <c r="V2793" s="2079">
        <f t="shared" si="645"/>
        <v>118.63720000000001</v>
      </c>
      <c r="W2793" s="78">
        <f t="shared" si="646"/>
        <v>0</v>
      </c>
      <c r="X2793" s="1878" t="str">
        <f t="shared" si="644"/>
        <v xml:space="preserve">18.- C Lima Caucho 1051107-OT_146192  Reencauche 030-0010478 </v>
      </c>
      <c r="Z2793" s="19" t="str">
        <f t="shared" si="640"/>
        <v>ReencaucheReencauchadora RENOVA</v>
      </c>
    </row>
    <row r="2794" spans="2:26" outlineLevel="1">
      <c r="B2794" s="3269"/>
      <c r="C2794" s="2">
        <f t="shared" si="642"/>
        <v>44</v>
      </c>
      <c r="D2794" s="3">
        <f t="shared" si="643"/>
        <v>15</v>
      </c>
      <c r="E2794" s="66">
        <v>19</v>
      </c>
      <c r="F2794" s="67" t="s">
        <v>732</v>
      </c>
      <c r="G2794" s="68" t="s">
        <v>733</v>
      </c>
      <c r="H2794" s="69" t="s">
        <v>2086</v>
      </c>
      <c r="I2794" s="68" t="s">
        <v>726</v>
      </c>
      <c r="J2794" s="431" t="s">
        <v>760</v>
      </c>
      <c r="K2794" s="71" t="s">
        <v>2085</v>
      </c>
      <c r="L2794" s="72">
        <v>40590</v>
      </c>
      <c r="M2794" s="73" t="s">
        <v>729</v>
      </c>
      <c r="N2794" s="74">
        <v>40599</v>
      </c>
      <c r="O2794" s="75">
        <f t="shared" si="641"/>
        <v>40599</v>
      </c>
      <c r="P2794" s="2765" t="s">
        <v>2077</v>
      </c>
      <c r="Q2794" s="2954">
        <v>100.54</v>
      </c>
      <c r="R2794" s="76"/>
      <c r="S2794" s="1945" t="s">
        <v>731</v>
      </c>
      <c r="T2794" s="77"/>
      <c r="U2794" s="1893"/>
      <c r="V2794" s="2079">
        <f t="shared" si="645"/>
        <v>118.63720000000001</v>
      </c>
      <c r="W2794" s="78">
        <f t="shared" si="646"/>
        <v>0</v>
      </c>
      <c r="X2794" s="1878" t="str">
        <f t="shared" si="644"/>
        <v xml:space="preserve">19.- C Lima Caucho 1081107-OT_146192  Reencauche 030-0010478 </v>
      </c>
      <c r="Z2794" s="19" t="str">
        <f t="shared" si="640"/>
        <v>ReencaucheReencauchadora RENOVA</v>
      </c>
    </row>
    <row r="2795" spans="2:26" outlineLevel="1">
      <c r="B2795" s="3269"/>
      <c r="C2795" s="2">
        <f t="shared" si="642"/>
        <v>43</v>
      </c>
      <c r="D2795" s="3">
        <f t="shared" si="643"/>
        <v>14</v>
      </c>
      <c r="E2795" s="66">
        <v>20</v>
      </c>
      <c r="F2795" s="67" t="s">
        <v>732</v>
      </c>
      <c r="G2795" s="68" t="s">
        <v>733</v>
      </c>
      <c r="H2795" s="69" t="s">
        <v>2087</v>
      </c>
      <c r="I2795" s="68" t="s">
        <v>726</v>
      </c>
      <c r="J2795" s="431" t="s">
        <v>760</v>
      </c>
      <c r="K2795" s="71" t="s">
        <v>2085</v>
      </c>
      <c r="L2795" s="72">
        <v>40590</v>
      </c>
      <c r="M2795" s="73" t="s">
        <v>729</v>
      </c>
      <c r="N2795" s="74">
        <v>40599</v>
      </c>
      <c r="O2795" s="75">
        <f t="shared" si="641"/>
        <v>40599</v>
      </c>
      <c r="P2795" s="2765" t="s">
        <v>2077</v>
      </c>
      <c r="Q2795" s="2954">
        <v>100.54</v>
      </c>
      <c r="R2795" s="76"/>
      <c r="S2795" s="1945" t="s">
        <v>731</v>
      </c>
      <c r="T2795" s="77"/>
      <c r="U2795" s="1893"/>
      <c r="V2795" s="2079">
        <f t="shared" si="645"/>
        <v>118.63720000000001</v>
      </c>
      <c r="W2795" s="78">
        <f t="shared" si="646"/>
        <v>0</v>
      </c>
      <c r="X2795" s="1878" t="str">
        <f t="shared" si="644"/>
        <v xml:space="preserve">20.- C Lima Caucho 0600708-OT_146192  Reencauche 030-0010478 </v>
      </c>
      <c r="Z2795" s="19" t="str">
        <f t="shared" si="640"/>
        <v>ReencaucheReencauchadora RENOVA</v>
      </c>
    </row>
    <row r="2796" spans="2:26" outlineLevel="1">
      <c r="B2796" s="3269"/>
      <c r="C2796" s="2">
        <f t="shared" si="642"/>
        <v>42</v>
      </c>
      <c r="D2796" s="3">
        <f t="shared" si="643"/>
        <v>13</v>
      </c>
      <c r="E2796" s="66">
        <v>21</v>
      </c>
      <c r="F2796" s="67" t="s">
        <v>732</v>
      </c>
      <c r="G2796" s="68" t="s">
        <v>733</v>
      </c>
      <c r="H2796" s="69" t="s">
        <v>1665</v>
      </c>
      <c r="I2796" s="68" t="s">
        <v>726</v>
      </c>
      <c r="J2796" s="431" t="s">
        <v>760</v>
      </c>
      <c r="K2796" s="71" t="s">
        <v>2085</v>
      </c>
      <c r="L2796" s="72">
        <v>40590</v>
      </c>
      <c r="M2796" s="73" t="s">
        <v>729</v>
      </c>
      <c r="N2796" s="74">
        <v>40599</v>
      </c>
      <c r="O2796" s="75">
        <f t="shared" si="641"/>
        <v>40599</v>
      </c>
      <c r="P2796" s="2765" t="s">
        <v>2077</v>
      </c>
      <c r="Q2796" s="2954">
        <v>100.54</v>
      </c>
      <c r="R2796" s="76"/>
      <c r="S2796" s="1945" t="s">
        <v>731</v>
      </c>
      <c r="T2796" s="77"/>
      <c r="U2796" s="1893"/>
      <c r="V2796" s="2079">
        <f t="shared" si="645"/>
        <v>118.63720000000001</v>
      </c>
      <c r="W2796" s="78">
        <f t="shared" si="646"/>
        <v>0</v>
      </c>
      <c r="X2796" s="1878" t="str">
        <f t="shared" si="644"/>
        <v xml:space="preserve">21.- C Lima Caucho 0160108-OT_146192  Reencauche 030-0010478 </v>
      </c>
      <c r="Z2796" s="19" t="str">
        <f t="shared" si="640"/>
        <v>ReencaucheReencauchadora RENOVA</v>
      </c>
    </row>
    <row r="2797" spans="2:26" outlineLevel="1">
      <c r="B2797" s="3269"/>
      <c r="C2797" s="2">
        <f t="shared" si="642"/>
        <v>41</v>
      </c>
      <c r="D2797" s="3">
        <f t="shared" si="643"/>
        <v>12</v>
      </c>
      <c r="E2797" s="66">
        <v>22</v>
      </c>
      <c r="F2797" s="67" t="s">
        <v>732</v>
      </c>
      <c r="G2797" s="68" t="s">
        <v>733</v>
      </c>
      <c r="H2797" s="69" t="s">
        <v>2088</v>
      </c>
      <c r="I2797" s="68" t="s">
        <v>726</v>
      </c>
      <c r="J2797" s="431" t="s">
        <v>760</v>
      </c>
      <c r="K2797" s="71" t="s">
        <v>2085</v>
      </c>
      <c r="L2797" s="72">
        <v>40590</v>
      </c>
      <c r="M2797" s="73" t="s">
        <v>729</v>
      </c>
      <c r="N2797" s="74">
        <v>40599</v>
      </c>
      <c r="O2797" s="75">
        <f t="shared" si="641"/>
        <v>40599</v>
      </c>
      <c r="P2797" s="2765" t="s">
        <v>2077</v>
      </c>
      <c r="Q2797" s="2954">
        <v>100.54</v>
      </c>
      <c r="R2797" s="76"/>
      <c r="S2797" s="1945" t="s">
        <v>731</v>
      </c>
      <c r="T2797" s="77"/>
      <c r="U2797" s="1893"/>
      <c r="V2797" s="2079">
        <f t="shared" si="645"/>
        <v>118.63720000000001</v>
      </c>
      <c r="W2797" s="78">
        <f t="shared" si="646"/>
        <v>0</v>
      </c>
      <c r="X2797" s="1878" t="str">
        <f t="shared" si="644"/>
        <v xml:space="preserve">22.- C Lima Caucho 0430608-OT_146192  Reencauche 030-0010478 </v>
      </c>
      <c r="Z2797" s="19" t="str">
        <f t="shared" si="640"/>
        <v/>
      </c>
    </row>
    <row r="2798" spans="2:26" outlineLevel="1">
      <c r="B2798" s="3269"/>
      <c r="C2798" s="2">
        <f t="shared" si="642"/>
        <v>40</v>
      </c>
      <c r="D2798" s="3">
        <f t="shared" si="643"/>
        <v>11</v>
      </c>
      <c r="E2798" s="66">
        <v>23</v>
      </c>
      <c r="F2798" s="67" t="s">
        <v>732</v>
      </c>
      <c r="G2798" s="68" t="s">
        <v>733</v>
      </c>
      <c r="H2798" s="69" t="s">
        <v>2089</v>
      </c>
      <c r="I2798" s="68" t="s">
        <v>726</v>
      </c>
      <c r="J2798" s="431" t="s">
        <v>760</v>
      </c>
      <c r="K2798" s="71" t="s">
        <v>2085</v>
      </c>
      <c r="L2798" s="72">
        <v>40590</v>
      </c>
      <c r="M2798" s="73" t="s">
        <v>729</v>
      </c>
      <c r="N2798" s="74">
        <v>40599</v>
      </c>
      <c r="O2798" s="75">
        <f t="shared" si="641"/>
        <v>40599</v>
      </c>
      <c r="P2798" s="2765" t="s">
        <v>2077</v>
      </c>
      <c r="Q2798" s="2954">
        <v>100.54</v>
      </c>
      <c r="R2798" s="76"/>
      <c r="S2798" s="1945" t="s">
        <v>731</v>
      </c>
      <c r="T2798" s="77"/>
      <c r="U2798" s="1893"/>
      <c r="V2798" s="2079">
        <f t="shared" si="645"/>
        <v>118.63720000000001</v>
      </c>
      <c r="W2798" s="78">
        <f t="shared" si="646"/>
        <v>0</v>
      </c>
      <c r="X2798" s="1878" t="str">
        <f t="shared" si="644"/>
        <v xml:space="preserve">23.- C Lima Caucho 1481207-OT_146192  Reencauche 030-0010478 </v>
      </c>
      <c r="Z2798" s="19" t="str">
        <f t="shared" si="640"/>
        <v/>
      </c>
    </row>
    <row r="2799" spans="2:26" outlineLevel="1">
      <c r="B2799" s="3269"/>
      <c r="C2799" s="2">
        <f>1+C2803</f>
        <v>39</v>
      </c>
      <c r="D2799" s="3">
        <f>1+D2803</f>
        <v>10</v>
      </c>
      <c r="E2799" s="66">
        <v>24</v>
      </c>
      <c r="F2799" s="67" t="s">
        <v>732</v>
      </c>
      <c r="G2799" s="68" t="s">
        <v>769</v>
      </c>
      <c r="H2799" s="69" t="s">
        <v>2090</v>
      </c>
      <c r="I2799" s="68" t="s">
        <v>726</v>
      </c>
      <c r="J2799" s="431" t="s">
        <v>760</v>
      </c>
      <c r="K2799" s="71" t="s">
        <v>2085</v>
      </c>
      <c r="L2799" s="72">
        <v>40590</v>
      </c>
      <c r="M2799" s="73" t="s">
        <v>729</v>
      </c>
      <c r="N2799" s="74">
        <v>40599</v>
      </c>
      <c r="O2799" s="75">
        <f t="shared" si="641"/>
        <v>40599</v>
      </c>
      <c r="P2799" s="2765" t="s">
        <v>2077</v>
      </c>
      <c r="Q2799" s="2954">
        <v>100.54</v>
      </c>
      <c r="R2799" s="76"/>
      <c r="S2799" s="1945" t="s">
        <v>731</v>
      </c>
      <c r="T2799" s="77"/>
      <c r="U2799" s="1893"/>
      <c r="V2799" s="2079">
        <f t="shared" si="645"/>
        <v>118.63720000000001</v>
      </c>
      <c r="W2799" s="78">
        <f t="shared" si="646"/>
        <v>0</v>
      </c>
      <c r="X2799" s="1878" t="str">
        <f t="shared" si="644"/>
        <v xml:space="preserve">24.- C Lu He 0370209-OT_146192  Reencauche 030-0010478 </v>
      </c>
      <c r="Z2799" s="19" t="str">
        <f t="shared" si="640"/>
        <v/>
      </c>
    </row>
    <row r="2800" spans="2:26" outlineLevel="1">
      <c r="B2800" s="3269"/>
      <c r="E2800" s="66">
        <v>25</v>
      </c>
      <c r="F2800" s="67" t="s">
        <v>732</v>
      </c>
      <c r="G2800" s="290" t="s">
        <v>757</v>
      </c>
      <c r="H2800" s="289" t="s">
        <v>2091</v>
      </c>
      <c r="I2800" s="290"/>
      <c r="J2800" s="407"/>
      <c r="K2800" s="292" t="s">
        <v>2083</v>
      </c>
      <c r="L2800" s="293">
        <v>40590</v>
      </c>
      <c r="M2800" s="294" t="s">
        <v>1815</v>
      </c>
      <c r="N2800" s="295">
        <v>40599</v>
      </c>
      <c r="O2800" s="296">
        <f t="shared" si="641"/>
        <v>40599</v>
      </c>
      <c r="P2800" s="2795" t="s">
        <v>2077</v>
      </c>
      <c r="Q2800" s="2976">
        <v>0</v>
      </c>
      <c r="R2800" s="286"/>
      <c r="S2800" s="1962" t="s">
        <v>731</v>
      </c>
      <c r="T2800" s="274" t="s">
        <v>1617</v>
      </c>
      <c r="U2800" s="1895"/>
      <c r="V2800" s="2079">
        <f t="shared" si="645"/>
        <v>0</v>
      </c>
      <c r="W2800" s="78">
        <f t="shared" si="646"/>
        <v>0</v>
      </c>
      <c r="X2800" s="1878" t="str">
        <f t="shared" si="644"/>
        <v>25.- C Goodyear 037082003-OT_146189   030-0010478  Llanta Rechazada, no se facturo</v>
      </c>
      <c r="Z2800" s="19" t="str">
        <f t="shared" si="640"/>
        <v>Transpl BandaAMC Llantas</v>
      </c>
    </row>
    <row r="2801" spans="2:27" outlineLevel="1">
      <c r="B2801" s="3269"/>
      <c r="E2801" s="66">
        <v>26</v>
      </c>
      <c r="F2801" s="67" t="s">
        <v>732</v>
      </c>
      <c r="G2801" s="290" t="s">
        <v>757</v>
      </c>
      <c r="H2801" s="289" t="s">
        <v>1615</v>
      </c>
      <c r="I2801" s="290"/>
      <c r="J2801" s="407"/>
      <c r="K2801" s="292" t="s">
        <v>2083</v>
      </c>
      <c r="L2801" s="293">
        <v>40590</v>
      </c>
      <c r="M2801" s="294" t="s">
        <v>1815</v>
      </c>
      <c r="N2801" s="295">
        <v>40599</v>
      </c>
      <c r="O2801" s="296">
        <f t="shared" si="641"/>
        <v>40599</v>
      </c>
      <c r="P2801" s="2795" t="s">
        <v>2077</v>
      </c>
      <c r="Q2801" s="2976">
        <v>0</v>
      </c>
      <c r="R2801" s="286"/>
      <c r="S2801" s="1962" t="s">
        <v>731</v>
      </c>
      <c r="T2801" s="274" t="s">
        <v>1617</v>
      </c>
      <c r="U2801" s="1895"/>
      <c r="V2801" s="2079">
        <f t="shared" si="645"/>
        <v>0</v>
      </c>
      <c r="W2801" s="78">
        <f t="shared" si="646"/>
        <v>0</v>
      </c>
      <c r="X2801" s="1878" t="str">
        <f t="shared" si="644"/>
        <v>26.- C Goodyear 0531001-OT_146189   030-0010478  Llanta Rechazada, no se facturo</v>
      </c>
      <c r="Z2801" s="19" t="str">
        <f t="shared" si="640"/>
        <v>Sacar_BandaAMC Llantas</v>
      </c>
    </row>
    <row r="2802" spans="2:27" outlineLevel="1">
      <c r="B2802" s="3269"/>
      <c r="E2802" s="79">
        <v>27</v>
      </c>
      <c r="F2802" s="80" t="s">
        <v>732</v>
      </c>
      <c r="G2802" s="319" t="s">
        <v>757</v>
      </c>
      <c r="H2802" s="320" t="s">
        <v>2092</v>
      </c>
      <c r="I2802" s="319"/>
      <c r="J2802" s="432"/>
      <c r="K2802" s="322" t="s">
        <v>2083</v>
      </c>
      <c r="L2802" s="323">
        <v>40590</v>
      </c>
      <c r="M2802" s="324" t="s">
        <v>1815</v>
      </c>
      <c r="N2802" s="325">
        <v>40599</v>
      </c>
      <c r="O2802" s="326">
        <f t="shared" si="641"/>
        <v>40599</v>
      </c>
      <c r="P2802" s="2797" t="s">
        <v>2077</v>
      </c>
      <c r="Q2802" s="2978">
        <v>0</v>
      </c>
      <c r="R2802" s="327"/>
      <c r="S2802" s="1964" t="s">
        <v>731</v>
      </c>
      <c r="T2802" s="274" t="s">
        <v>1617</v>
      </c>
      <c r="U2802" s="1895"/>
      <c r="V2802" s="2079">
        <f t="shared" si="645"/>
        <v>0</v>
      </c>
      <c r="W2802" s="78">
        <f t="shared" si="646"/>
        <v>0</v>
      </c>
      <c r="X2802" s="1878" t="str">
        <f t="shared" si="644"/>
        <v>27.- C Goodyear 0320803-OT_146189   030-0010478  Llanta Rechazada, no se facturo</v>
      </c>
      <c r="Z2802" s="19" t="str">
        <f t="shared" si="640"/>
        <v>ReencaucheAMC Llantas</v>
      </c>
    </row>
    <row r="2803" spans="2:27" outlineLevel="1">
      <c r="B2803" s="3269"/>
      <c r="C2803" s="2">
        <f>1+C2805</f>
        <v>38</v>
      </c>
      <c r="D2803" s="3">
        <f>1+D2805</f>
        <v>9</v>
      </c>
      <c r="E2803" s="346">
        <v>1</v>
      </c>
      <c r="F2803" s="67" t="s">
        <v>732</v>
      </c>
      <c r="G2803" s="90" t="s">
        <v>733</v>
      </c>
      <c r="H2803" s="91" t="s">
        <v>1016</v>
      </c>
      <c r="I2803" s="90" t="s">
        <v>740</v>
      </c>
      <c r="J2803" s="92" t="s">
        <v>1961</v>
      </c>
      <c r="K2803" s="243" t="s">
        <v>2093</v>
      </c>
      <c r="L2803" s="244">
        <v>40589</v>
      </c>
      <c r="M2803" s="245" t="s">
        <v>729</v>
      </c>
      <c r="N2803" s="74">
        <v>40599</v>
      </c>
      <c r="O2803" s="75">
        <f t="shared" si="641"/>
        <v>40599</v>
      </c>
      <c r="P2803" s="2799" t="s">
        <v>2094</v>
      </c>
      <c r="Q2803" s="2954"/>
      <c r="R2803" s="248">
        <v>0</v>
      </c>
      <c r="S2803" s="1958" t="s">
        <v>731</v>
      </c>
      <c r="T2803" s="433" t="s">
        <v>3861</v>
      </c>
      <c r="U2803" s="1896"/>
      <c r="V2803" s="2079">
        <f t="shared" si="645"/>
        <v>0</v>
      </c>
      <c r="W2803" s="78">
        <f t="shared" si="646"/>
        <v>0</v>
      </c>
      <c r="X2803" s="1878" t="str">
        <f t="shared" si="644"/>
        <v>1.- C Lima Caucho 0210207-OT_000596  Transpl Banda 002-001458  Con banda transplntd 12mm  [ Goodyear - 018072003] (RECLAMO)</v>
      </c>
      <c r="Z2803" s="19" t="str">
        <f t="shared" si="640"/>
        <v>ReencaucheAMC Llantas</v>
      </c>
    </row>
    <row r="2804" spans="2:27" outlineLevel="1">
      <c r="B2804" s="3269"/>
      <c r="E2804" s="349">
        <v>2</v>
      </c>
      <c r="F2804" s="80" t="s">
        <v>732</v>
      </c>
      <c r="G2804" s="114" t="s">
        <v>757</v>
      </c>
      <c r="H2804" s="115" t="s">
        <v>2108</v>
      </c>
      <c r="I2804" s="114" t="s">
        <v>744</v>
      </c>
      <c r="J2804" s="93" t="s">
        <v>1961</v>
      </c>
      <c r="K2804" s="350" t="s">
        <v>2093</v>
      </c>
      <c r="L2804" s="351">
        <v>40589</v>
      </c>
      <c r="M2804" s="352" t="s">
        <v>729</v>
      </c>
      <c r="N2804" s="87">
        <v>40599</v>
      </c>
      <c r="O2804" s="88">
        <f t="shared" si="641"/>
        <v>40599</v>
      </c>
      <c r="P2804" s="2806" t="s">
        <v>2094</v>
      </c>
      <c r="Q2804" s="2955"/>
      <c r="R2804" s="353">
        <v>0</v>
      </c>
      <c r="S2804" s="1966" t="s">
        <v>731</v>
      </c>
      <c r="T2804" s="347" t="s">
        <v>3860</v>
      </c>
      <c r="U2804" s="1924"/>
      <c r="V2804" s="2079">
        <f t="shared" si="645"/>
        <v>0</v>
      </c>
      <c r="W2804" s="78">
        <f t="shared" si="646"/>
        <v>0</v>
      </c>
      <c r="X2804" s="1878" t="str">
        <f t="shared" si="644"/>
        <v>2.- C Goodyear 018072003-OT_000596  Sacar_Banda 002-001458 Casco sopld falla en casco, Rem 12mm, desechada</v>
      </c>
      <c r="Z2804" s="19" t="str">
        <f t="shared" si="640"/>
        <v>ReencaucheAMC Llantas</v>
      </c>
    </row>
    <row r="2805" spans="2:27" outlineLevel="1">
      <c r="B2805" s="3269"/>
      <c r="C2805" s="2">
        <f t="shared" ref="C2805:D2811" si="647">1+C2806</f>
        <v>37</v>
      </c>
      <c r="D2805" s="3">
        <f t="shared" si="647"/>
        <v>8</v>
      </c>
      <c r="E2805" s="66">
        <v>1</v>
      </c>
      <c r="F2805" s="67" t="s">
        <v>732</v>
      </c>
      <c r="G2805" s="68" t="s">
        <v>733</v>
      </c>
      <c r="H2805" s="69" t="s">
        <v>2113</v>
      </c>
      <c r="I2805" s="68" t="s">
        <v>726</v>
      </c>
      <c r="J2805" s="70" t="s">
        <v>1961</v>
      </c>
      <c r="K2805" s="71" t="s">
        <v>2114</v>
      </c>
      <c r="L2805" s="72">
        <v>40585</v>
      </c>
      <c r="M2805" s="73" t="s">
        <v>729</v>
      </c>
      <c r="N2805" s="74">
        <v>40599</v>
      </c>
      <c r="O2805" s="75">
        <f t="shared" si="641"/>
        <v>40599</v>
      </c>
      <c r="P2805" s="2765" t="s">
        <v>2094</v>
      </c>
      <c r="Q2805" s="2954"/>
      <c r="R2805" s="76">
        <f t="shared" ref="R2805:R2812" si="648">327/(1.19)</f>
        <v>274.78991596638656</v>
      </c>
      <c r="S2805" s="1945" t="s">
        <v>731</v>
      </c>
      <c r="T2805" s="77"/>
      <c r="U2805" s="1893"/>
      <c r="V2805" s="2079">
        <f t="shared" si="645"/>
        <v>0</v>
      </c>
      <c r="W2805" s="78">
        <f t="shared" si="646"/>
        <v>324.25210084033614</v>
      </c>
      <c r="X2805" s="1878" t="str">
        <f t="shared" si="644"/>
        <v xml:space="preserve">1.- C Lima Caucho 0500807-OT_000593  Reencauche 002-001458 </v>
      </c>
      <c r="Z2805" s="19" t="str">
        <f t="shared" si="640"/>
        <v>ReencaucheAMC Llantas</v>
      </c>
    </row>
    <row r="2806" spans="2:27" outlineLevel="1">
      <c r="B2806" s="3269"/>
      <c r="C2806" s="2">
        <f t="shared" si="647"/>
        <v>36</v>
      </c>
      <c r="D2806" s="3">
        <f t="shared" si="647"/>
        <v>7</v>
      </c>
      <c r="E2806" s="66">
        <v>3</v>
      </c>
      <c r="F2806" s="67" t="s">
        <v>732</v>
      </c>
      <c r="G2806" s="68" t="s">
        <v>733</v>
      </c>
      <c r="H2806" s="69" t="s">
        <v>2115</v>
      </c>
      <c r="I2806" s="68" t="s">
        <v>726</v>
      </c>
      <c r="J2806" s="70" t="s">
        <v>1961</v>
      </c>
      <c r="K2806" s="71" t="s">
        <v>2114</v>
      </c>
      <c r="L2806" s="72">
        <v>40585</v>
      </c>
      <c r="M2806" s="73" t="s">
        <v>729</v>
      </c>
      <c r="N2806" s="74">
        <v>40599</v>
      </c>
      <c r="O2806" s="75">
        <f t="shared" si="641"/>
        <v>40599</v>
      </c>
      <c r="P2806" s="2765" t="s">
        <v>2094</v>
      </c>
      <c r="Q2806" s="2954"/>
      <c r="R2806" s="76">
        <f t="shared" si="648"/>
        <v>274.78991596638656</v>
      </c>
      <c r="S2806" s="1945" t="s">
        <v>731</v>
      </c>
      <c r="T2806" s="77"/>
      <c r="U2806" s="1893"/>
      <c r="V2806" s="2079">
        <f t="shared" si="645"/>
        <v>0</v>
      </c>
      <c r="W2806" s="78">
        <f t="shared" si="646"/>
        <v>324.25210084033614</v>
      </c>
      <c r="X2806" s="1878" t="str">
        <f t="shared" si="644"/>
        <v xml:space="preserve">3.- C Lima Caucho 0991107-OT_000593  Reencauche 002-001458 </v>
      </c>
      <c r="Z2806" s="19" t="str">
        <f t="shared" si="640"/>
        <v>ReencaucheAMC Llantas</v>
      </c>
    </row>
    <row r="2807" spans="2:27" outlineLevel="1">
      <c r="B2807" s="3269"/>
      <c r="C2807" s="2">
        <f t="shared" si="647"/>
        <v>35</v>
      </c>
      <c r="D2807" s="3">
        <f t="shared" si="647"/>
        <v>6</v>
      </c>
      <c r="E2807" s="66">
        <v>4</v>
      </c>
      <c r="F2807" s="67" t="s">
        <v>732</v>
      </c>
      <c r="G2807" s="68" t="s">
        <v>733</v>
      </c>
      <c r="H2807" s="69" t="s">
        <v>1220</v>
      </c>
      <c r="I2807" s="68" t="s">
        <v>726</v>
      </c>
      <c r="J2807" s="70" t="s">
        <v>1961</v>
      </c>
      <c r="K2807" s="71" t="s">
        <v>2114</v>
      </c>
      <c r="L2807" s="72">
        <v>40585</v>
      </c>
      <c r="M2807" s="73" t="s">
        <v>729</v>
      </c>
      <c r="N2807" s="74">
        <v>40599</v>
      </c>
      <c r="O2807" s="75">
        <f t="shared" si="641"/>
        <v>40599</v>
      </c>
      <c r="P2807" s="2765" t="s">
        <v>2094</v>
      </c>
      <c r="Q2807" s="2954"/>
      <c r="R2807" s="76">
        <f t="shared" si="648"/>
        <v>274.78991596638656</v>
      </c>
      <c r="S2807" s="1945" t="s">
        <v>731</v>
      </c>
      <c r="T2807" s="77"/>
      <c r="U2807" s="1893"/>
      <c r="V2807" s="2079">
        <f t="shared" si="645"/>
        <v>0</v>
      </c>
      <c r="W2807" s="78">
        <f t="shared" si="646"/>
        <v>324.25210084033614</v>
      </c>
      <c r="X2807" s="1878" t="str">
        <f t="shared" si="644"/>
        <v xml:space="preserve">4.- C Lima Caucho 1421207-OT_000593  Reencauche 002-001458 </v>
      </c>
      <c r="Z2807" s="19" t="str">
        <f t="shared" si="640"/>
        <v>ReencaucheAMC Llantas</v>
      </c>
    </row>
    <row r="2808" spans="2:27" outlineLevel="1">
      <c r="B2808" s="3269"/>
      <c r="C2808" s="2">
        <f t="shared" si="647"/>
        <v>34</v>
      </c>
      <c r="D2808" s="3">
        <f t="shared" si="647"/>
        <v>5</v>
      </c>
      <c r="E2808" s="66">
        <v>5</v>
      </c>
      <c r="F2808" s="67" t="s">
        <v>732</v>
      </c>
      <c r="G2808" s="68" t="s">
        <v>733</v>
      </c>
      <c r="H2808" s="69" t="s">
        <v>2116</v>
      </c>
      <c r="I2808" s="68" t="s">
        <v>726</v>
      </c>
      <c r="J2808" s="70" t="s">
        <v>1961</v>
      </c>
      <c r="K2808" s="71" t="s">
        <v>2114</v>
      </c>
      <c r="L2808" s="72">
        <v>40585</v>
      </c>
      <c r="M2808" s="73" t="s">
        <v>729</v>
      </c>
      <c r="N2808" s="74">
        <v>40599</v>
      </c>
      <c r="O2808" s="75">
        <f t="shared" si="641"/>
        <v>40599</v>
      </c>
      <c r="P2808" s="2765" t="s">
        <v>2094</v>
      </c>
      <c r="Q2808" s="2954"/>
      <c r="R2808" s="76">
        <f t="shared" si="648"/>
        <v>274.78991596638656</v>
      </c>
      <c r="S2808" s="1945" t="s">
        <v>731</v>
      </c>
      <c r="T2808" s="77"/>
      <c r="U2808" s="1893"/>
      <c r="V2808" s="2079">
        <f t="shared" si="645"/>
        <v>0</v>
      </c>
      <c r="W2808" s="78">
        <f t="shared" si="646"/>
        <v>324.25210084033614</v>
      </c>
      <c r="X2808" s="1878" t="str">
        <f t="shared" si="644"/>
        <v xml:space="preserve">5.- C Lima Caucho 0410608-OT_000593  Reencauche 002-001458 </v>
      </c>
      <c r="Z2808" s="19" t="str">
        <f t="shared" si="640"/>
        <v>ReencaucheAMC Llantas</v>
      </c>
    </row>
    <row r="2809" spans="2:27" outlineLevel="1">
      <c r="B2809" s="3269"/>
      <c r="C2809" s="2">
        <f t="shared" si="647"/>
        <v>33</v>
      </c>
      <c r="D2809" s="3">
        <f t="shared" si="647"/>
        <v>4</v>
      </c>
      <c r="E2809" s="66">
        <v>6</v>
      </c>
      <c r="F2809" s="67" t="s">
        <v>732</v>
      </c>
      <c r="G2809" s="68" t="s">
        <v>737</v>
      </c>
      <c r="H2809" s="69" t="s">
        <v>2117</v>
      </c>
      <c r="I2809" s="68" t="s">
        <v>726</v>
      </c>
      <c r="J2809" s="70" t="s">
        <v>1961</v>
      </c>
      <c r="K2809" s="71" t="s">
        <v>2114</v>
      </c>
      <c r="L2809" s="72">
        <v>40585</v>
      </c>
      <c r="M2809" s="73" t="s">
        <v>729</v>
      </c>
      <c r="N2809" s="74">
        <v>40599</v>
      </c>
      <c r="O2809" s="75">
        <f t="shared" si="641"/>
        <v>40599</v>
      </c>
      <c r="P2809" s="2765" t="s">
        <v>2094</v>
      </c>
      <c r="Q2809" s="2954"/>
      <c r="R2809" s="76">
        <f t="shared" si="648"/>
        <v>274.78991596638656</v>
      </c>
      <c r="S2809" s="1945" t="s">
        <v>731</v>
      </c>
      <c r="T2809" s="77"/>
      <c r="U2809" s="1893"/>
      <c r="V2809" s="2079">
        <f t="shared" si="645"/>
        <v>0</v>
      </c>
      <c r="W2809" s="78">
        <f t="shared" si="646"/>
        <v>324.25210084033614</v>
      </c>
      <c r="X2809" s="1878" t="str">
        <f t="shared" si="644"/>
        <v xml:space="preserve">6.- C Vikrant 0771009-OT_000593  Reencauche 002-001458 </v>
      </c>
      <c r="Z2809" s="19" t="str">
        <f t="shared" si="640"/>
        <v>ReencaucheAMC Llantas</v>
      </c>
    </row>
    <row r="2810" spans="2:27" outlineLevel="1">
      <c r="B2810" s="3269"/>
      <c r="C2810" s="2">
        <f t="shared" si="647"/>
        <v>32</v>
      </c>
      <c r="D2810" s="3">
        <f t="shared" si="647"/>
        <v>3</v>
      </c>
      <c r="E2810" s="66">
        <v>7</v>
      </c>
      <c r="F2810" s="67" t="s">
        <v>732</v>
      </c>
      <c r="G2810" s="68" t="s">
        <v>737</v>
      </c>
      <c r="H2810" s="69" t="s">
        <v>1146</v>
      </c>
      <c r="I2810" s="68" t="s">
        <v>726</v>
      </c>
      <c r="J2810" s="70" t="s">
        <v>1961</v>
      </c>
      <c r="K2810" s="71" t="s">
        <v>2114</v>
      </c>
      <c r="L2810" s="72">
        <v>40585</v>
      </c>
      <c r="M2810" s="73" t="s">
        <v>729</v>
      </c>
      <c r="N2810" s="74">
        <v>40599</v>
      </c>
      <c r="O2810" s="75">
        <f t="shared" si="641"/>
        <v>40599</v>
      </c>
      <c r="P2810" s="2765" t="s">
        <v>2094</v>
      </c>
      <c r="Q2810" s="2954"/>
      <c r="R2810" s="76">
        <f t="shared" si="648"/>
        <v>274.78991596638656</v>
      </c>
      <c r="S2810" s="1945" t="s">
        <v>731</v>
      </c>
      <c r="T2810" s="77"/>
      <c r="U2810" s="1893"/>
      <c r="V2810" s="2079">
        <f t="shared" si="645"/>
        <v>0</v>
      </c>
      <c r="W2810" s="78">
        <f t="shared" si="646"/>
        <v>324.25210084033614</v>
      </c>
      <c r="X2810" s="1878" t="str">
        <f t="shared" si="644"/>
        <v xml:space="preserve">7.- C Vikrant 1441105-OT_000593  Reencauche 002-001458 </v>
      </c>
      <c r="Z2810" s="19" t="str">
        <f t="shared" si="640"/>
        <v/>
      </c>
    </row>
    <row r="2811" spans="2:27" outlineLevel="1">
      <c r="B2811" s="3269"/>
      <c r="C2811" s="2">
        <f t="shared" si="647"/>
        <v>31</v>
      </c>
      <c r="D2811" s="3">
        <f t="shared" si="647"/>
        <v>2</v>
      </c>
      <c r="E2811" s="66">
        <v>8</v>
      </c>
      <c r="F2811" s="67" t="s">
        <v>732</v>
      </c>
      <c r="G2811" s="68" t="s">
        <v>737</v>
      </c>
      <c r="H2811" s="69" t="s">
        <v>787</v>
      </c>
      <c r="I2811" s="68" t="s">
        <v>726</v>
      </c>
      <c r="J2811" s="70" t="s">
        <v>1961</v>
      </c>
      <c r="K2811" s="71" t="s">
        <v>2114</v>
      </c>
      <c r="L2811" s="72">
        <v>40585</v>
      </c>
      <c r="M2811" s="73" t="s">
        <v>729</v>
      </c>
      <c r="N2811" s="74">
        <v>40599</v>
      </c>
      <c r="O2811" s="75">
        <f t="shared" si="641"/>
        <v>40599</v>
      </c>
      <c r="P2811" s="2765" t="s">
        <v>2094</v>
      </c>
      <c r="Q2811" s="2954"/>
      <c r="R2811" s="76">
        <f t="shared" si="648"/>
        <v>274.78991596638656</v>
      </c>
      <c r="S2811" s="1945" t="s">
        <v>731</v>
      </c>
      <c r="T2811" s="77"/>
      <c r="U2811" s="1893"/>
      <c r="V2811" s="2079">
        <f t="shared" si="645"/>
        <v>0</v>
      </c>
      <c r="W2811" s="78">
        <f t="shared" si="646"/>
        <v>324.25210084033614</v>
      </c>
      <c r="X2811" s="1884" t="str">
        <f t="shared" si="644"/>
        <v xml:space="preserve">8.- C Vikrant 0801007-OT_000593  Reencauche 002-001458 </v>
      </c>
      <c r="Y2811" s="435"/>
      <c r="Z2811" s="436" t="str">
        <f t="shared" si="640"/>
        <v/>
      </c>
      <c r="AA2811" s="437"/>
    </row>
    <row r="2812" spans="2:27">
      <c r="B2812" s="3269"/>
      <c r="C2812" s="2">
        <f>1+C2816</f>
        <v>30</v>
      </c>
      <c r="D2812" s="3">
        <v>1</v>
      </c>
      <c r="E2812" s="66">
        <v>9</v>
      </c>
      <c r="F2812" s="67" t="s">
        <v>732</v>
      </c>
      <c r="G2812" s="68" t="s">
        <v>733</v>
      </c>
      <c r="H2812" s="69" t="s">
        <v>890</v>
      </c>
      <c r="I2812" s="68" t="s">
        <v>726</v>
      </c>
      <c r="J2812" s="70" t="s">
        <v>1961</v>
      </c>
      <c r="K2812" s="71" t="s">
        <v>2114</v>
      </c>
      <c r="L2812" s="72">
        <v>40585</v>
      </c>
      <c r="M2812" s="73" t="s">
        <v>729</v>
      </c>
      <c r="N2812" s="74">
        <v>40599</v>
      </c>
      <c r="O2812" s="75">
        <f t="shared" si="641"/>
        <v>40599</v>
      </c>
      <c r="P2812" s="2765" t="s">
        <v>2094</v>
      </c>
      <c r="Q2812" s="2954"/>
      <c r="R2812" s="76">
        <f t="shared" si="648"/>
        <v>274.78991596638656</v>
      </c>
      <c r="S2812" s="1945" t="s">
        <v>731</v>
      </c>
      <c r="T2812" s="77"/>
      <c r="U2812" s="1893"/>
      <c r="V2812" s="2079">
        <f t="shared" si="645"/>
        <v>0</v>
      </c>
      <c r="W2812" s="78">
        <f t="shared" si="646"/>
        <v>324.25210084033614</v>
      </c>
      <c r="X2812" s="1878" t="str">
        <f t="shared" si="644"/>
        <v xml:space="preserve">9.- C Lima Caucho 0470707-OT_000593  Reencauche 002-001458 </v>
      </c>
      <c r="Z2812" s="369"/>
      <c r="AA2812" s="366"/>
    </row>
    <row r="2813" spans="2:27" outlineLevel="1">
      <c r="B2813" s="3269"/>
      <c r="E2813" s="406">
        <v>2</v>
      </c>
      <c r="F2813" s="573" t="s">
        <v>732</v>
      </c>
      <c r="G2813" s="290" t="s">
        <v>737</v>
      </c>
      <c r="H2813" s="289" t="s">
        <v>1031</v>
      </c>
      <c r="I2813" s="290"/>
      <c r="J2813" s="291"/>
      <c r="K2813" s="292" t="s">
        <v>2114</v>
      </c>
      <c r="L2813" s="293">
        <v>40585</v>
      </c>
      <c r="M2813" s="294" t="s">
        <v>1815</v>
      </c>
      <c r="N2813" s="295">
        <v>40599</v>
      </c>
      <c r="O2813" s="296">
        <f t="shared" si="641"/>
        <v>40599</v>
      </c>
      <c r="P2813" s="2795" t="s">
        <v>2094</v>
      </c>
      <c r="Q2813" s="2976"/>
      <c r="R2813" s="286">
        <v>0</v>
      </c>
      <c r="S2813" s="1962" t="s">
        <v>731</v>
      </c>
      <c r="T2813" s="274" t="s">
        <v>1617</v>
      </c>
      <c r="U2813" s="1895"/>
      <c r="V2813" s="2079">
        <f t="shared" si="645"/>
        <v>0</v>
      </c>
      <c r="W2813" s="78">
        <f t="shared" si="646"/>
        <v>0</v>
      </c>
      <c r="X2813" s="1878" t="str">
        <f t="shared" si="644"/>
        <v>2.- C Vikrant 0840505-OT_000593   002-001458  Llanta Rechazada, no se facturo</v>
      </c>
      <c r="Z2813" s="19" t="str">
        <f t="shared" ref="Z2813:Z2845" si="649">CONCATENATE(I2816,J2816)</f>
        <v>ReencaucheReencauchadora Espinoza</v>
      </c>
    </row>
    <row r="2814" spans="2:27" ht="15.75" outlineLevel="1" thickBot="1">
      <c r="B2814" s="3270"/>
      <c r="C2814" s="420"/>
      <c r="D2814" s="421"/>
      <c r="E2814" s="404">
        <v>10</v>
      </c>
      <c r="F2814" s="2054" t="s">
        <v>732</v>
      </c>
      <c r="G2814" s="311" t="s">
        <v>757</v>
      </c>
      <c r="H2814" s="310" t="s">
        <v>1926</v>
      </c>
      <c r="I2814" s="311"/>
      <c r="J2814" s="312"/>
      <c r="K2814" s="313" t="s">
        <v>2114</v>
      </c>
      <c r="L2814" s="314">
        <v>40585</v>
      </c>
      <c r="M2814" s="315" t="s">
        <v>1815</v>
      </c>
      <c r="N2814" s="316">
        <v>40599</v>
      </c>
      <c r="O2814" s="317">
        <f t="shared" si="641"/>
        <v>40599</v>
      </c>
      <c r="P2814" s="2796" t="s">
        <v>2094</v>
      </c>
      <c r="Q2814" s="2977"/>
      <c r="R2814" s="318">
        <v>0</v>
      </c>
      <c r="S2814" s="1963" t="s">
        <v>731</v>
      </c>
      <c r="T2814" s="434" t="s">
        <v>1617</v>
      </c>
      <c r="U2814" s="1895"/>
      <c r="V2814" s="2079">
        <f t="shared" si="645"/>
        <v>0</v>
      </c>
      <c r="W2814" s="78">
        <f t="shared" si="646"/>
        <v>0</v>
      </c>
      <c r="X2814" s="1878" t="str">
        <f t="shared" si="644"/>
        <v>10.- C Goodyear 0380302-OT_000593   002-001458  Llanta Rechazada, no se facturo</v>
      </c>
      <c r="Z2814" s="19" t="str">
        <f t="shared" si="649"/>
        <v>ReencaucheReencauchadora Espinoza</v>
      </c>
    </row>
    <row r="2815" spans="2:27" ht="15.75" outlineLevel="1" thickBot="1">
      <c r="B2815" s="3267">
        <f>+B2816</f>
        <v>40544</v>
      </c>
      <c r="C2815" s="3267"/>
      <c r="D2815" s="387">
        <f>+D2816</f>
        <v>29</v>
      </c>
      <c r="E2815" s="405"/>
      <c r="F2815" s="94"/>
      <c r="G2815" s="275"/>
      <c r="H2815" s="276"/>
      <c r="I2815" s="275"/>
      <c r="J2815" s="277"/>
      <c r="K2815" s="278"/>
      <c r="L2815" s="279"/>
      <c r="M2815" s="280"/>
      <c r="N2815" s="153"/>
      <c r="O2815" s="154"/>
      <c r="P2815" s="2794"/>
      <c r="Q2815" s="2959"/>
      <c r="R2815" s="281"/>
      <c r="S2815" s="1955"/>
      <c r="T2815" s="438"/>
      <c r="U2815" s="1898"/>
      <c r="V2815" s="2079">
        <f t="shared" si="645"/>
        <v>0</v>
      </c>
      <c r="W2815" s="78">
        <f t="shared" si="646"/>
        <v>0</v>
      </c>
      <c r="X2815" s="1878" t="str">
        <f t="shared" si="644"/>
        <v xml:space="preserve">.-   -OT_    </v>
      </c>
      <c r="Z2815" s="19" t="str">
        <f t="shared" si="649"/>
        <v>Sacar_BandaReencauchadora Espinoza</v>
      </c>
    </row>
    <row r="2816" spans="2:27" outlineLevel="1">
      <c r="B2816" s="3268">
        <v>40544</v>
      </c>
      <c r="C2816" s="2">
        <f>1+C2817</f>
        <v>29</v>
      </c>
      <c r="D2816" s="306">
        <f>1+D2817</f>
        <v>29</v>
      </c>
      <c r="E2816" s="66">
        <v>1</v>
      </c>
      <c r="F2816" s="67" t="s">
        <v>732</v>
      </c>
      <c r="G2816" s="68" t="s">
        <v>733</v>
      </c>
      <c r="H2816" s="69" t="s">
        <v>2118</v>
      </c>
      <c r="I2816" s="439" t="s">
        <v>726</v>
      </c>
      <c r="J2816" s="429" t="s">
        <v>1543</v>
      </c>
      <c r="K2816" s="71" t="s">
        <v>2120</v>
      </c>
      <c r="L2816" s="72">
        <v>40561</v>
      </c>
      <c r="M2816" s="73" t="s">
        <v>729</v>
      </c>
      <c r="N2816" s="74">
        <v>40567</v>
      </c>
      <c r="O2816" s="75">
        <f t="shared" ref="O2816:O2847" si="650">+N2816</f>
        <v>40567</v>
      </c>
      <c r="P2816" s="2765" t="s">
        <v>2121</v>
      </c>
      <c r="Q2816" s="2954"/>
      <c r="R2816" s="76">
        <f>300/(1.19)</f>
        <v>252.10084033613447</v>
      </c>
      <c r="S2816" s="1945" t="s">
        <v>731</v>
      </c>
      <c r="T2816" s="77"/>
      <c r="U2816" s="1893"/>
      <c r="V2816" s="2079">
        <f t="shared" si="645"/>
        <v>0</v>
      </c>
      <c r="W2816" s="78">
        <f t="shared" si="646"/>
        <v>297.47899159663865</v>
      </c>
      <c r="X2816" s="1884" t="str">
        <f t="shared" si="644"/>
        <v xml:space="preserve">1.- C Lima Caucho 1161107-OT_000440  Reencauche 001-000982 </v>
      </c>
      <c r="Y2816" s="435"/>
      <c r="Z2816" s="436" t="str">
        <f t="shared" si="649"/>
        <v>Transpl BandaReencauchadora Espinoza</v>
      </c>
      <c r="AA2816" s="437"/>
    </row>
    <row r="2817" spans="2:26" outlineLevel="1">
      <c r="B2817" s="3269"/>
      <c r="C2817" s="2">
        <f>1+C2819</f>
        <v>28</v>
      </c>
      <c r="D2817" s="3">
        <f>1+D2819</f>
        <v>28</v>
      </c>
      <c r="E2817" s="66">
        <v>2</v>
      </c>
      <c r="F2817" s="67" t="s">
        <v>732</v>
      </c>
      <c r="G2817" s="68" t="s">
        <v>733</v>
      </c>
      <c r="H2817" s="69" t="s">
        <v>2032</v>
      </c>
      <c r="I2817" s="439" t="s">
        <v>726</v>
      </c>
      <c r="J2817" s="429" t="s">
        <v>1543</v>
      </c>
      <c r="K2817" s="71" t="s">
        <v>2120</v>
      </c>
      <c r="L2817" s="72">
        <v>40561</v>
      </c>
      <c r="M2817" s="73" t="s">
        <v>729</v>
      </c>
      <c r="N2817" s="74">
        <v>40567</v>
      </c>
      <c r="O2817" s="75">
        <f t="shared" si="650"/>
        <v>40567</v>
      </c>
      <c r="P2817" s="2765" t="s">
        <v>2121</v>
      </c>
      <c r="Q2817" s="2954"/>
      <c r="R2817" s="76">
        <f>300/(1.19)</f>
        <v>252.10084033613447</v>
      </c>
      <c r="S2817" s="1945" t="s">
        <v>731</v>
      </c>
      <c r="T2817" s="77"/>
      <c r="U2817" s="1893"/>
      <c r="V2817" s="2079">
        <f t="shared" si="645"/>
        <v>0</v>
      </c>
      <c r="W2817" s="78">
        <f t="shared" si="646"/>
        <v>297.47899159663865</v>
      </c>
      <c r="X2817" s="1878" t="str">
        <f t="shared" si="644"/>
        <v xml:space="preserve">2.- C Lima Caucho 0660907-OT_000440  Reencauche 001-000982 </v>
      </c>
      <c r="Z2817" s="19" t="str">
        <f t="shared" si="649"/>
        <v>ReencaucheReencauchadora RENOVA</v>
      </c>
    </row>
    <row r="2818" spans="2:26" outlineLevel="1">
      <c r="B2818" s="3269"/>
      <c r="E2818" s="66">
        <v>3</v>
      </c>
      <c r="F2818" s="67" t="s">
        <v>732</v>
      </c>
      <c r="G2818" s="90" t="s">
        <v>737</v>
      </c>
      <c r="H2818" s="91" t="s">
        <v>2122</v>
      </c>
      <c r="I2818" s="440" t="s">
        <v>744</v>
      </c>
      <c r="J2818" s="441" t="s">
        <v>1543</v>
      </c>
      <c r="K2818" s="243" t="s">
        <v>2120</v>
      </c>
      <c r="L2818" s="244">
        <v>40561</v>
      </c>
      <c r="M2818" s="245" t="s">
        <v>729</v>
      </c>
      <c r="N2818" s="74">
        <v>40567</v>
      </c>
      <c r="O2818" s="75">
        <f t="shared" si="650"/>
        <v>40567</v>
      </c>
      <c r="P2818" s="2765" t="s">
        <v>2121</v>
      </c>
      <c r="Q2818" s="2954"/>
      <c r="R2818" s="248">
        <v>0</v>
      </c>
      <c r="S2818" s="1958" t="s">
        <v>731</v>
      </c>
      <c r="T2818" s="442" t="s">
        <v>2123</v>
      </c>
      <c r="U2818" s="1931"/>
      <c r="V2818" s="2079">
        <f t="shared" si="645"/>
        <v>0</v>
      </c>
      <c r="W2818" s="78">
        <f t="shared" si="646"/>
        <v>0</v>
      </c>
      <c r="X2818" s="1878" t="str">
        <f t="shared" si="644"/>
        <v>3.- C Vikrant 0841206-OT_000440  Sacar_Banda 001-000982 Casco soplado/volado, banda 12mm, desechada</v>
      </c>
      <c r="Z2818" s="19" t="str">
        <f t="shared" si="649"/>
        <v>ReencaucheReencauchadora RENOVA</v>
      </c>
    </row>
    <row r="2819" spans="2:26" outlineLevel="1">
      <c r="B2819" s="3269"/>
      <c r="C2819" s="2">
        <f t="shared" ref="C2819:D2825" si="651">1+C2820</f>
        <v>27</v>
      </c>
      <c r="D2819" s="3">
        <f t="shared" si="651"/>
        <v>27</v>
      </c>
      <c r="E2819" s="79">
        <v>4</v>
      </c>
      <c r="F2819" s="80" t="s">
        <v>732</v>
      </c>
      <c r="G2819" s="114" t="s">
        <v>733</v>
      </c>
      <c r="H2819" s="115" t="s">
        <v>2124</v>
      </c>
      <c r="I2819" s="443" t="s">
        <v>740</v>
      </c>
      <c r="J2819" s="412" t="s">
        <v>1543</v>
      </c>
      <c r="K2819" s="350" t="s">
        <v>2120</v>
      </c>
      <c r="L2819" s="351">
        <v>40561</v>
      </c>
      <c r="M2819" s="352" t="s">
        <v>729</v>
      </c>
      <c r="N2819" s="87">
        <v>40567</v>
      </c>
      <c r="O2819" s="88">
        <f t="shared" si="650"/>
        <v>40567</v>
      </c>
      <c r="P2819" s="2784" t="s">
        <v>2121</v>
      </c>
      <c r="Q2819" s="2955"/>
      <c r="R2819" s="353">
        <f>150/(1.19)</f>
        <v>126.05042016806723</v>
      </c>
      <c r="S2819" s="1966" t="s">
        <v>731</v>
      </c>
      <c r="T2819" s="433" t="s">
        <v>2125</v>
      </c>
      <c r="U2819" s="1896"/>
      <c r="V2819" s="2079">
        <f t="shared" si="645"/>
        <v>0</v>
      </c>
      <c r="W2819" s="78">
        <f t="shared" si="646"/>
        <v>148.73949579831933</v>
      </c>
      <c r="X2819" s="1878" t="str">
        <f t="shared" si="644"/>
        <v>4.- C Lima Caucho 0820908-OT_000440  Transpl Banda 001-000982  Con banda transplantada  en 12mm  [ Vikrant - 0841206]</v>
      </c>
      <c r="Z2819" s="19" t="str">
        <f t="shared" si="649"/>
        <v>ReencaucheReencauchadora RENOVA</v>
      </c>
    </row>
    <row r="2820" spans="2:26" outlineLevel="1">
      <c r="B2820" s="3269"/>
      <c r="C2820" s="2">
        <f t="shared" si="651"/>
        <v>26</v>
      </c>
      <c r="D2820" s="3">
        <f t="shared" si="651"/>
        <v>26</v>
      </c>
      <c r="E2820" s="66">
        <v>1</v>
      </c>
      <c r="F2820" s="67" t="s">
        <v>732</v>
      </c>
      <c r="G2820" s="68" t="s">
        <v>757</v>
      </c>
      <c r="H2820" s="69" t="s">
        <v>1678</v>
      </c>
      <c r="I2820" s="68" t="s">
        <v>726</v>
      </c>
      <c r="J2820" s="431" t="s">
        <v>760</v>
      </c>
      <c r="K2820" s="71" t="s">
        <v>2126</v>
      </c>
      <c r="L2820" s="72">
        <v>40558</v>
      </c>
      <c r="M2820" s="73" t="s">
        <v>729</v>
      </c>
      <c r="N2820" s="74">
        <v>40576</v>
      </c>
      <c r="O2820" s="75">
        <f t="shared" si="650"/>
        <v>40576</v>
      </c>
      <c r="P2820" s="2765" t="s">
        <v>2127</v>
      </c>
      <c r="Q2820" s="2954">
        <v>100.54</v>
      </c>
      <c r="R2820" s="76"/>
      <c r="S2820" s="1945" t="s">
        <v>731</v>
      </c>
      <c r="T2820" s="77"/>
      <c r="U2820" s="1893"/>
      <c r="V2820" s="2079">
        <f t="shared" si="645"/>
        <v>118.63720000000001</v>
      </c>
      <c r="W2820" s="78">
        <f t="shared" si="646"/>
        <v>0</v>
      </c>
      <c r="X2820" s="1878" t="str">
        <f t="shared" si="644"/>
        <v xml:space="preserve">1.- C Goodyear 029082003-OT_145108  Reencauche 030-0009899 </v>
      </c>
      <c r="Z2820" s="19" t="str">
        <f t="shared" si="649"/>
        <v>ReencaucheReencauchadora RENOVA</v>
      </c>
    </row>
    <row r="2821" spans="2:26" outlineLevel="1">
      <c r="B2821" s="3269"/>
      <c r="C2821" s="2">
        <f t="shared" si="651"/>
        <v>25</v>
      </c>
      <c r="D2821" s="3">
        <f t="shared" si="651"/>
        <v>25</v>
      </c>
      <c r="E2821" s="66">
        <v>2</v>
      </c>
      <c r="F2821" s="67" t="s">
        <v>732</v>
      </c>
      <c r="G2821" s="68" t="s">
        <v>757</v>
      </c>
      <c r="H2821" s="69" t="s">
        <v>2128</v>
      </c>
      <c r="I2821" s="68" t="s">
        <v>726</v>
      </c>
      <c r="J2821" s="431" t="s">
        <v>760</v>
      </c>
      <c r="K2821" s="71" t="s">
        <v>2126</v>
      </c>
      <c r="L2821" s="72">
        <v>40558</v>
      </c>
      <c r="M2821" s="73" t="s">
        <v>729</v>
      </c>
      <c r="N2821" s="74">
        <v>40576</v>
      </c>
      <c r="O2821" s="75">
        <f t="shared" si="650"/>
        <v>40576</v>
      </c>
      <c r="P2821" s="2765" t="s">
        <v>2127</v>
      </c>
      <c r="Q2821" s="2954">
        <v>100.54</v>
      </c>
      <c r="R2821" s="76"/>
      <c r="S2821" s="1945" t="s">
        <v>731</v>
      </c>
      <c r="T2821" s="77"/>
      <c r="U2821" s="1893"/>
      <c r="V2821" s="2079">
        <f t="shared" si="645"/>
        <v>118.63720000000001</v>
      </c>
      <c r="W2821" s="78">
        <f t="shared" si="646"/>
        <v>0</v>
      </c>
      <c r="X2821" s="1878" t="str">
        <f t="shared" si="644"/>
        <v xml:space="preserve">2.- C Goodyear 1961204-OT_145108  Reencauche 030-0009899 </v>
      </c>
      <c r="Z2821" s="19" t="str">
        <f t="shared" si="649"/>
        <v>ReencaucheReencauchadora RENOVA</v>
      </c>
    </row>
    <row r="2822" spans="2:26" outlineLevel="1">
      <c r="B2822" s="3269"/>
      <c r="C2822" s="2">
        <f t="shared" si="651"/>
        <v>24</v>
      </c>
      <c r="D2822" s="3">
        <f t="shared" si="651"/>
        <v>24</v>
      </c>
      <c r="E2822" s="66">
        <v>3</v>
      </c>
      <c r="F2822" s="67" t="s">
        <v>732</v>
      </c>
      <c r="G2822" s="68" t="s">
        <v>757</v>
      </c>
      <c r="H2822" s="69" t="s">
        <v>912</v>
      </c>
      <c r="I2822" s="68" t="s">
        <v>726</v>
      </c>
      <c r="J2822" s="431" t="s">
        <v>760</v>
      </c>
      <c r="K2822" s="71" t="s">
        <v>2126</v>
      </c>
      <c r="L2822" s="72">
        <v>40558</v>
      </c>
      <c r="M2822" s="73" t="s">
        <v>729</v>
      </c>
      <c r="N2822" s="74">
        <v>40576</v>
      </c>
      <c r="O2822" s="75">
        <f t="shared" si="650"/>
        <v>40576</v>
      </c>
      <c r="P2822" s="2765" t="s">
        <v>2127</v>
      </c>
      <c r="Q2822" s="2954">
        <v>100.54</v>
      </c>
      <c r="R2822" s="76"/>
      <c r="S2822" s="1945" t="s">
        <v>731</v>
      </c>
      <c r="T2822" s="77"/>
      <c r="U2822" s="1893"/>
      <c r="V2822" s="2079">
        <f t="shared" si="645"/>
        <v>118.63720000000001</v>
      </c>
      <c r="W2822" s="78">
        <f t="shared" si="646"/>
        <v>0</v>
      </c>
      <c r="X2822" s="1878" t="str">
        <f t="shared" si="644"/>
        <v xml:space="preserve">3.- C Goodyear 0150205-OT_145108  Reencauche 030-0009899 </v>
      </c>
      <c r="Z2822" s="19" t="str">
        <f t="shared" si="649"/>
        <v>ReencaucheReencauchadora RENOVA</v>
      </c>
    </row>
    <row r="2823" spans="2:26" outlineLevel="1">
      <c r="B2823" s="3269"/>
      <c r="C2823" s="2">
        <f t="shared" si="651"/>
        <v>23</v>
      </c>
      <c r="D2823" s="3">
        <f t="shared" si="651"/>
        <v>23</v>
      </c>
      <c r="E2823" s="66">
        <v>4</v>
      </c>
      <c r="F2823" s="67" t="s">
        <v>732</v>
      </c>
      <c r="G2823" s="68" t="s">
        <v>757</v>
      </c>
      <c r="H2823" s="69" t="s">
        <v>1025</v>
      </c>
      <c r="I2823" s="68" t="s">
        <v>726</v>
      </c>
      <c r="J2823" s="431" t="s">
        <v>760</v>
      </c>
      <c r="K2823" s="71" t="s">
        <v>2126</v>
      </c>
      <c r="L2823" s="72">
        <v>40558</v>
      </c>
      <c r="M2823" s="73" t="s">
        <v>729</v>
      </c>
      <c r="N2823" s="74">
        <v>40576</v>
      </c>
      <c r="O2823" s="75">
        <f t="shared" si="650"/>
        <v>40576</v>
      </c>
      <c r="P2823" s="2765" t="s">
        <v>2127</v>
      </c>
      <c r="Q2823" s="2954">
        <v>100.54</v>
      </c>
      <c r="R2823" s="76"/>
      <c r="S2823" s="1945" t="s">
        <v>731</v>
      </c>
      <c r="T2823" s="77"/>
      <c r="U2823" s="1893"/>
      <c r="V2823" s="2079">
        <f t="shared" si="645"/>
        <v>118.63720000000001</v>
      </c>
      <c r="W2823" s="78">
        <f t="shared" si="646"/>
        <v>0</v>
      </c>
      <c r="X2823" s="1878" t="str">
        <f t="shared" si="644"/>
        <v xml:space="preserve">4.- C Goodyear 1130704-OT_145108  Reencauche 030-0009899 </v>
      </c>
      <c r="Z2823" s="19" t="str">
        <f t="shared" si="649"/>
        <v>ReencaucheReencauchadora RENOVA</v>
      </c>
    </row>
    <row r="2824" spans="2:26" outlineLevel="1">
      <c r="B2824" s="3269"/>
      <c r="C2824" s="2">
        <f t="shared" si="651"/>
        <v>22</v>
      </c>
      <c r="D2824" s="3">
        <f t="shared" si="651"/>
        <v>22</v>
      </c>
      <c r="E2824" s="66">
        <v>5</v>
      </c>
      <c r="F2824" s="67" t="s">
        <v>732</v>
      </c>
      <c r="G2824" s="68" t="s">
        <v>733</v>
      </c>
      <c r="H2824" s="69" t="s">
        <v>1686</v>
      </c>
      <c r="I2824" s="68" t="s">
        <v>726</v>
      </c>
      <c r="J2824" s="431" t="s">
        <v>760</v>
      </c>
      <c r="K2824" s="71" t="s">
        <v>2126</v>
      </c>
      <c r="L2824" s="72">
        <v>40558</v>
      </c>
      <c r="M2824" s="73" t="s">
        <v>729</v>
      </c>
      <c r="N2824" s="74">
        <v>40576</v>
      </c>
      <c r="O2824" s="75">
        <f t="shared" si="650"/>
        <v>40576</v>
      </c>
      <c r="P2824" s="2765" t="s">
        <v>2127</v>
      </c>
      <c r="Q2824" s="2954">
        <v>100.54</v>
      </c>
      <c r="R2824" s="76"/>
      <c r="S2824" s="1945" t="s">
        <v>731</v>
      </c>
      <c r="T2824" s="77"/>
      <c r="U2824" s="1893"/>
      <c r="V2824" s="2079">
        <f t="shared" si="645"/>
        <v>118.63720000000001</v>
      </c>
      <c r="W2824" s="78">
        <f t="shared" si="646"/>
        <v>0</v>
      </c>
      <c r="X2824" s="1878" t="str">
        <f t="shared" si="644"/>
        <v xml:space="preserve">5.- C Lima Caucho 0040108-OT_145108  Reencauche 030-0009899 </v>
      </c>
      <c r="Z2824" s="19" t="str">
        <f t="shared" si="649"/>
        <v/>
      </c>
    </row>
    <row r="2825" spans="2:26" outlineLevel="1">
      <c r="B2825" s="3269"/>
      <c r="C2825" s="2">
        <f t="shared" si="651"/>
        <v>21</v>
      </c>
      <c r="D2825" s="3">
        <f t="shared" si="651"/>
        <v>21</v>
      </c>
      <c r="E2825" s="66">
        <v>6</v>
      </c>
      <c r="F2825" s="67" t="s">
        <v>732</v>
      </c>
      <c r="G2825" s="68" t="s">
        <v>733</v>
      </c>
      <c r="H2825" s="69" t="s">
        <v>1049</v>
      </c>
      <c r="I2825" s="68" t="s">
        <v>726</v>
      </c>
      <c r="J2825" s="431" t="s">
        <v>760</v>
      </c>
      <c r="K2825" s="71" t="s">
        <v>2126</v>
      </c>
      <c r="L2825" s="72">
        <v>40558</v>
      </c>
      <c r="M2825" s="73" t="s">
        <v>729</v>
      </c>
      <c r="N2825" s="74">
        <v>40576</v>
      </c>
      <c r="O2825" s="75">
        <f t="shared" si="650"/>
        <v>40576</v>
      </c>
      <c r="P2825" s="2765" t="s">
        <v>2127</v>
      </c>
      <c r="Q2825" s="2954">
        <v>100.54</v>
      </c>
      <c r="R2825" s="76"/>
      <c r="S2825" s="1945" t="s">
        <v>731</v>
      </c>
      <c r="T2825" s="77"/>
      <c r="U2825" s="1893"/>
      <c r="V2825" s="2079">
        <f t="shared" si="645"/>
        <v>118.63720000000001</v>
      </c>
      <c r="W2825" s="78">
        <f t="shared" si="646"/>
        <v>0</v>
      </c>
      <c r="X2825" s="1878" t="str">
        <f t="shared" si="644"/>
        <v xml:space="preserve">6.- C Lima Caucho 1001107-OT_145108  Reencauche 030-0009899 </v>
      </c>
      <c r="Z2825" s="19" t="str">
        <f t="shared" si="649"/>
        <v>ReencaucheReencauchadora RENOVA</v>
      </c>
    </row>
    <row r="2826" spans="2:26" outlineLevel="1">
      <c r="B2826" s="3269"/>
      <c r="C2826" s="2">
        <f>1+C2828</f>
        <v>20</v>
      </c>
      <c r="D2826" s="3">
        <f>1+D2828</f>
        <v>20</v>
      </c>
      <c r="E2826" s="66">
        <v>7</v>
      </c>
      <c r="F2826" s="67" t="s">
        <v>732</v>
      </c>
      <c r="G2826" s="68" t="s">
        <v>733</v>
      </c>
      <c r="H2826" s="69" t="s">
        <v>1469</v>
      </c>
      <c r="I2826" s="68" t="s">
        <v>726</v>
      </c>
      <c r="J2826" s="431" t="s">
        <v>760</v>
      </c>
      <c r="K2826" s="71" t="s">
        <v>2126</v>
      </c>
      <c r="L2826" s="72">
        <v>40558</v>
      </c>
      <c r="M2826" s="73" t="s">
        <v>729</v>
      </c>
      <c r="N2826" s="74">
        <v>40576</v>
      </c>
      <c r="O2826" s="75">
        <f t="shared" si="650"/>
        <v>40576</v>
      </c>
      <c r="P2826" s="2765" t="s">
        <v>2127</v>
      </c>
      <c r="Q2826" s="2954">
        <v>100.54</v>
      </c>
      <c r="R2826" s="76"/>
      <c r="S2826" s="1945" t="s">
        <v>731</v>
      </c>
      <c r="T2826" s="77"/>
      <c r="U2826" s="1893"/>
      <c r="V2826" s="2079">
        <f t="shared" si="645"/>
        <v>118.63720000000001</v>
      </c>
      <c r="W2826" s="78">
        <f t="shared" si="646"/>
        <v>0</v>
      </c>
      <c r="X2826" s="1878" t="str">
        <f t="shared" si="644"/>
        <v xml:space="preserve">7.- C Lima Caucho 0160207-OT_145108  Reencauche 030-0009899 </v>
      </c>
      <c r="Z2826" s="19" t="str">
        <f t="shared" si="649"/>
        <v>ReencaucheReencauchadora RENOVA</v>
      </c>
    </row>
    <row r="2827" spans="2:26" outlineLevel="1">
      <c r="B2827" s="3269"/>
      <c r="E2827" s="406">
        <v>8</v>
      </c>
      <c r="F2827" s="573" t="s">
        <v>732</v>
      </c>
      <c r="G2827" s="290" t="s">
        <v>733</v>
      </c>
      <c r="H2827" s="289" t="s">
        <v>2129</v>
      </c>
      <c r="I2827" s="290"/>
      <c r="J2827" s="407"/>
      <c r="K2827" s="292" t="s">
        <v>2126</v>
      </c>
      <c r="L2827" s="293">
        <v>40558</v>
      </c>
      <c r="M2827" s="294" t="s">
        <v>1815</v>
      </c>
      <c r="N2827" s="295">
        <v>40576</v>
      </c>
      <c r="O2827" s="296">
        <f t="shared" si="650"/>
        <v>40576</v>
      </c>
      <c r="P2827" s="2795" t="s">
        <v>2127</v>
      </c>
      <c r="Q2827" s="2976">
        <v>0</v>
      </c>
      <c r="R2827" s="286"/>
      <c r="S2827" s="1962" t="s">
        <v>731</v>
      </c>
      <c r="T2827" s="274" t="s">
        <v>1617</v>
      </c>
      <c r="U2827" s="1895"/>
      <c r="V2827" s="2079">
        <f t="shared" si="645"/>
        <v>0</v>
      </c>
      <c r="W2827" s="78">
        <f t="shared" si="646"/>
        <v>0</v>
      </c>
      <c r="X2827" s="1878" t="str">
        <f t="shared" si="644"/>
        <v>8.- C Lima Caucho 0190207-OT_145108   030-0009899  Llanta Rechazada, no se facturo</v>
      </c>
      <c r="Z2827" s="19" t="str">
        <f t="shared" si="649"/>
        <v>ReencaucheReencauchadora RENOVA</v>
      </c>
    </row>
    <row r="2828" spans="2:26" outlineLevel="1">
      <c r="B2828" s="3269"/>
      <c r="C2828" s="2">
        <f t="shared" ref="C2828:D2833" si="652">1+C2829</f>
        <v>19</v>
      </c>
      <c r="D2828" s="3">
        <f t="shared" si="652"/>
        <v>19</v>
      </c>
      <c r="E2828" s="66">
        <v>9</v>
      </c>
      <c r="F2828" s="67" t="s">
        <v>732</v>
      </c>
      <c r="G2828" s="68" t="s">
        <v>733</v>
      </c>
      <c r="H2828" s="69" t="s">
        <v>2130</v>
      </c>
      <c r="I2828" s="68" t="s">
        <v>726</v>
      </c>
      <c r="J2828" s="431" t="s">
        <v>760</v>
      </c>
      <c r="K2828" s="71" t="s">
        <v>2126</v>
      </c>
      <c r="L2828" s="72">
        <v>40558</v>
      </c>
      <c r="M2828" s="73" t="s">
        <v>729</v>
      </c>
      <c r="N2828" s="74">
        <v>40576</v>
      </c>
      <c r="O2828" s="75">
        <f t="shared" si="650"/>
        <v>40576</v>
      </c>
      <c r="P2828" s="2765" t="s">
        <v>2127</v>
      </c>
      <c r="Q2828" s="2954">
        <v>100.54</v>
      </c>
      <c r="R2828" s="76"/>
      <c r="S2828" s="1945" t="s">
        <v>731</v>
      </c>
      <c r="T2828" s="77"/>
      <c r="U2828" s="1893"/>
      <c r="V2828" s="2079">
        <f t="shared" si="645"/>
        <v>118.63720000000001</v>
      </c>
      <c r="W2828" s="78">
        <f t="shared" si="646"/>
        <v>0</v>
      </c>
      <c r="X2828" s="1878" t="str">
        <f t="shared" si="644"/>
        <v xml:space="preserve">9.- C Lima Caucho 0480707-OT_145108  Reencauche 030-0009899 </v>
      </c>
      <c r="Z2828" s="19" t="str">
        <f t="shared" si="649"/>
        <v>ReencaucheReencauchadora RENOVA</v>
      </c>
    </row>
    <row r="2829" spans="2:26" outlineLevel="1">
      <c r="B2829" s="3269"/>
      <c r="C2829" s="2">
        <f t="shared" si="652"/>
        <v>18</v>
      </c>
      <c r="D2829" s="3">
        <f t="shared" si="652"/>
        <v>18</v>
      </c>
      <c r="E2829" s="66">
        <v>10</v>
      </c>
      <c r="F2829" s="67" t="s">
        <v>732</v>
      </c>
      <c r="G2829" s="68" t="s">
        <v>733</v>
      </c>
      <c r="H2829" s="69" t="s">
        <v>985</v>
      </c>
      <c r="I2829" s="68" t="s">
        <v>726</v>
      </c>
      <c r="J2829" s="431" t="s">
        <v>760</v>
      </c>
      <c r="K2829" s="71" t="s">
        <v>2126</v>
      </c>
      <c r="L2829" s="72">
        <v>40558</v>
      </c>
      <c r="M2829" s="73" t="s">
        <v>729</v>
      </c>
      <c r="N2829" s="74">
        <v>40576</v>
      </c>
      <c r="O2829" s="75">
        <f t="shared" si="650"/>
        <v>40576</v>
      </c>
      <c r="P2829" s="2765" t="s">
        <v>2127</v>
      </c>
      <c r="Q2829" s="2954">
        <v>100.54</v>
      </c>
      <c r="R2829" s="76"/>
      <c r="S2829" s="1945" t="s">
        <v>731</v>
      </c>
      <c r="T2829" s="77"/>
      <c r="U2829" s="1893"/>
      <c r="V2829" s="2079">
        <f t="shared" si="645"/>
        <v>118.63720000000001</v>
      </c>
      <c r="W2829" s="78">
        <f t="shared" si="646"/>
        <v>0</v>
      </c>
      <c r="X2829" s="1878" t="str">
        <f t="shared" si="644"/>
        <v xml:space="preserve">10.- C Lima Caucho 0890908-OT_145108  Reencauche 030-0009899 </v>
      </c>
      <c r="Z2829" s="19" t="str">
        <f t="shared" si="649"/>
        <v>ReencaucheReencauchadora RENOVA</v>
      </c>
    </row>
    <row r="2830" spans="2:26" outlineLevel="1">
      <c r="B2830" s="3269"/>
      <c r="C2830" s="2">
        <f t="shared" si="652"/>
        <v>17</v>
      </c>
      <c r="D2830" s="3">
        <f t="shared" si="652"/>
        <v>17</v>
      </c>
      <c r="E2830" s="66">
        <v>11</v>
      </c>
      <c r="F2830" s="67" t="s">
        <v>732</v>
      </c>
      <c r="G2830" s="68" t="s">
        <v>737</v>
      </c>
      <c r="H2830" s="69" t="s">
        <v>2131</v>
      </c>
      <c r="I2830" s="68" t="s">
        <v>726</v>
      </c>
      <c r="J2830" s="431" t="s">
        <v>760</v>
      </c>
      <c r="K2830" s="71" t="s">
        <v>2132</v>
      </c>
      <c r="L2830" s="72">
        <v>40558</v>
      </c>
      <c r="M2830" s="73" t="s">
        <v>729</v>
      </c>
      <c r="N2830" s="74">
        <v>40576</v>
      </c>
      <c r="O2830" s="75">
        <f t="shared" si="650"/>
        <v>40576</v>
      </c>
      <c r="P2830" s="2765" t="s">
        <v>2127</v>
      </c>
      <c r="Q2830" s="2954">
        <v>100.54</v>
      </c>
      <c r="R2830" s="76"/>
      <c r="S2830" s="1945" t="s">
        <v>731</v>
      </c>
      <c r="T2830" s="77"/>
      <c r="U2830" s="1893"/>
      <c r="V2830" s="2079">
        <f t="shared" si="645"/>
        <v>118.63720000000001</v>
      </c>
      <c r="W2830" s="78">
        <f t="shared" si="646"/>
        <v>0</v>
      </c>
      <c r="X2830" s="1878" t="str">
        <f t="shared" si="644"/>
        <v xml:space="preserve">11.- C Vikrant 0851009-OT_145109  Reencauche 030-0009899 </v>
      </c>
      <c r="Z2830" s="19" t="str">
        <f t="shared" si="649"/>
        <v>ReencaucheReencauchadora RENOVA</v>
      </c>
    </row>
    <row r="2831" spans="2:26" outlineLevel="1">
      <c r="B2831" s="3269"/>
      <c r="C2831" s="2">
        <f t="shared" si="652"/>
        <v>16</v>
      </c>
      <c r="D2831" s="3">
        <f t="shared" si="652"/>
        <v>16</v>
      </c>
      <c r="E2831" s="66">
        <v>12</v>
      </c>
      <c r="F2831" s="67" t="s">
        <v>732</v>
      </c>
      <c r="G2831" s="68" t="s">
        <v>737</v>
      </c>
      <c r="H2831" s="69" t="s">
        <v>1705</v>
      </c>
      <c r="I2831" s="68" t="s">
        <v>726</v>
      </c>
      <c r="J2831" s="431" t="s">
        <v>760</v>
      </c>
      <c r="K2831" s="71" t="s">
        <v>2132</v>
      </c>
      <c r="L2831" s="72">
        <v>40558</v>
      </c>
      <c r="M2831" s="73" t="s">
        <v>729</v>
      </c>
      <c r="N2831" s="74">
        <v>40576</v>
      </c>
      <c r="O2831" s="75">
        <f t="shared" si="650"/>
        <v>40576</v>
      </c>
      <c r="P2831" s="2765" t="s">
        <v>2127</v>
      </c>
      <c r="Q2831" s="2954">
        <v>100.54</v>
      </c>
      <c r="R2831" s="76"/>
      <c r="S2831" s="1945" t="s">
        <v>731</v>
      </c>
      <c r="T2831" s="77"/>
      <c r="U2831" s="1893"/>
      <c r="V2831" s="2079">
        <f t="shared" si="645"/>
        <v>118.63720000000001</v>
      </c>
      <c r="W2831" s="78">
        <f t="shared" si="646"/>
        <v>0</v>
      </c>
      <c r="X2831" s="1878" t="str">
        <f t="shared" si="644"/>
        <v xml:space="preserve">12.- C Vikrant 0690809-OT_145109  Reencauche 030-0009899 </v>
      </c>
      <c r="Z2831" s="19" t="str">
        <f t="shared" si="649"/>
        <v>ReencaucheReencauchadora RENOVA</v>
      </c>
    </row>
    <row r="2832" spans="2:26" outlineLevel="1">
      <c r="B2832" s="3269"/>
      <c r="C2832" s="2">
        <f t="shared" si="652"/>
        <v>15</v>
      </c>
      <c r="D2832" s="3">
        <f t="shared" si="652"/>
        <v>15</v>
      </c>
      <c r="E2832" s="66">
        <v>13</v>
      </c>
      <c r="F2832" s="67" t="s">
        <v>732</v>
      </c>
      <c r="G2832" s="68" t="s">
        <v>737</v>
      </c>
      <c r="H2832" s="69" t="s">
        <v>1066</v>
      </c>
      <c r="I2832" s="68" t="s">
        <v>726</v>
      </c>
      <c r="J2832" s="431" t="s">
        <v>760</v>
      </c>
      <c r="K2832" s="71" t="s">
        <v>2132</v>
      </c>
      <c r="L2832" s="72">
        <v>40558</v>
      </c>
      <c r="M2832" s="73" t="s">
        <v>729</v>
      </c>
      <c r="N2832" s="74">
        <v>40576</v>
      </c>
      <c r="O2832" s="75">
        <f t="shared" si="650"/>
        <v>40576</v>
      </c>
      <c r="P2832" s="2765" t="s">
        <v>2127</v>
      </c>
      <c r="Q2832" s="2954">
        <v>100.54</v>
      </c>
      <c r="R2832" s="76"/>
      <c r="S2832" s="1945" t="s">
        <v>731</v>
      </c>
      <c r="T2832" s="77"/>
      <c r="U2832" s="1893"/>
      <c r="V2832" s="2079">
        <f t="shared" si="645"/>
        <v>118.63720000000001</v>
      </c>
      <c r="W2832" s="78">
        <f t="shared" si="646"/>
        <v>0</v>
      </c>
      <c r="X2832" s="1878" t="str">
        <f t="shared" si="644"/>
        <v xml:space="preserve">13.- C Vikrant 0670809-OT_145109  Reencauche 030-0009899 </v>
      </c>
      <c r="Z2832" s="19" t="str">
        <f t="shared" si="649"/>
        <v/>
      </c>
    </row>
    <row r="2833" spans="1:27" outlineLevel="1">
      <c r="B2833" s="3269"/>
      <c r="C2833" s="2">
        <f t="shared" si="652"/>
        <v>14</v>
      </c>
      <c r="D2833" s="3">
        <f t="shared" si="652"/>
        <v>14</v>
      </c>
      <c r="E2833" s="66">
        <v>14</v>
      </c>
      <c r="F2833" s="67" t="s">
        <v>732</v>
      </c>
      <c r="G2833" s="68" t="s">
        <v>737</v>
      </c>
      <c r="H2833" s="69" t="s">
        <v>1242</v>
      </c>
      <c r="I2833" s="68" t="s">
        <v>726</v>
      </c>
      <c r="J2833" s="431" t="s">
        <v>760</v>
      </c>
      <c r="K2833" s="71" t="s">
        <v>2132</v>
      </c>
      <c r="L2833" s="72">
        <v>40558</v>
      </c>
      <c r="M2833" s="73" t="s">
        <v>729</v>
      </c>
      <c r="N2833" s="74">
        <v>40576</v>
      </c>
      <c r="O2833" s="75">
        <f t="shared" si="650"/>
        <v>40576</v>
      </c>
      <c r="P2833" s="2765" t="s">
        <v>2127</v>
      </c>
      <c r="Q2833" s="2954">
        <v>100.54</v>
      </c>
      <c r="R2833" s="76"/>
      <c r="S2833" s="1945" t="s">
        <v>731</v>
      </c>
      <c r="T2833" s="77"/>
      <c r="U2833" s="1893"/>
      <c r="V2833" s="2079">
        <f t="shared" si="645"/>
        <v>118.63720000000001</v>
      </c>
      <c r="W2833" s="78">
        <f t="shared" si="646"/>
        <v>0</v>
      </c>
      <c r="X2833" s="1878" t="str">
        <f t="shared" si="644"/>
        <v xml:space="preserve">14.- C Vikrant 0080109-OT_145109  Reencauche 030-0009899 </v>
      </c>
      <c r="Z2833" s="19" t="str">
        <f t="shared" si="649"/>
        <v>ReencaucheReencauchadora RENOVA</v>
      </c>
    </row>
    <row r="2834" spans="1:27" outlineLevel="1">
      <c r="B2834" s="3269"/>
      <c r="C2834" s="2">
        <f>1+C2836</f>
        <v>13</v>
      </c>
      <c r="D2834" s="3">
        <f>+D2836+1</f>
        <v>13</v>
      </c>
      <c r="E2834" s="66">
        <v>15</v>
      </c>
      <c r="F2834" s="67" t="s">
        <v>732</v>
      </c>
      <c r="G2834" s="68" t="s">
        <v>737</v>
      </c>
      <c r="H2834" s="69" t="s">
        <v>958</v>
      </c>
      <c r="I2834" s="68" t="s">
        <v>726</v>
      </c>
      <c r="J2834" s="431" t="s">
        <v>760</v>
      </c>
      <c r="K2834" s="71" t="s">
        <v>2132</v>
      </c>
      <c r="L2834" s="72">
        <v>40558</v>
      </c>
      <c r="M2834" s="73" t="s">
        <v>729</v>
      </c>
      <c r="N2834" s="74">
        <v>40576</v>
      </c>
      <c r="O2834" s="75">
        <f t="shared" si="650"/>
        <v>40576</v>
      </c>
      <c r="P2834" s="2765" t="s">
        <v>2127</v>
      </c>
      <c r="Q2834" s="2954">
        <v>100.54</v>
      </c>
      <c r="R2834" s="76"/>
      <c r="S2834" s="1945" t="s">
        <v>731</v>
      </c>
      <c r="T2834" s="77"/>
      <c r="U2834" s="1893"/>
      <c r="V2834" s="2079">
        <f t="shared" si="645"/>
        <v>118.63720000000001</v>
      </c>
      <c r="W2834" s="78">
        <f t="shared" si="646"/>
        <v>0</v>
      </c>
      <c r="X2834" s="1884" t="str">
        <f t="shared" si="644"/>
        <v xml:space="preserve">15.- C Vikrant 0600709-OT_145109  Reencauche 030-0009899 </v>
      </c>
      <c r="Y2834" s="435"/>
      <c r="Z2834" s="436" t="str">
        <f t="shared" si="649"/>
        <v>ReencaucheReencauchadora RENOVA</v>
      </c>
      <c r="AA2834" s="437"/>
    </row>
    <row r="2835" spans="1:27" outlineLevel="1">
      <c r="B2835" s="3269"/>
      <c r="E2835" s="216">
        <v>16</v>
      </c>
      <c r="F2835" s="67" t="s">
        <v>732</v>
      </c>
      <c r="G2835" s="290" t="s">
        <v>1233</v>
      </c>
      <c r="H2835" s="289" t="s">
        <v>2133</v>
      </c>
      <c r="I2835" s="290"/>
      <c r="J2835" s="407"/>
      <c r="K2835" s="292" t="s">
        <v>2132</v>
      </c>
      <c r="L2835" s="293">
        <v>40558</v>
      </c>
      <c r="M2835" s="294" t="s">
        <v>1815</v>
      </c>
      <c r="N2835" s="295">
        <v>40576</v>
      </c>
      <c r="O2835" s="296">
        <f t="shared" si="650"/>
        <v>40576</v>
      </c>
      <c r="P2835" s="2795" t="s">
        <v>2127</v>
      </c>
      <c r="Q2835" s="2976">
        <v>0</v>
      </c>
      <c r="R2835" s="286"/>
      <c r="S2835" s="1962" t="s">
        <v>731</v>
      </c>
      <c r="T2835" s="274" t="s">
        <v>1617</v>
      </c>
      <c r="U2835" s="1895"/>
      <c r="V2835" s="2079">
        <f t="shared" si="645"/>
        <v>0</v>
      </c>
      <c r="W2835" s="78">
        <f t="shared" si="646"/>
        <v>0</v>
      </c>
      <c r="X2835" s="1878" t="str">
        <f t="shared" si="644"/>
        <v>16.- C Saratoga 0060306-OT_145109   030-0009899  Llanta Rechazada, no se facturo</v>
      </c>
      <c r="Z2835" s="19" t="str">
        <f t="shared" si="649"/>
        <v>ReencaucheAMC Llantas</v>
      </c>
    </row>
    <row r="2836" spans="1:27" outlineLevel="1">
      <c r="B2836" s="3269"/>
      <c r="C2836" s="2">
        <f t="shared" ref="C2836:C2846" si="653">1+C2837</f>
        <v>12</v>
      </c>
      <c r="D2836" s="3">
        <f t="shared" ref="D2836:D2846" si="654">1+D2837</f>
        <v>12</v>
      </c>
      <c r="E2836" s="66">
        <v>17</v>
      </c>
      <c r="F2836" s="67" t="s">
        <v>732</v>
      </c>
      <c r="G2836" s="68" t="s">
        <v>814</v>
      </c>
      <c r="H2836" s="69" t="s">
        <v>2134</v>
      </c>
      <c r="I2836" s="68" t="s">
        <v>726</v>
      </c>
      <c r="J2836" s="431" t="s">
        <v>760</v>
      </c>
      <c r="K2836" s="71" t="s">
        <v>2132</v>
      </c>
      <c r="L2836" s="72">
        <v>40558</v>
      </c>
      <c r="M2836" s="73" t="s">
        <v>729</v>
      </c>
      <c r="N2836" s="74">
        <v>40576</v>
      </c>
      <c r="O2836" s="75">
        <f t="shared" si="650"/>
        <v>40576</v>
      </c>
      <c r="P2836" s="2765" t="s">
        <v>2127</v>
      </c>
      <c r="Q2836" s="2954">
        <v>100.54</v>
      </c>
      <c r="R2836" s="76"/>
      <c r="S2836" s="1945" t="s">
        <v>731</v>
      </c>
      <c r="T2836" s="77"/>
      <c r="U2836" s="1893"/>
      <c r="V2836" s="2079">
        <f t="shared" si="645"/>
        <v>118.63720000000001</v>
      </c>
      <c r="W2836" s="78">
        <f t="shared" si="646"/>
        <v>0</v>
      </c>
      <c r="X2836" s="1878" t="str">
        <f t="shared" si="644"/>
        <v xml:space="preserve">17.- C Birla 0550706-OT_145109  Reencauche 030-0009899 </v>
      </c>
      <c r="Z2836" s="19" t="str">
        <f t="shared" si="649"/>
        <v>ReencaucheAMC Llantas</v>
      </c>
    </row>
    <row r="2837" spans="1:27" outlineLevel="1">
      <c r="B2837" s="3269"/>
      <c r="C2837" s="2">
        <f t="shared" si="653"/>
        <v>11</v>
      </c>
      <c r="D2837" s="3">
        <f t="shared" si="654"/>
        <v>11</v>
      </c>
      <c r="E2837" s="79">
        <v>18</v>
      </c>
      <c r="F2837" s="80" t="s">
        <v>732</v>
      </c>
      <c r="G2837" s="81" t="s">
        <v>778</v>
      </c>
      <c r="H2837" s="82" t="s">
        <v>841</v>
      </c>
      <c r="I2837" s="81" t="s">
        <v>726</v>
      </c>
      <c r="J2837" s="444" t="s">
        <v>760</v>
      </c>
      <c r="K2837" s="84" t="s">
        <v>2132</v>
      </c>
      <c r="L2837" s="85">
        <v>40558</v>
      </c>
      <c r="M2837" s="86" t="s">
        <v>729</v>
      </c>
      <c r="N2837" s="87">
        <v>40576</v>
      </c>
      <c r="O2837" s="88">
        <f t="shared" si="650"/>
        <v>40576</v>
      </c>
      <c r="P2837" s="2766" t="s">
        <v>2127</v>
      </c>
      <c r="Q2837" s="2955">
        <v>100.54</v>
      </c>
      <c r="R2837" s="89"/>
      <c r="S2837" s="1946" t="s">
        <v>731</v>
      </c>
      <c r="T2837" s="445"/>
      <c r="U2837" s="1893"/>
      <c r="V2837" s="2079">
        <f t="shared" si="645"/>
        <v>118.63720000000001</v>
      </c>
      <c r="W2837" s="78">
        <f t="shared" si="646"/>
        <v>0</v>
      </c>
      <c r="X2837" s="1878" t="str">
        <f t="shared" si="644"/>
        <v xml:space="preserve">18.- C Riverstone 1410904-OT_145109  Reencauche 030-0009899 </v>
      </c>
      <c r="Z2837" s="19" t="str">
        <f t="shared" si="649"/>
        <v>ReencaucheAMC Llantas</v>
      </c>
    </row>
    <row r="2838" spans="1:27" outlineLevel="1">
      <c r="B2838" s="3269"/>
      <c r="C2838" s="2">
        <f t="shared" si="653"/>
        <v>10</v>
      </c>
      <c r="D2838" s="3">
        <f t="shared" si="654"/>
        <v>10</v>
      </c>
      <c r="E2838" s="66">
        <v>1</v>
      </c>
      <c r="F2838" s="67" t="s">
        <v>732</v>
      </c>
      <c r="G2838" s="68" t="s">
        <v>1233</v>
      </c>
      <c r="H2838" s="69" t="s">
        <v>1234</v>
      </c>
      <c r="I2838" s="68" t="s">
        <v>726</v>
      </c>
      <c r="J2838" s="70" t="s">
        <v>1961</v>
      </c>
      <c r="K2838" s="71" t="s">
        <v>2135</v>
      </c>
      <c r="L2838" s="72">
        <v>40554</v>
      </c>
      <c r="M2838" s="73" t="s">
        <v>729</v>
      </c>
      <c r="N2838" s="74">
        <v>40563</v>
      </c>
      <c r="O2838" s="75">
        <f t="shared" si="650"/>
        <v>40563</v>
      </c>
      <c r="P2838" s="2765" t="s">
        <v>2136</v>
      </c>
      <c r="Q2838" s="2954"/>
      <c r="R2838" s="76">
        <f t="shared" ref="R2838:R2847" si="655">327/(1.19)</f>
        <v>274.78991596638656</v>
      </c>
      <c r="S2838" s="1945" t="s">
        <v>731</v>
      </c>
      <c r="T2838" s="77"/>
      <c r="U2838" s="1893"/>
      <c r="V2838" s="2079">
        <f t="shared" si="645"/>
        <v>0</v>
      </c>
      <c r="W2838" s="78">
        <f t="shared" si="646"/>
        <v>324.25210084033614</v>
      </c>
      <c r="X2838" s="1878" t="str">
        <f t="shared" si="644"/>
        <v xml:space="preserve">1.- C Saratoga 0090306-OT_00568  Reencauche 002-001448 </v>
      </c>
      <c r="Z2838" s="19" t="str">
        <f t="shared" si="649"/>
        <v>ReencaucheAMC Llantas</v>
      </c>
    </row>
    <row r="2839" spans="1:27" outlineLevel="1">
      <c r="B2839" s="3269"/>
      <c r="C2839" s="2">
        <f t="shared" si="653"/>
        <v>9</v>
      </c>
      <c r="D2839" s="3">
        <f t="shared" si="654"/>
        <v>9</v>
      </c>
      <c r="E2839" s="66">
        <v>2</v>
      </c>
      <c r="F2839" s="67" t="s">
        <v>732</v>
      </c>
      <c r="G2839" s="68" t="s">
        <v>757</v>
      </c>
      <c r="H2839" s="69" t="s">
        <v>2137</v>
      </c>
      <c r="I2839" s="68" t="s">
        <v>726</v>
      </c>
      <c r="J2839" s="70" t="s">
        <v>1961</v>
      </c>
      <c r="K2839" s="71" t="s">
        <v>2135</v>
      </c>
      <c r="L2839" s="72">
        <v>40554</v>
      </c>
      <c r="M2839" s="73" t="s">
        <v>729</v>
      </c>
      <c r="N2839" s="74">
        <v>40563</v>
      </c>
      <c r="O2839" s="75">
        <f t="shared" si="650"/>
        <v>40563</v>
      </c>
      <c r="P2839" s="2765" t="s">
        <v>2136</v>
      </c>
      <c r="Q2839" s="2954"/>
      <c r="R2839" s="76">
        <f t="shared" si="655"/>
        <v>274.78991596638656</v>
      </c>
      <c r="S2839" s="1945" t="s">
        <v>731</v>
      </c>
      <c r="T2839" s="77"/>
      <c r="U2839" s="1893"/>
      <c r="V2839" s="2079">
        <f t="shared" si="645"/>
        <v>0</v>
      </c>
      <c r="W2839" s="78">
        <f t="shared" si="646"/>
        <v>324.25210084033614</v>
      </c>
      <c r="X2839" s="1878" t="str">
        <f t="shared" si="644"/>
        <v xml:space="preserve">2.- C Goodyear 1260804-OT_00568  Reencauche 002-001448 </v>
      </c>
      <c r="Z2839" s="19" t="str">
        <f t="shared" si="649"/>
        <v>ReencaucheAMC Llantas</v>
      </c>
    </row>
    <row r="2840" spans="1:27" outlineLevel="1">
      <c r="B2840" s="3269"/>
      <c r="C2840" s="2">
        <f t="shared" si="653"/>
        <v>8</v>
      </c>
      <c r="D2840" s="3">
        <f t="shared" si="654"/>
        <v>8</v>
      </c>
      <c r="E2840" s="66">
        <v>3</v>
      </c>
      <c r="F2840" s="67" t="s">
        <v>732</v>
      </c>
      <c r="G2840" s="68" t="s">
        <v>757</v>
      </c>
      <c r="H2840" s="69" t="s">
        <v>1752</v>
      </c>
      <c r="I2840" s="68" t="s">
        <v>726</v>
      </c>
      <c r="J2840" s="70" t="s">
        <v>1961</v>
      </c>
      <c r="K2840" s="71" t="s">
        <v>2135</v>
      </c>
      <c r="L2840" s="72">
        <v>40554</v>
      </c>
      <c r="M2840" s="73" t="s">
        <v>729</v>
      </c>
      <c r="N2840" s="74">
        <v>40563</v>
      </c>
      <c r="O2840" s="75">
        <f t="shared" si="650"/>
        <v>40563</v>
      </c>
      <c r="P2840" s="2765" t="s">
        <v>2136</v>
      </c>
      <c r="Q2840" s="2954"/>
      <c r="R2840" s="76">
        <f t="shared" si="655"/>
        <v>274.78991596638656</v>
      </c>
      <c r="S2840" s="1945" t="s">
        <v>731</v>
      </c>
      <c r="T2840" s="77"/>
      <c r="U2840" s="1893"/>
      <c r="V2840" s="2079">
        <f t="shared" si="645"/>
        <v>0</v>
      </c>
      <c r="W2840" s="78">
        <f t="shared" si="646"/>
        <v>324.25210084033614</v>
      </c>
      <c r="X2840" s="1878" t="str">
        <f t="shared" si="644"/>
        <v xml:space="preserve">3.- C Goodyear 0430402-OT_00568  Reencauche 002-001448 </v>
      </c>
      <c r="Z2840" s="19" t="str">
        <f t="shared" si="649"/>
        <v>ReencaucheAMC Llantas</v>
      </c>
    </row>
    <row r="2841" spans="1:27" outlineLevel="1">
      <c r="B2841" s="3269"/>
      <c r="C2841" s="2">
        <f t="shared" si="653"/>
        <v>7</v>
      </c>
      <c r="D2841" s="3">
        <f t="shared" si="654"/>
        <v>7</v>
      </c>
      <c r="E2841" s="66">
        <v>4</v>
      </c>
      <c r="F2841" s="67" t="s">
        <v>732</v>
      </c>
      <c r="G2841" s="68" t="s">
        <v>737</v>
      </c>
      <c r="H2841" s="69" t="s">
        <v>2138</v>
      </c>
      <c r="I2841" s="68" t="s">
        <v>726</v>
      </c>
      <c r="J2841" s="70" t="s">
        <v>1961</v>
      </c>
      <c r="K2841" s="71" t="s">
        <v>2135</v>
      </c>
      <c r="L2841" s="72">
        <v>40554</v>
      </c>
      <c r="M2841" s="73" t="s">
        <v>729</v>
      </c>
      <c r="N2841" s="74">
        <v>40563</v>
      </c>
      <c r="O2841" s="75">
        <f t="shared" si="650"/>
        <v>40563</v>
      </c>
      <c r="P2841" s="2765" t="s">
        <v>2136</v>
      </c>
      <c r="Q2841" s="2954"/>
      <c r="R2841" s="76">
        <f t="shared" si="655"/>
        <v>274.78991596638656</v>
      </c>
      <c r="S2841" s="1945" t="s">
        <v>731</v>
      </c>
      <c r="T2841" s="77"/>
      <c r="U2841" s="1893"/>
      <c r="V2841" s="2079">
        <f t="shared" si="645"/>
        <v>0</v>
      </c>
      <c r="W2841" s="78">
        <f t="shared" si="646"/>
        <v>324.25210084033614</v>
      </c>
      <c r="X2841" s="1878" t="str">
        <f t="shared" si="644"/>
        <v xml:space="preserve">4.- C Vikrant 0710809-OT_00568  Reencauche 002-001448 </v>
      </c>
      <c r="Z2841" s="19" t="str">
        <f t="shared" si="649"/>
        <v>ReencaucheAMC Llantas</v>
      </c>
    </row>
    <row r="2842" spans="1:27" outlineLevel="1">
      <c r="B2842" s="3269"/>
      <c r="C2842" s="2">
        <f t="shared" si="653"/>
        <v>6</v>
      </c>
      <c r="D2842" s="3">
        <f t="shared" si="654"/>
        <v>6</v>
      </c>
      <c r="E2842" s="66">
        <v>5</v>
      </c>
      <c r="F2842" s="67" t="s">
        <v>732</v>
      </c>
      <c r="G2842" s="68" t="s">
        <v>737</v>
      </c>
      <c r="H2842" s="69" t="s">
        <v>2139</v>
      </c>
      <c r="I2842" s="68" t="s">
        <v>726</v>
      </c>
      <c r="J2842" s="70" t="s">
        <v>1961</v>
      </c>
      <c r="K2842" s="71" t="s">
        <v>2135</v>
      </c>
      <c r="L2842" s="72">
        <v>40554</v>
      </c>
      <c r="M2842" s="73" t="s">
        <v>729</v>
      </c>
      <c r="N2842" s="74">
        <v>40563</v>
      </c>
      <c r="O2842" s="75">
        <f t="shared" si="650"/>
        <v>40563</v>
      </c>
      <c r="P2842" s="2765" t="s">
        <v>2136</v>
      </c>
      <c r="Q2842" s="2954"/>
      <c r="R2842" s="76">
        <f t="shared" si="655"/>
        <v>274.78991596638656</v>
      </c>
      <c r="S2842" s="1945" t="s">
        <v>731</v>
      </c>
      <c r="T2842" s="77"/>
      <c r="U2842" s="1893"/>
      <c r="V2842" s="2079">
        <f t="shared" si="645"/>
        <v>0</v>
      </c>
      <c r="W2842" s="78">
        <f t="shared" si="646"/>
        <v>324.25210084033614</v>
      </c>
      <c r="X2842" s="1878" t="str">
        <f t="shared" si="644"/>
        <v xml:space="preserve">5.- C Vikrant 0720809-OT_00568  Reencauche 002-001448 </v>
      </c>
      <c r="Z2842" s="19" t="str">
        <f t="shared" si="649"/>
        <v>ReencaucheAMC Llantas</v>
      </c>
    </row>
    <row r="2843" spans="1:27" outlineLevel="1">
      <c r="B2843" s="3269"/>
      <c r="C2843" s="2">
        <f t="shared" si="653"/>
        <v>5</v>
      </c>
      <c r="D2843" s="3">
        <f t="shared" si="654"/>
        <v>5</v>
      </c>
      <c r="E2843" s="66">
        <v>6</v>
      </c>
      <c r="F2843" s="67" t="s">
        <v>732</v>
      </c>
      <c r="G2843" s="68" t="s">
        <v>733</v>
      </c>
      <c r="H2843" s="69" t="s">
        <v>1869</v>
      </c>
      <c r="I2843" s="68" t="s">
        <v>726</v>
      </c>
      <c r="J2843" s="70" t="s">
        <v>1961</v>
      </c>
      <c r="K2843" s="71" t="s">
        <v>2135</v>
      </c>
      <c r="L2843" s="72">
        <v>40554</v>
      </c>
      <c r="M2843" s="73" t="s">
        <v>729</v>
      </c>
      <c r="N2843" s="74">
        <v>40563</v>
      </c>
      <c r="O2843" s="75">
        <f t="shared" si="650"/>
        <v>40563</v>
      </c>
      <c r="P2843" s="2765" t="s">
        <v>2136</v>
      </c>
      <c r="Q2843" s="2954"/>
      <c r="R2843" s="76">
        <f t="shared" si="655"/>
        <v>274.78991596638656</v>
      </c>
      <c r="S2843" s="1945" t="s">
        <v>731</v>
      </c>
      <c r="T2843" s="77"/>
      <c r="U2843" s="1893"/>
      <c r="V2843" s="2079">
        <f t="shared" si="645"/>
        <v>0</v>
      </c>
      <c r="W2843" s="78">
        <f t="shared" si="646"/>
        <v>324.25210084033614</v>
      </c>
      <c r="X2843" s="1878" t="str">
        <f t="shared" si="644"/>
        <v xml:space="preserve">6.- C Lima Caucho 0040107-OT_00568  Reencauche 002-001448 </v>
      </c>
      <c r="Z2843" s="19" t="str">
        <f t="shared" si="649"/>
        <v>ReencaucheAMC Llantas</v>
      </c>
    </row>
    <row r="2844" spans="1:27" ht="15.75" outlineLevel="1" thickBot="1">
      <c r="B2844" s="3269"/>
      <c r="C2844" s="2">
        <f t="shared" si="653"/>
        <v>4</v>
      </c>
      <c r="D2844" s="3">
        <f t="shared" si="654"/>
        <v>4</v>
      </c>
      <c r="E2844" s="66">
        <v>7</v>
      </c>
      <c r="F2844" s="67" t="s">
        <v>732</v>
      </c>
      <c r="G2844" s="68" t="s">
        <v>1108</v>
      </c>
      <c r="H2844" s="69" t="s">
        <v>2140</v>
      </c>
      <c r="I2844" s="68" t="s">
        <v>726</v>
      </c>
      <c r="J2844" s="70" t="s">
        <v>1961</v>
      </c>
      <c r="K2844" s="71" t="s">
        <v>2135</v>
      </c>
      <c r="L2844" s="72">
        <v>40554</v>
      </c>
      <c r="M2844" s="73" t="s">
        <v>729</v>
      </c>
      <c r="N2844" s="74">
        <v>40563</v>
      </c>
      <c r="O2844" s="75">
        <f t="shared" si="650"/>
        <v>40563</v>
      </c>
      <c r="P2844" s="2765" t="s">
        <v>2136</v>
      </c>
      <c r="Q2844" s="2954"/>
      <c r="R2844" s="76">
        <f t="shared" si="655"/>
        <v>274.78991596638656</v>
      </c>
      <c r="S2844" s="1945" t="s">
        <v>731</v>
      </c>
      <c r="T2844" s="77"/>
      <c r="U2844" s="1893"/>
      <c r="V2844" s="2079">
        <f t="shared" si="645"/>
        <v>0</v>
      </c>
      <c r="W2844" s="78">
        <f t="shared" si="646"/>
        <v>324.25210084033614</v>
      </c>
      <c r="X2844" s="1878" t="str">
        <f t="shared" si="644"/>
        <v xml:space="preserve">7.- C Hankook 0390305-OT_00568  Reencauche 002-001448 </v>
      </c>
      <c r="Z2844" s="19" t="str">
        <f t="shared" si="649"/>
        <v>ReencaucheAMC Llantas</v>
      </c>
    </row>
    <row r="2845" spans="1:27" s="459" customFormat="1">
      <c r="A2845"/>
      <c r="B2845" s="3269"/>
      <c r="C2845" s="2">
        <f t="shared" si="653"/>
        <v>3</v>
      </c>
      <c r="D2845" s="3">
        <f t="shared" si="654"/>
        <v>3</v>
      </c>
      <c r="E2845" s="66">
        <v>8</v>
      </c>
      <c r="F2845" s="67" t="s">
        <v>732</v>
      </c>
      <c r="G2845" s="68" t="s">
        <v>737</v>
      </c>
      <c r="H2845" s="69" t="s">
        <v>1844</v>
      </c>
      <c r="I2845" s="68" t="s">
        <v>726</v>
      </c>
      <c r="J2845" s="70" t="s">
        <v>1961</v>
      </c>
      <c r="K2845" s="71" t="s">
        <v>2135</v>
      </c>
      <c r="L2845" s="72">
        <v>40554</v>
      </c>
      <c r="M2845" s="73" t="s">
        <v>729</v>
      </c>
      <c r="N2845" s="74">
        <v>40563</v>
      </c>
      <c r="O2845" s="75">
        <f t="shared" si="650"/>
        <v>40563</v>
      </c>
      <c r="P2845" s="2765" t="s">
        <v>2136</v>
      </c>
      <c r="Q2845" s="2954"/>
      <c r="R2845" s="76">
        <f t="shared" si="655"/>
        <v>274.78991596638656</v>
      </c>
      <c r="S2845" s="1945" t="s">
        <v>731</v>
      </c>
      <c r="T2845" s="77"/>
      <c r="U2845" s="1893"/>
      <c r="V2845" s="2079">
        <f t="shared" si="645"/>
        <v>0</v>
      </c>
      <c r="W2845" s="78">
        <f t="shared" si="646"/>
        <v>324.25210084033614</v>
      </c>
      <c r="X2845" s="1883" t="str">
        <f t="shared" si="644"/>
        <v xml:space="preserve">8.- C Vikrant 0911206-OT_00568  Reencauche 002-001448 </v>
      </c>
      <c r="Y2845" s="457"/>
      <c r="Z2845" s="458" t="str">
        <f t="shared" si="649"/>
        <v/>
      </c>
    </row>
    <row r="2846" spans="1:27" s="366" customFormat="1">
      <c r="A2846"/>
      <c r="B2846" s="3269"/>
      <c r="C2846" s="2">
        <f t="shared" si="653"/>
        <v>2</v>
      </c>
      <c r="D2846" s="3">
        <f t="shared" si="654"/>
        <v>2</v>
      </c>
      <c r="E2846" s="66">
        <v>9</v>
      </c>
      <c r="F2846" s="67" t="s">
        <v>732</v>
      </c>
      <c r="G2846" s="68" t="s">
        <v>1233</v>
      </c>
      <c r="H2846" s="69" t="s">
        <v>2141</v>
      </c>
      <c r="I2846" s="68" t="s">
        <v>726</v>
      </c>
      <c r="J2846" s="70" t="s">
        <v>1961</v>
      </c>
      <c r="K2846" s="71" t="s">
        <v>2135</v>
      </c>
      <c r="L2846" s="72">
        <v>40554</v>
      </c>
      <c r="M2846" s="73" t="s">
        <v>729</v>
      </c>
      <c r="N2846" s="74">
        <v>40563</v>
      </c>
      <c r="O2846" s="75">
        <f t="shared" si="650"/>
        <v>40563</v>
      </c>
      <c r="P2846" s="2765" t="s">
        <v>2136</v>
      </c>
      <c r="Q2846" s="2954"/>
      <c r="R2846" s="76">
        <f t="shared" si="655"/>
        <v>274.78991596638656</v>
      </c>
      <c r="S2846" s="1945" t="s">
        <v>731</v>
      </c>
      <c r="T2846" s="77"/>
      <c r="U2846" s="1893"/>
      <c r="V2846" s="2079">
        <f t="shared" si="645"/>
        <v>0</v>
      </c>
      <c r="W2846" s="78">
        <f t="shared" si="646"/>
        <v>324.25210084033614</v>
      </c>
      <c r="X2846" s="1878" t="str">
        <f t="shared" si="644"/>
        <v xml:space="preserve">9.- C Saratoga 0100306-OT_00568  Reencauche 002-001448 </v>
      </c>
      <c r="Y2846" s="16"/>
      <c r="Z2846" s="369"/>
    </row>
    <row r="2847" spans="1:27" ht="15.2" customHeight="1" outlineLevel="1" thickBot="1">
      <c r="B2847" s="3270"/>
      <c r="C2847" s="2">
        <v>1</v>
      </c>
      <c r="D2847" s="3">
        <v>1</v>
      </c>
      <c r="E2847" s="66">
        <v>10</v>
      </c>
      <c r="F2847" s="67" t="s">
        <v>732</v>
      </c>
      <c r="G2847" s="68" t="s">
        <v>733</v>
      </c>
      <c r="H2847" s="69" t="s">
        <v>2142</v>
      </c>
      <c r="I2847" s="68" t="s">
        <v>726</v>
      </c>
      <c r="J2847" s="70" t="s">
        <v>1961</v>
      </c>
      <c r="K2847" s="71" t="s">
        <v>2135</v>
      </c>
      <c r="L2847" s="72">
        <v>40554</v>
      </c>
      <c r="M2847" s="73" t="s">
        <v>729</v>
      </c>
      <c r="N2847" s="74">
        <v>40563</v>
      </c>
      <c r="O2847" s="75">
        <f t="shared" si="650"/>
        <v>40563</v>
      </c>
      <c r="P2847" s="2765" t="s">
        <v>2136</v>
      </c>
      <c r="Q2847" s="2954"/>
      <c r="R2847" s="76">
        <f t="shared" si="655"/>
        <v>274.78991596638656</v>
      </c>
      <c r="S2847" s="1945" t="s">
        <v>731</v>
      </c>
      <c r="T2847" s="77"/>
      <c r="U2847" s="1893"/>
      <c r="V2847" s="2079">
        <f t="shared" si="645"/>
        <v>0</v>
      </c>
      <c r="W2847" s="78">
        <f t="shared" si="646"/>
        <v>324.25210084033614</v>
      </c>
      <c r="X2847" s="1878" t="str">
        <f t="shared" si="644"/>
        <v xml:space="preserve">10.- C Lima Caucho 0480608-OT_00568  Reencauche 002-001448 </v>
      </c>
      <c r="Z2847" s="19" t="str">
        <f t="shared" ref="Z2847:Z2888" si="656">CONCATENATE(I2850,J2850)</f>
        <v>ReencaucheReencauchadora Espinoza</v>
      </c>
    </row>
    <row r="2848" spans="1:27" outlineLevel="1">
      <c r="A2848" s="3277" t="s">
        <v>2143</v>
      </c>
      <c r="B2848" s="3278"/>
      <c r="C2848" s="3277"/>
      <c r="D2848" s="3279"/>
      <c r="E2848" s="446">
        <f>+D2849+D2892+D2913+D2953+D2986+D3026+D3063+D3105+D3139+D3194+D3243+D3272</f>
        <v>374</v>
      </c>
      <c r="F2848" s="2055"/>
      <c r="G2848" s="447"/>
      <c r="H2848" s="448"/>
      <c r="I2848" s="447"/>
      <c r="J2848" s="449"/>
      <c r="K2848" s="450"/>
      <c r="L2848" s="451"/>
      <c r="M2848" s="452"/>
      <c r="N2848" s="453"/>
      <c r="O2848" s="454">
        <f>+B2849</f>
        <v>40513</v>
      </c>
      <c r="P2848" s="2808"/>
      <c r="Q2848" s="2982"/>
      <c r="R2848" s="455"/>
      <c r="S2848" s="1972"/>
      <c r="T2848" s="456"/>
      <c r="U2848" s="1899"/>
      <c r="V2848" s="2079">
        <f t="shared" si="645"/>
        <v>0</v>
      </c>
      <c r="W2848" s="78">
        <f t="shared" si="646"/>
        <v>0</v>
      </c>
      <c r="X2848" s="1878" t="str">
        <f t="shared" si="644"/>
        <v xml:space="preserve">374.-   -OT_    </v>
      </c>
      <c r="Z2848" s="19" t="str">
        <f t="shared" si="656"/>
        <v>Sacar_BandaReencauchadora Espinoza</v>
      </c>
    </row>
    <row r="2849" spans="1:29" ht="15.2" customHeight="1" outlineLevel="1" thickBot="1">
      <c r="A2849" s="384"/>
      <c r="B2849" s="1">
        <f>+B2850</f>
        <v>40513</v>
      </c>
      <c r="C2849" s="1"/>
      <c r="D2849" s="173">
        <f>+D2850</f>
        <v>36</v>
      </c>
      <c r="E2849" s="66"/>
      <c r="F2849" s="67"/>
      <c r="G2849" s="68"/>
      <c r="H2849" s="69"/>
      <c r="I2849" s="68"/>
      <c r="J2849" s="70"/>
      <c r="K2849" s="71"/>
      <c r="L2849" s="72"/>
      <c r="M2849" s="73"/>
      <c r="N2849" s="74"/>
      <c r="O2849" s="75"/>
      <c r="P2849" s="2765"/>
      <c r="Q2849" s="2954"/>
      <c r="R2849" s="76"/>
      <c r="S2849" s="1945"/>
      <c r="T2849" s="215"/>
      <c r="U2849" s="1893"/>
      <c r="V2849" s="2079">
        <f t="shared" si="645"/>
        <v>0</v>
      </c>
      <c r="W2849" s="78">
        <f t="shared" si="646"/>
        <v>0</v>
      </c>
      <c r="X2849" s="1878" t="str">
        <f t="shared" si="644"/>
        <v xml:space="preserve">.-   -OT_    </v>
      </c>
      <c r="Z2849" s="19" t="str">
        <f t="shared" si="656"/>
        <v>Transpl BandaReencauchadora Espinoza</v>
      </c>
    </row>
    <row r="2850" spans="1:29" outlineLevel="1">
      <c r="B2850" s="3251">
        <v>40513</v>
      </c>
      <c r="C2850" s="2">
        <f>1+C2852</f>
        <v>376</v>
      </c>
      <c r="D2850" s="306">
        <f>1+D2852</f>
        <v>36</v>
      </c>
      <c r="E2850" s="66">
        <v>1</v>
      </c>
      <c r="F2850" s="67" t="s">
        <v>732</v>
      </c>
      <c r="G2850" s="68" t="s">
        <v>757</v>
      </c>
      <c r="H2850" s="69" t="s">
        <v>2144</v>
      </c>
      <c r="I2850" s="439" t="s">
        <v>726</v>
      </c>
      <c r="J2850" s="429" t="s">
        <v>1543</v>
      </c>
      <c r="K2850" s="71" t="s">
        <v>2145</v>
      </c>
      <c r="L2850" s="72">
        <v>40533</v>
      </c>
      <c r="M2850" s="73" t="s">
        <v>729</v>
      </c>
      <c r="N2850" s="74">
        <v>40561</v>
      </c>
      <c r="O2850" s="75">
        <f t="shared" ref="O2850:O2891" si="657">+N2850</f>
        <v>40561</v>
      </c>
      <c r="P2850" s="2765"/>
      <c r="Q2850" s="2954"/>
      <c r="R2850" s="76">
        <f>300/(1.19)</f>
        <v>252.10084033613447</v>
      </c>
      <c r="S2850" s="1945" t="s">
        <v>731</v>
      </c>
      <c r="T2850" s="77"/>
      <c r="U2850" s="1893"/>
      <c r="V2850" s="2079">
        <f t="shared" si="645"/>
        <v>0</v>
      </c>
      <c r="W2850" s="78">
        <f t="shared" si="646"/>
        <v>297.47899159663865</v>
      </c>
      <c r="X2850" s="1878" t="str">
        <f t="shared" ref="X2850:X2913" si="658">CONCATENATE(E2850,".- ",F2850," ",G2850," ",H2850,"-OT_",K2850," "," ",I2850," ",P2850," ",T2850)</f>
        <v xml:space="preserve">1.- C Goodyear 0350901-OT_000012  Reencauche  </v>
      </c>
      <c r="Z2850" s="19" t="str">
        <f t="shared" si="656"/>
        <v>ReencaucheReencauchadora Espinoza</v>
      </c>
    </row>
    <row r="2851" spans="1:29" ht="15.2" customHeight="1" outlineLevel="1">
      <c r="B2851" s="3252"/>
      <c r="E2851" s="66">
        <v>2</v>
      </c>
      <c r="F2851" s="67" t="s">
        <v>732</v>
      </c>
      <c r="G2851" s="90" t="s">
        <v>769</v>
      </c>
      <c r="H2851" s="91" t="s">
        <v>2146</v>
      </c>
      <c r="I2851" s="440" t="s">
        <v>744</v>
      </c>
      <c r="J2851" s="441" t="s">
        <v>1543</v>
      </c>
      <c r="K2851" s="243" t="s">
        <v>2145</v>
      </c>
      <c r="L2851" s="244">
        <v>40533</v>
      </c>
      <c r="M2851" s="245" t="s">
        <v>729</v>
      </c>
      <c r="N2851" s="74">
        <v>40529</v>
      </c>
      <c r="O2851" s="75">
        <f t="shared" si="657"/>
        <v>40529</v>
      </c>
      <c r="P2851" s="2799"/>
      <c r="Q2851" s="2954"/>
      <c r="R2851" s="248">
        <v>0</v>
      </c>
      <c r="S2851" s="1958" t="s">
        <v>731</v>
      </c>
      <c r="T2851" s="460" t="s">
        <v>2147</v>
      </c>
      <c r="U2851" s="1900"/>
      <c r="V2851" s="2079">
        <f t="shared" ref="V2851:V2914" si="659">+Q2851*(1.18)</f>
        <v>0</v>
      </c>
      <c r="W2851" s="78">
        <f t="shared" ref="W2851:W2914" si="660">+R2851*(1.18)</f>
        <v>0</v>
      </c>
      <c r="X2851" s="1878" t="str">
        <f t="shared" si="658"/>
        <v>2.- C Lu He 0260209-OT_000012  Sacar_Banda  Casco volado/soplado, banda 11mm, desechada</v>
      </c>
      <c r="Z2851" s="19" t="str">
        <f t="shared" si="656"/>
        <v>ReencaucheReencauchadora Espinoza</v>
      </c>
    </row>
    <row r="2852" spans="1:29" outlineLevel="1">
      <c r="B2852" s="3252"/>
      <c r="C2852" s="2">
        <f>1+C2853</f>
        <v>375</v>
      </c>
      <c r="D2852" s="3">
        <f>1+D2853</f>
        <v>35</v>
      </c>
      <c r="E2852" s="79">
        <v>3</v>
      </c>
      <c r="F2852" s="80" t="s">
        <v>732</v>
      </c>
      <c r="G2852" s="114" t="s">
        <v>733</v>
      </c>
      <c r="H2852" s="115" t="s">
        <v>2148</v>
      </c>
      <c r="I2852" s="443" t="s">
        <v>740</v>
      </c>
      <c r="J2852" s="412" t="s">
        <v>1543</v>
      </c>
      <c r="K2852" s="350" t="s">
        <v>2145</v>
      </c>
      <c r="L2852" s="351">
        <v>40533</v>
      </c>
      <c r="M2852" s="352" t="s">
        <v>729</v>
      </c>
      <c r="N2852" s="87">
        <v>40561</v>
      </c>
      <c r="O2852" s="88">
        <f t="shared" si="657"/>
        <v>40561</v>
      </c>
      <c r="P2852" s="2806"/>
      <c r="Q2852" s="2955"/>
      <c r="R2852" s="353">
        <v>0</v>
      </c>
      <c r="S2852" s="1966" t="s">
        <v>731</v>
      </c>
      <c r="T2852" s="461" t="s">
        <v>2149</v>
      </c>
      <c r="U2852" s="1896"/>
      <c r="V2852" s="2079">
        <f t="shared" si="659"/>
        <v>0</v>
      </c>
      <c r="W2852" s="78">
        <f t="shared" si="660"/>
        <v>0</v>
      </c>
      <c r="X2852" s="1878" t="str">
        <f t="shared" si="658"/>
        <v>3.- C Lima Caucho 1371207-OT_000012  Transpl Banda   Con banda transplantada  en 11mm  [ LU HE - 0260209 ]</v>
      </c>
      <c r="Z2852" s="19" t="str">
        <f t="shared" si="656"/>
        <v>Sacar_BandaReencauchadora Espinoza</v>
      </c>
    </row>
    <row r="2853" spans="1:29" ht="15.2" customHeight="1" outlineLevel="1">
      <c r="B2853" s="3252"/>
      <c r="C2853" s="2">
        <f>1+C2854</f>
        <v>374</v>
      </c>
      <c r="D2853" s="3">
        <f>1+D2854</f>
        <v>34</v>
      </c>
      <c r="E2853" s="66">
        <v>1</v>
      </c>
      <c r="F2853" s="67" t="s">
        <v>732</v>
      </c>
      <c r="G2853" s="68" t="s">
        <v>757</v>
      </c>
      <c r="H2853" s="69" t="s">
        <v>2150</v>
      </c>
      <c r="I2853" s="439" t="s">
        <v>726</v>
      </c>
      <c r="J2853" s="429" t="s">
        <v>1543</v>
      </c>
      <c r="K2853" s="71" t="s">
        <v>2151</v>
      </c>
      <c r="L2853" s="72">
        <v>40525</v>
      </c>
      <c r="M2853" s="73" t="s">
        <v>729</v>
      </c>
      <c r="N2853" s="74">
        <v>40532</v>
      </c>
      <c r="O2853" s="75">
        <f t="shared" si="657"/>
        <v>40532</v>
      </c>
      <c r="P2853" s="2765"/>
      <c r="Q2853" s="2954"/>
      <c r="R2853" s="76">
        <f>300/(1.19)</f>
        <v>252.10084033613447</v>
      </c>
      <c r="S2853" s="1945" t="s">
        <v>731</v>
      </c>
      <c r="T2853" s="77"/>
      <c r="U2853" s="1893"/>
      <c r="V2853" s="2079">
        <f t="shared" si="659"/>
        <v>0</v>
      </c>
      <c r="W2853" s="78">
        <f t="shared" si="660"/>
        <v>297.47899159663865</v>
      </c>
      <c r="X2853" s="1878" t="str">
        <f t="shared" si="658"/>
        <v xml:space="preserve">1.- C Goodyear 1981204-OT_000240  Reencauche  </v>
      </c>
      <c r="Z2853" s="19" t="str">
        <f t="shared" si="656"/>
        <v>Transpl BandaReencauchadora Espinoza</v>
      </c>
    </row>
    <row r="2854" spans="1:29" outlineLevel="1">
      <c r="B2854" s="3252"/>
      <c r="C2854" s="2">
        <f>1+C2856</f>
        <v>373</v>
      </c>
      <c r="D2854" s="3">
        <f>1+D2856</f>
        <v>33</v>
      </c>
      <c r="E2854" s="66">
        <v>2</v>
      </c>
      <c r="F2854" s="67" t="s">
        <v>732</v>
      </c>
      <c r="G2854" s="68" t="s">
        <v>757</v>
      </c>
      <c r="H2854" s="69" t="s">
        <v>2152</v>
      </c>
      <c r="I2854" s="439" t="s">
        <v>726</v>
      </c>
      <c r="J2854" s="429" t="s">
        <v>1543</v>
      </c>
      <c r="K2854" s="71" t="s">
        <v>2151</v>
      </c>
      <c r="L2854" s="72">
        <v>40525</v>
      </c>
      <c r="M2854" s="73" t="s">
        <v>729</v>
      </c>
      <c r="N2854" s="74">
        <v>40532</v>
      </c>
      <c r="O2854" s="75">
        <f t="shared" si="657"/>
        <v>40532</v>
      </c>
      <c r="P2854" s="2765"/>
      <c r="Q2854" s="2954"/>
      <c r="R2854" s="76">
        <f>300/(1.19)</f>
        <v>252.10084033613447</v>
      </c>
      <c r="S2854" s="1945" t="s">
        <v>731</v>
      </c>
      <c r="T2854" s="77"/>
      <c r="U2854" s="1893"/>
      <c r="V2854" s="2079">
        <f t="shared" si="659"/>
        <v>0</v>
      </c>
      <c r="W2854" s="78">
        <f t="shared" si="660"/>
        <v>297.47899159663865</v>
      </c>
      <c r="X2854" s="1878" t="str">
        <f t="shared" si="658"/>
        <v xml:space="preserve">2.- C Goodyear 049092003-OT_000240  Reencauche  </v>
      </c>
      <c r="Z2854" s="19" t="str">
        <f t="shared" si="656"/>
        <v>ReencaucheAMC Llantas</v>
      </c>
    </row>
    <row r="2855" spans="1:29" ht="15.2" customHeight="1" outlineLevel="1">
      <c r="B2855" s="3252"/>
      <c r="E2855" s="66">
        <v>3</v>
      </c>
      <c r="F2855" s="67" t="s">
        <v>732</v>
      </c>
      <c r="G2855" s="90" t="s">
        <v>778</v>
      </c>
      <c r="H2855" s="91" t="s">
        <v>2153</v>
      </c>
      <c r="I2855" s="440" t="s">
        <v>744</v>
      </c>
      <c r="J2855" s="441" t="s">
        <v>1543</v>
      </c>
      <c r="K2855" s="243" t="s">
        <v>2151</v>
      </c>
      <c r="L2855" s="244">
        <v>40525</v>
      </c>
      <c r="M2855" s="245"/>
      <c r="N2855" s="74"/>
      <c r="O2855" s="75">
        <f t="shared" si="657"/>
        <v>0</v>
      </c>
      <c r="P2855" s="2799"/>
      <c r="Q2855" s="2954"/>
      <c r="R2855" s="248">
        <v>0</v>
      </c>
      <c r="S2855" s="1958" t="s">
        <v>731</v>
      </c>
      <c r="T2855" s="462" t="s">
        <v>108</v>
      </c>
      <c r="U2855" s="1932"/>
      <c r="V2855" s="2079">
        <f t="shared" si="659"/>
        <v>0</v>
      </c>
      <c r="W2855" s="78">
        <f t="shared" si="660"/>
        <v>0</v>
      </c>
      <c r="X2855" s="1878" t="str">
        <f t="shared" si="658"/>
        <v>3.- C Riverstone 1420904-OT_000240  Sacar_Banda  RECLAMO - Casco soplado/volado, banda 15mm, desechada</v>
      </c>
      <c r="Z2855" s="19" t="str">
        <f t="shared" si="656"/>
        <v>ReencaucheAMC Llantas</v>
      </c>
    </row>
    <row r="2856" spans="1:29" outlineLevel="1">
      <c r="B2856" s="3252"/>
      <c r="C2856" s="2">
        <f t="shared" ref="C2856:C2866" si="661">1+C2857</f>
        <v>372</v>
      </c>
      <c r="D2856" s="3">
        <f t="shared" ref="D2856:D2866" si="662">1+D2857</f>
        <v>32</v>
      </c>
      <c r="E2856" s="79">
        <v>4</v>
      </c>
      <c r="F2856" s="80" t="s">
        <v>732</v>
      </c>
      <c r="G2856" s="114" t="s">
        <v>2154</v>
      </c>
      <c r="H2856" s="115" t="s">
        <v>1377</v>
      </c>
      <c r="I2856" s="443" t="s">
        <v>740</v>
      </c>
      <c r="J2856" s="412" t="s">
        <v>1543</v>
      </c>
      <c r="K2856" s="350" t="s">
        <v>2151</v>
      </c>
      <c r="L2856" s="351">
        <v>40525</v>
      </c>
      <c r="M2856" s="352" t="s">
        <v>729</v>
      </c>
      <c r="N2856" s="87">
        <v>40532</v>
      </c>
      <c r="O2856" s="88">
        <f t="shared" si="657"/>
        <v>40532</v>
      </c>
      <c r="P2856" s="2806"/>
      <c r="Q2856" s="2955"/>
      <c r="R2856" s="353">
        <v>0</v>
      </c>
      <c r="S2856" s="1966" t="s">
        <v>731</v>
      </c>
      <c r="T2856" s="461" t="s">
        <v>2155</v>
      </c>
      <c r="U2856" s="1896"/>
      <c r="V2856" s="2079">
        <f t="shared" si="659"/>
        <v>0</v>
      </c>
      <c r="W2856" s="78">
        <f t="shared" si="660"/>
        <v>0</v>
      </c>
      <c r="X2856" s="1878" t="str">
        <f t="shared" si="658"/>
        <v>4.- C Bf Goodrich 0540502-OT_000240  Transpl Banda   Con banda transplantada  en 15mm  [ Riverstone - 1420904 ]</v>
      </c>
      <c r="Z2856" s="19" t="str">
        <f t="shared" si="656"/>
        <v>ReencaucheAMC Llantas</v>
      </c>
    </row>
    <row r="2857" spans="1:29" ht="15.2" customHeight="1" outlineLevel="1">
      <c r="B2857" s="3252"/>
      <c r="C2857" s="2">
        <f t="shared" si="661"/>
        <v>371</v>
      </c>
      <c r="D2857" s="3">
        <f t="shared" si="662"/>
        <v>31</v>
      </c>
      <c r="E2857" s="66">
        <v>1</v>
      </c>
      <c r="F2857" s="67" t="s">
        <v>732</v>
      </c>
      <c r="G2857" s="68" t="s">
        <v>757</v>
      </c>
      <c r="H2857" s="69" t="s">
        <v>2156</v>
      </c>
      <c r="I2857" s="68" t="s">
        <v>726</v>
      </c>
      <c r="J2857" s="429" t="s">
        <v>1961</v>
      </c>
      <c r="K2857" s="71" t="s">
        <v>2157</v>
      </c>
      <c r="L2857" s="72">
        <v>40525</v>
      </c>
      <c r="M2857" s="73" t="s">
        <v>729</v>
      </c>
      <c r="N2857" s="74">
        <v>40532</v>
      </c>
      <c r="O2857" s="75">
        <f t="shared" si="657"/>
        <v>40532</v>
      </c>
      <c r="P2857" s="2765"/>
      <c r="Q2857" s="2954"/>
      <c r="R2857" s="76">
        <f t="shared" ref="R2857:R2866" si="663">327/(1.19)</f>
        <v>274.78991596638656</v>
      </c>
      <c r="S2857" s="1945" t="s">
        <v>731</v>
      </c>
      <c r="T2857" s="77"/>
      <c r="U2857" s="1893"/>
      <c r="V2857" s="2079">
        <f t="shared" si="659"/>
        <v>0</v>
      </c>
      <c r="W2857" s="78">
        <f t="shared" si="660"/>
        <v>324.25210084033614</v>
      </c>
      <c r="X2857" s="1878" t="str">
        <f t="shared" si="658"/>
        <v xml:space="preserve">1.- C Goodyear 0690404-OT_000555  Reencauche  </v>
      </c>
      <c r="Z2857" s="19" t="str">
        <f t="shared" si="656"/>
        <v>ReencaucheAMC Llantas</v>
      </c>
    </row>
    <row r="2858" spans="1:29" outlineLevel="1">
      <c r="B2858" s="3252"/>
      <c r="C2858" s="2">
        <f t="shared" si="661"/>
        <v>370</v>
      </c>
      <c r="D2858" s="3">
        <f t="shared" si="662"/>
        <v>30</v>
      </c>
      <c r="E2858" s="66">
        <v>2</v>
      </c>
      <c r="F2858" s="67" t="s">
        <v>732</v>
      </c>
      <c r="G2858" s="68" t="s">
        <v>737</v>
      </c>
      <c r="H2858" s="69" t="s">
        <v>1187</v>
      </c>
      <c r="I2858" s="68" t="s">
        <v>726</v>
      </c>
      <c r="J2858" s="429" t="s">
        <v>1961</v>
      </c>
      <c r="K2858" s="71" t="s">
        <v>2157</v>
      </c>
      <c r="L2858" s="72">
        <v>40525</v>
      </c>
      <c r="M2858" s="73" t="s">
        <v>729</v>
      </c>
      <c r="N2858" s="74">
        <v>40532</v>
      </c>
      <c r="O2858" s="75">
        <f t="shared" si="657"/>
        <v>40532</v>
      </c>
      <c r="P2858" s="2765"/>
      <c r="Q2858" s="2954"/>
      <c r="R2858" s="76">
        <f t="shared" si="663"/>
        <v>274.78991596638656</v>
      </c>
      <c r="S2858" s="1945" t="s">
        <v>731</v>
      </c>
      <c r="T2858" s="77"/>
      <c r="U2858" s="1893"/>
      <c r="V2858" s="2079">
        <f t="shared" si="659"/>
        <v>0</v>
      </c>
      <c r="W2858" s="78">
        <f t="shared" si="660"/>
        <v>324.25210084033614</v>
      </c>
      <c r="X2858" s="1878" t="str">
        <f t="shared" si="658"/>
        <v xml:space="preserve">2.- C Vikrant 1501105-OT_000555  Reencauche  </v>
      </c>
      <c r="Z2858" s="19" t="str">
        <f t="shared" si="656"/>
        <v>ReencaucheAMC Llantas</v>
      </c>
    </row>
    <row r="2859" spans="1:29" ht="15.2" customHeight="1" outlineLevel="1">
      <c r="B2859" s="3252"/>
      <c r="C2859" s="2">
        <f t="shared" si="661"/>
        <v>369</v>
      </c>
      <c r="D2859" s="3">
        <f t="shared" si="662"/>
        <v>29</v>
      </c>
      <c r="E2859" s="66">
        <v>3</v>
      </c>
      <c r="F2859" s="67" t="s">
        <v>732</v>
      </c>
      <c r="G2859" s="68" t="s">
        <v>737</v>
      </c>
      <c r="H2859" s="69" t="s">
        <v>1656</v>
      </c>
      <c r="I2859" s="68" t="s">
        <v>726</v>
      </c>
      <c r="J2859" s="429" t="s">
        <v>1961</v>
      </c>
      <c r="K2859" s="71" t="s">
        <v>2157</v>
      </c>
      <c r="L2859" s="72">
        <v>40525</v>
      </c>
      <c r="M2859" s="73" t="s">
        <v>729</v>
      </c>
      <c r="N2859" s="74">
        <v>40532</v>
      </c>
      <c r="O2859" s="75">
        <f t="shared" si="657"/>
        <v>40532</v>
      </c>
      <c r="P2859" s="2765"/>
      <c r="Q2859" s="2954"/>
      <c r="R2859" s="76">
        <f t="shared" si="663"/>
        <v>274.78991596638656</v>
      </c>
      <c r="S2859" s="1945" t="s">
        <v>731</v>
      </c>
      <c r="T2859" s="77"/>
      <c r="U2859" s="1893"/>
      <c r="V2859" s="2079">
        <f t="shared" si="659"/>
        <v>0</v>
      </c>
      <c r="W2859" s="78">
        <f t="shared" si="660"/>
        <v>324.25210084033614</v>
      </c>
      <c r="X2859" s="1878" t="str">
        <f t="shared" si="658"/>
        <v xml:space="preserve">3.- C Vikrant 1491105-OT_000555  Reencauche  </v>
      </c>
      <c r="Z2859" s="19" t="str">
        <f t="shared" si="656"/>
        <v>ReencaucheAMC Llantas</v>
      </c>
    </row>
    <row r="2860" spans="1:29" outlineLevel="1">
      <c r="B2860" s="3252"/>
      <c r="C2860" s="2">
        <f t="shared" si="661"/>
        <v>368</v>
      </c>
      <c r="D2860" s="3">
        <f t="shared" si="662"/>
        <v>28</v>
      </c>
      <c r="E2860" s="66">
        <v>4</v>
      </c>
      <c r="F2860" s="67" t="s">
        <v>732</v>
      </c>
      <c r="G2860" s="68" t="s">
        <v>757</v>
      </c>
      <c r="H2860" s="69" t="s">
        <v>2158</v>
      </c>
      <c r="I2860" s="68" t="s">
        <v>726</v>
      </c>
      <c r="J2860" s="429" t="s">
        <v>1961</v>
      </c>
      <c r="K2860" s="71" t="s">
        <v>2157</v>
      </c>
      <c r="L2860" s="72">
        <v>40525</v>
      </c>
      <c r="M2860" s="73" t="s">
        <v>729</v>
      </c>
      <c r="N2860" s="74">
        <v>40532</v>
      </c>
      <c r="O2860" s="75">
        <f t="shared" si="657"/>
        <v>40532</v>
      </c>
      <c r="P2860" s="2765"/>
      <c r="Q2860" s="2954"/>
      <c r="R2860" s="76">
        <f t="shared" si="663"/>
        <v>274.78991596638656</v>
      </c>
      <c r="S2860" s="1945" t="s">
        <v>731</v>
      </c>
      <c r="T2860" s="77"/>
      <c r="U2860" s="1893"/>
      <c r="V2860" s="2079">
        <f t="shared" si="659"/>
        <v>0</v>
      </c>
      <c r="W2860" s="78">
        <f t="shared" si="660"/>
        <v>324.25210084033614</v>
      </c>
      <c r="X2860" s="1878" t="str">
        <f t="shared" si="658"/>
        <v xml:space="preserve">4.- C Goodyear 054032004-OT_000555  Reencauche  </v>
      </c>
      <c r="Z2860" s="19" t="str">
        <f t="shared" si="656"/>
        <v>ReencaucheAMC Llantas</v>
      </c>
    </row>
    <row r="2861" spans="1:29" ht="15.2" customHeight="1" outlineLevel="1">
      <c r="B2861" s="3252"/>
      <c r="C2861" s="2">
        <f t="shared" si="661"/>
        <v>367</v>
      </c>
      <c r="D2861" s="3">
        <f t="shared" si="662"/>
        <v>27</v>
      </c>
      <c r="E2861" s="66">
        <v>5</v>
      </c>
      <c r="F2861" s="67" t="s">
        <v>732</v>
      </c>
      <c r="G2861" s="68" t="s">
        <v>737</v>
      </c>
      <c r="H2861" s="69" t="s">
        <v>791</v>
      </c>
      <c r="I2861" s="68" t="s">
        <v>726</v>
      </c>
      <c r="J2861" s="429" t="s">
        <v>1961</v>
      </c>
      <c r="K2861" s="71" t="s">
        <v>2157</v>
      </c>
      <c r="L2861" s="72">
        <v>40525</v>
      </c>
      <c r="M2861" s="73" t="s">
        <v>729</v>
      </c>
      <c r="N2861" s="74">
        <v>40532</v>
      </c>
      <c r="O2861" s="75">
        <f t="shared" si="657"/>
        <v>40532</v>
      </c>
      <c r="P2861" s="2765"/>
      <c r="Q2861" s="2954"/>
      <c r="R2861" s="76">
        <f t="shared" si="663"/>
        <v>274.78991596638656</v>
      </c>
      <c r="S2861" s="1945" t="s">
        <v>731</v>
      </c>
      <c r="T2861" s="77"/>
      <c r="U2861" s="1893"/>
      <c r="V2861" s="2079">
        <f t="shared" si="659"/>
        <v>0</v>
      </c>
      <c r="W2861" s="78">
        <f t="shared" si="660"/>
        <v>324.25210084033614</v>
      </c>
      <c r="X2861" s="1878" t="str">
        <f t="shared" si="658"/>
        <v xml:space="preserve">5.- C Vikrant 0580709-OT_000555  Reencauche  </v>
      </c>
      <c r="Z2861" s="19" t="str">
        <f t="shared" si="656"/>
        <v>ReencaucheAMC Llantas</v>
      </c>
    </row>
    <row r="2862" spans="1:29" outlineLevel="1">
      <c r="B2862" s="3252"/>
      <c r="C2862" s="2">
        <f t="shared" si="661"/>
        <v>366</v>
      </c>
      <c r="D2862" s="3">
        <f t="shared" si="662"/>
        <v>26</v>
      </c>
      <c r="E2862" s="66">
        <v>6</v>
      </c>
      <c r="F2862" s="67" t="s">
        <v>732</v>
      </c>
      <c r="G2862" s="68" t="s">
        <v>733</v>
      </c>
      <c r="H2862" s="69" t="s">
        <v>1687</v>
      </c>
      <c r="I2862" s="68" t="s">
        <v>726</v>
      </c>
      <c r="J2862" s="429" t="s">
        <v>1961</v>
      </c>
      <c r="K2862" s="71" t="s">
        <v>2157</v>
      </c>
      <c r="L2862" s="72">
        <v>40525</v>
      </c>
      <c r="M2862" s="73" t="s">
        <v>729</v>
      </c>
      <c r="N2862" s="74">
        <v>40532</v>
      </c>
      <c r="O2862" s="75">
        <f t="shared" si="657"/>
        <v>40532</v>
      </c>
      <c r="P2862" s="2765"/>
      <c r="Q2862" s="2954"/>
      <c r="R2862" s="76">
        <f t="shared" si="663"/>
        <v>274.78991596638656</v>
      </c>
      <c r="S2862" s="1945" t="s">
        <v>731</v>
      </c>
      <c r="T2862" s="77"/>
      <c r="U2862" s="1893"/>
      <c r="V2862" s="2079">
        <f t="shared" si="659"/>
        <v>0</v>
      </c>
      <c r="W2862" s="78">
        <f t="shared" si="660"/>
        <v>324.25210084033614</v>
      </c>
      <c r="X2862" s="1878" t="str">
        <f t="shared" si="658"/>
        <v xml:space="preserve">6.- C Lima Caucho 0580708-OT_000555  Reencauche  </v>
      </c>
      <c r="Z2862" s="19" t="str">
        <f t="shared" si="656"/>
        <v>ReencaucheAMC Llantas</v>
      </c>
    </row>
    <row r="2863" spans="1:29" outlineLevel="1">
      <c r="B2863" s="3252"/>
      <c r="C2863" s="2">
        <f t="shared" si="661"/>
        <v>365</v>
      </c>
      <c r="D2863" s="3">
        <f t="shared" si="662"/>
        <v>25</v>
      </c>
      <c r="E2863" s="66">
        <v>7</v>
      </c>
      <c r="F2863" s="67" t="s">
        <v>732</v>
      </c>
      <c r="G2863" s="68" t="s">
        <v>737</v>
      </c>
      <c r="H2863" s="69" t="s">
        <v>794</v>
      </c>
      <c r="I2863" s="68" t="s">
        <v>726</v>
      </c>
      <c r="J2863" s="429" t="s">
        <v>1961</v>
      </c>
      <c r="K2863" s="71" t="s">
        <v>2157</v>
      </c>
      <c r="L2863" s="72">
        <v>40525</v>
      </c>
      <c r="M2863" s="73" t="s">
        <v>729</v>
      </c>
      <c r="N2863" s="74">
        <v>40532</v>
      </c>
      <c r="O2863" s="75">
        <f t="shared" si="657"/>
        <v>40532</v>
      </c>
      <c r="P2863" s="2765"/>
      <c r="Q2863" s="2954"/>
      <c r="R2863" s="76">
        <f t="shared" si="663"/>
        <v>274.78991596638656</v>
      </c>
      <c r="S2863" s="1945" t="s">
        <v>731</v>
      </c>
      <c r="T2863" s="77"/>
      <c r="U2863" s="1893"/>
      <c r="V2863" s="2079">
        <f t="shared" si="659"/>
        <v>0</v>
      </c>
      <c r="W2863" s="78">
        <f t="shared" si="660"/>
        <v>324.25210084033614</v>
      </c>
      <c r="X2863" s="1878" t="str">
        <f t="shared" si="658"/>
        <v xml:space="preserve">7.- C Vikrant 0570709-OT_000555  Reencauche  </v>
      </c>
      <c r="Z2863" s="19" t="str">
        <f t="shared" si="656"/>
        <v>ReencaucheAMC Llantas</v>
      </c>
    </row>
    <row r="2864" spans="1:29" ht="15.2" customHeight="1" outlineLevel="1">
      <c r="B2864" s="3252"/>
      <c r="C2864" s="2">
        <f t="shared" si="661"/>
        <v>364</v>
      </c>
      <c r="D2864" s="3">
        <f t="shared" si="662"/>
        <v>24</v>
      </c>
      <c r="E2864" s="66">
        <v>8</v>
      </c>
      <c r="F2864" s="67" t="s">
        <v>732</v>
      </c>
      <c r="G2864" s="68" t="s">
        <v>737</v>
      </c>
      <c r="H2864" s="69" t="s">
        <v>2060</v>
      </c>
      <c r="I2864" s="68" t="s">
        <v>726</v>
      </c>
      <c r="J2864" s="429" t="s">
        <v>1961</v>
      </c>
      <c r="K2864" s="71" t="s">
        <v>2157</v>
      </c>
      <c r="L2864" s="72">
        <v>40525</v>
      </c>
      <c r="M2864" s="73" t="s">
        <v>729</v>
      </c>
      <c r="N2864" s="74">
        <v>40532</v>
      </c>
      <c r="O2864" s="75">
        <f t="shared" si="657"/>
        <v>40532</v>
      </c>
      <c r="P2864" s="2765"/>
      <c r="Q2864" s="2954"/>
      <c r="R2864" s="76">
        <f t="shared" si="663"/>
        <v>274.78991596638656</v>
      </c>
      <c r="S2864" s="1945" t="s">
        <v>731</v>
      </c>
      <c r="T2864" s="77"/>
      <c r="U2864" s="1893"/>
      <c r="V2864" s="2079">
        <f t="shared" si="659"/>
        <v>0</v>
      </c>
      <c r="W2864" s="78">
        <f t="shared" si="660"/>
        <v>324.25210084033614</v>
      </c>
      <c r="X2864" s="1885" t="str">
        <f t="shared" si="658"/>
        <v xml:space="preserve">8.- C Vikrant 0560709-OT_000555  Reencauche  </v>
      </c>
      <c r="Y2864" s="473"/>
      <c r="Z2864" s="474" t="str">
        <f t="shared" si="656"/>
        <v>ReencaucheReencauchadora Espinoza</v>
      </c>
      <c r="AA2864" s="463"/>
      <c r="AB2864" s="463"/>
      <c r="AC2864" s="463"/>
    </row>
    <row r="2865" spans="1:29" outlineLevel="1">
      <c r="B2865" s="3252"/>
      <c r="C2865" s="2">
        <f t="shared" si="661"/>
        <v>363</v>
      </c>
      <c r="D2865" s="3">
        <f t="shared" si="662"/>
        <v>23</v>
      </c>
      <c r="E2865" s="66">
        <v>9</v>
      </c>
      <c r="F2865" s="67" t="s">
        <v>732</v>
      </c>
      <c r="G2865" s="68" t="s">
        <v>737</v>
      </c>
      <c r="H2865" s="69" t="s">
        <v>842</v>
      </c>
      <c r="I2865" s="68" t="s">
        <v>726</v>
      </c>
      <c r="J2865" s="429" t="s">
        <v>1961</v>
      </c>
      <c r="K2865" s="71" t="s">
        <v>2157</v>
      </c>
      <c r="L2865" s="72">
        <v>40525</v>
      </c>
      <c r="M2865" s="73" t="s">
        <v>729</v>
      </c>
      <c r="N2865" s="74">
        <v>40532</v>
      </c>
      <c r="O2865" s="75">
        <f t="shared" si="657"/>
        <v>40532</v>
      </c>
      <c r="P2865" s="2765"/>
      <c r="Q2865" s="2954"/>
      <c r="R2865" s="76">
        <f t="shared" si="663"/>
        <v>274.78991596638656</v>
      </c>
      <c r="S2865" s="1945" t="s">
        <v>731</v>
      </c>
      <c r="T2865" s="77"/>
      <c r="U2865" s="1893"/>
      <c r="V2865" s="2079">
        <f t="shared" si="659"/>
        <v>0</v>
      </c>
      <c r="W2865" s="78">
        <f t="shared" si="660"/>
        <v>324.25210084033614</v>
      </c>
      <c r="X2865" s="1885" t="str">
        <f t="shared" si="658"/>
        <v xml:space="preserve">9.- C Vikrant 0841007-OT_000555  Reencauche  </v>
      </c>
      <c r="Y2865" s="473"/>
      <c r="Z2865" s="474" t="str">
        <f t="shared" si="656"/>
        <v>RECLAMOReencauchadora Espinoza</v>
      </c>
      <c r="AA2865" s="463"/>
      <c r="AB2865" s="463"/>
      <c r="AC2865" s="463"/>
    </row>
    <row r="2866" spans="1:29" outlineLevel="1">
      <c r="B2866" s="3252"/>
      <c r="C2866" s="2">
        <f t="shared" si="661"/>
        <v>362</v>
      </c>
      <c r="D2866" s="3">
        <f t="shared" si="662"/>
        <v>22</v>
      </c>
      <c r="E2866" s="79">
        <v>10</v>
      </c>
      <c r="F2866" s="80" t="s">
        <v>732</v>
      </c>
      <c r="G2866" s="81" t="s">
        <v>733</v>
      </c>
      <c r="H2866" s="82" t="s">
        <v>2159</v>
      </c>
      <c r="I2866" s="81" t="s">
        <v>726</v>
      </c>
      <c r="J2866" s="83" t="s">
        <v>1961</v>
      </c>
      <c r="K2866" s="84" t="s">
        <v>2157</v>
      </c>
      <c r="L2866" s="85">
        <v>40525</v>
      </c>
      <c r="M2866" s="86" t="s">
        <v>729</v>
      </c>
      <c r="N2866" s="87">
        <v>40532</v>
      </c>
      <c r="O2866" s="88">
        <f t="shared" si="657"/>
        <v>40532</v>
      </c>
      <c r="P2866" s="2766"/>
      <c r="Q2866" s="2955"/>
      <c r="R2866" s="89">
        <f t="shared" si="663"/>
        <v>274.78991596638656</v>
      </c>
      <c r="S2866" s="1946" t="s">
        <v>731</v>
      </c>
      <c r="T2866" s="77"/>
      <c r="U2866" s="1893"/>
      <c r="V2866" s="2079">
        <f t="shared" si="659"/>
        <v>0</v>
      </c>
      <c r="W2866" s="78">
        <f t="shared" si="660"/>
        <v>324.25210084033614</v>
      </c>
      <c r="X2866" s="1885" t="str">
        <f t="shared" si="658"/>
        <v xml:space="preserve">10.- C Lima Caucho 1171107-OT_000555  Reencauche  </v>
      </c>
      <c r="Y2866" s="473"/>
      <c r="Z2866" s="474" t="str">
        <f t="shared" si="656"/>
        <v>ReencaucheReencauchadora RENOVA</v>
      </c>
      <c r="AA2866" s="463"/>
      <c r="AB2866" s="463"/>
      <c r="AC2866" s="463"/>
    </row>
    <row r="2867" spans="1:29" ht="14.25" outlineLevel="1">
      <c r="A2867" s="463"/>
      <c r="B2867" s="3252"/>
      <c r="C2867" s="2">
        <f>1+C2868</f>
        <v>361</v>
      </c>
      <c r="D2867" s="3">
        <f>1+D2869</f>
        <v>21</v>
      </c>
      <c r="E2867" s="66">
        <v>1</v>
      </c>
      <c r="F2867" s="67" t="s">
        <v>732</v>
      </c>
      <c r="G2867" s="439" t="s">
        <v>1108</v>
      </c>
      <c r="H2867" s="464" t="s">
        <v>1821</v>
      </c>
      <c r="I2867" s="465" t="s">
        <v>726</v>
      </c>
      <c r="J2867" s="466" t="s">
        <v>1543</v>
      </c>
      <c r="K2867" s="71" t="s">
        <v>2160</v>
      </c>
      <c r="L2867" s="467">
        <v>40515</v>
      </c>
      <c r="M2867" s="468" t="s">
        <v>729</v>
      </c>
      <c r="N2867" s="469">
        <v>40522</v>
      </c>
      <c r="O2867" s="470">
        <f t="shared" si="657"/>
        <v>40522</v>
      </c>
      <c r="P2867" s="2809"/>
      <c r="Q2867" s="2983"/>
      <c r="R2867" s="471">
        <f>300/(1.19)</f>
        <v>252.10084033613447</v>
      </c>
      <c r="S2867" s="1973" t="s">
        <v>731</v>
      </c>
      <c r="T2867" s="472"/>
      <c r="U2867" s="1901"/>
      <c r="V2867" s="2079">
        <f t="shared" si="659"/>
        <v>0</v>
      </c>
      <c r="W2867" s="78">
        <f t="shared" si="660"/>
        <v>297.47899159663865</v>
      </c>
      <c r="X2867" s="1885" t="str">
        <f t="shared" si="658"/>
        <v xml:space="preserve">1.- C Hankook 0650305-OT_000228  Reencauche  </v>
      </c>
      <c r="Y2867" s="473"/>
      <c r="Z2867" s="474" t="str">
        <f t="shared" si="656"/>
        <v/>
      </c>
      <c r="AA2867" s="463"/>
      <c r="AB2867" s="463"/>
      <c r="AC2867" s="463"/>
    </row>
    <row r="2868" spans="1:29" ht="14.25" outlineLevel="1">
      <c r="A2868" s="463"/>
      <c r="B2868" s="3252"/>
      <c r="C2868" s="2">
        <f>1+C2869</f>
        <v>360</v>
      </c>
      <c r="E2868" s="79">
        <v>2</v>
      </c>
      <c r="F2868" s="80" t="s">
        <v>732</v>
      </c>
      <c r="G2868" s="475" t="s">
        <v>737</v>
      </c>
      <c r="H2868" s="476" t="s">
        <v>2161</v>
      </c>
      <c r="I2868" s="477" t="s">
        <v>816</v>
      </c>
      <c r="J2868" s="412" t="s">
        <v>1543</v>
      </c>
      <c r="K2868" s="350" t="s">
        <v>2160</v>
      </c>
      <c r="L2868" s="478">
        <v>40515</v>
      </c>
      <c r="M2868" s="479" t="s">
        <v>729</v>
      </c>
      <c r="N2868" s="480">
        <v>40522</v>
      </c>
      <c r="O2868" s="481">
        <f t="shared" si="657"/>
        <v>40522</v>
      </c>
      <c r="P2868" s="2810"/>
      <c r="Q2868" s="2984"/>
      <c r="R2868" s="482">
        <v>0</v>
      </c>
      <c r="S2868" s="1974" t="s">
        <v>731</v>
      </c>
      <c r="T2868" s="1917" t="s">
        <v>2163</v>
      </c>
      <c r="U2868" s="1900"/>
      <c r="V2868" s="2079">
        <f t="shared" si="659"/>
        <v>0</v>
      </c>
      <c r="W2868" s="78">
        <f t="shared" si="660"/>
        <v>0</v>
      </c>
      <c r="X2868" s="1885" t="str">
        <f t="shared" si="658"/>
        <v>2.- C Vikrant 0951206-OT_000228  RECLAMO  Por abertura diagonal en banda de rodamiento (Transpl Bnd)</v>
      </c>
      <c r="Y2868" s="473"/>
      <c r="Z2868" s="474" t="str">
        <f t="shared" si="656"/>
        <v>ReencaucheReencauchadora RENOVA</v>
      </c>
      <c r="AA2868" s="463"/>
      <c r="AB2868" s="463"/>
      <c r="AC2868" s="463"/>
    </row>
    <row r="2869" spans="1:29" ht="14.25" outlineLevel="1">
      <c r="A2869" s="463"/>
      <c r="B2869" s="3252"/>
      <c r="C2869" s="2">
        <f>1+C2871</f>
        <v>359</v>
      </c>
      <c r="D2869" s="3">
        <f>1+D2871</f>
        <v>20</v>
      </c>
      <c r="E2869" s="66">
        <v>1</v>
      </c>
      <c r="F2869" s="67" t="s">
        <v>732</v>
      </c>
      <c r="G2869" s="439" t="s">
        <v>737</v>
      </c>
      <c r="H2869" s="464" t="s">
        <v>2164</v>
      </c>
      <c r="I2869" s="465" t="s">
        <v>726</v>
      </c>
      <c r="J2869" s="431" t="s">
        <v>760</v>
      </c>
      <c r="K2869" s="71" t="s">
        <v>2165</v>
      </c>
      <c r="L2869" s="467">
        <v>40512</v>
      </c>
      <c r="M2869" s="468" t="s">
        <v>729</v>
      </c>
      <c r="N2869" s="469">
        <v>40528</v>
      </c>
      <c r="O2869" s="470">
        <f t="shared" si="657"/>
        <v>40528</v>
      </c>
      <c r="P2869" s="2809"/>
      <c r="Q2869" s="2983">
        <v>100.54</v>
      </c>
      <c r="R2869" s="471"/>
      <c r="S2869" s="1973" t="s">
        <v>731</v>
      </c>
      <c r="T2869" s="472"/>
      <c r="U2869" s="1901"/>
      <c r="V2869" s="2079">
        <f t="shared" si="659"/>
        <v>118.63720000000001</v>
      </c>
      <c r="W2869" s="78">
        <f t="shared" si="660"/>
        <v>0</v>
      </c>
      <c r="X2869" s="1885" t="str">
        <f t="shared" si="658"/>
        <v xml:space="preserve">1.- C Vikrant 0971206-OT_142645  Reencauche  </v>
      </c>
      <c r="Y2869" s="473"/>
      <c r="Z2869" s="474" t="str">
        <f t="shared" si="656"/>
        <v>ReencaucheReencauchadora RENOVA</v>
      </c>
      <c r="AA2869" s="463"/>
      <c r="AB2869" s="463"/>
      <c r="AC2869" s="463"/>
    </row>
    <row r="2870" spans="1:29" ht="14.25" outlineLevel="1">
      <c r="A2870" s="463"/>
      <c r="B2870" s="3252"/>
      <c r="E2870" s="406">
        <v>2</v>
      </c>
      <c r="F2870" s="573" t="s">
        <v>732</v>
      </c>
      <c r="G2870" s="483" t="s">
        <v>733</v>
      </c>
      <c r="H2870" s="484" t="s">
        <v>2148</v>
      </c>
      <c r="I2870" s="483"/>
      <c r="J2870" s="407"/>
      <c r="K2870" s="292" t="s">
        <v>2165</v>
      </c>
      <c r="L2870" s="485">
        <v>40512</v>
      </c>
      <c r="M2870" s="486" t="s">
        <v>1815</v>
      </c>
      <c r="N2870" s="487">
        <v>40528</v>
      </c>
      <c r="O2870" s="488">
        <f t="shared" si="657"/>
        <v>40528</v>
      </c>
      <c r="P2870" s="2811"/>
      <c r="Q2870" s="2985">
        <v>0</v>
      </c>
      <c r="R2870" s="489"/>
      <c r="S2870" s="1975" t="s">
        <v>731</v>
      </c>
      <c r="T2870" s="274" t="s">
        <v>1617</v>
      </c>
      <c r="U2870" s="1895"/>
      <c r="V2870" s="2079">
        <f t="shared" si="659"/>
        <v>0</v>
      </c>
      <c r="W2870" s="78">
        <f t="shared" si="660"/>
        <v>0</v>
      </c>
      <c r="X2870" s="1885" t="str">
        <f t="shared" si="658"/>
        <v>2.- C Lima Caucho 1371207-OT_142645     Llanta Rechazada, no se facturo</v>
      </c>
      <c r="Y2870" s="473"/>
      <c r="Z2870" s="474" t="str">
        <f t="shared" si="656"/>
        <v>ReencaucheReencauchadora RENOVA</v>
      </c>
      <c r="AA2870" s="463"/>
      <c r="AB2870" s="463"/>
      <c r="AC2870" s="463"/>
    </row>
    <row r="2871" spans="1:29" ht="14.25" outlineLevel="1">
      <c r="A2871" s="463"/>
      <c r="B2871" s="3252"/>
      <c r="C2871" s="2">
        <f t="shared" ref="C2871:D2878" si="664">1+C2872</f>
        <v>358</v>
      </c>
      <c r="D2871" s="3">
        <f t="shared" si="664"/>
        <v>19</v>
      </c>
      <c r="E2871" s="66">
        <v>3</v>
      </c>
      <c r="F2871" s="67" t="s">
        <v>732</v>
      </c>
      <c r="G2871" s="439" t="s">
        <v>733</v>
      </c>
      <c r="H2871" s="464" t="s">
        <v>804</v>
      </c>
      <c r="I2871" s="439" t="s">
        <v>726</v>
      </c>
      <c r="J2871" s="431" t="s">
        <v>760</v>
      </c>
      <c r="K2871" s="71" t="s">
        <v>2165</v>
      </c>
      <c r="L2871" s="467">
        <v>40512</v>
      </c>
      <c r="M2871" s="468" t="s">
        <v>729</v>
      </c>
      <c r="N2871" s="469">
        <v>40528</v>
      </c>
      <c r="O2871" s="470">
        <f t="shared" si="657"/>
        <v>40528</v>
      </c>
      <c r="P2871" s="2809"/>
      <c r="Q2871" s="2983">
        <v>100.54</v>
      </c>
      <c r="R2871" s="471"/>
      <c r="S2871" s="1973" t="s">
        <v>731</v>
      </c>
      <c r="T2871" s="472"/>
      <c r="U2871" s="1901"/>
      <c r="V2871" s="2079">
        <f t="shared" si="659"/>
        <v>118.63720000000001</v>
      </c>
      <c r="W2871" s="78">
        <f t="shared" si="660"/>
        <v>0</v>
      </c>
      <c r="X2871" s="1885" t="str">
        <f t="shared" si="658"/>
        <v xml:space="preserve">3.- C Lima Caucho 1141107-OT_142645  Reencauche  </v>
      </c>
      <c r="Y2871" s="473"/>
      <c r="Z2871" s="474" t="str">
        <f t="shared" si="656"/>
        <v>ReencaucheReencauchadora RENOVA</v>
      </c>
      <c r="AA2871" s="463"/>
      <c r="AB2871" s="463"/>
      <c r="AC2871" s="463"/>
    </row>
    <row r="2872" spans="1:29" ht="14.25" outlineLevel="1">
      <c r="A2872" s="463"/>
      <c r="B2872" s="3252"/>
      <c r="C2872" s="2">
        <f t="shared" si="664"/>
        <v>357</v>
      </c>
      <c r="D2872" s="3">
        <f t="shared" si="664"/>
        <v>18</v>
      </c>
      <c r="E2872" s="66">
        <v>4</v>
      </c>
      <c r="F2872" s="67" t="s">
        <v>732</v>
      </c>
      <c r="G2872" s="439" t="s">
        <v>737</v>
      </c>
      <c r="H2872" s="464" t="s">
        <v>1841</v>
      </c>
      <c r="I2872" s="439" t="s">
        <v>726</v>
      </c>
      <c r="J2872" s="431" t="s">
        <v>760</v>
      </c>
      <c r="K2872" s="71" t="s">
        <v>2165</v>
      </c>
      <c r="L2872" s="467">
        <v>40512</v>
      </c>
      <c r="M2872" s="468" t="s">
        <v>729</v>
      </c>
      <c r="N2872" s="469">
        <v>40528</v>
      </c>
      <c r="O2872" s="470">
        <f t="shared" si="657"/>
        <v>40528</v>
      </c>
      <c r="P2872" s="2809"/>
      <c r="Q2872" s="2983">
        <v>100.54</v>
      </c>
      <c r="R2872" s="471"/>
      <c r="S2872" s="1973" t="s">
        <v>731</v>
      </c>
      <c r="T2872" s="472"/>
      <c r="U2872" s="1901"/>
      <c r="V2872" s="2079">
        <f t="shared" si="659"/>
        <v>118.63720000000001</v>
      </c>
      <c r="W2872" s="78">
        <f t="shared" si="660"/>
        <v>0</v>
      </c>
      <c r="X2872" s="1885" t="str">
        <f t="shared" si="658"/>
        <v xml:space="preserve">4.- C Vikrant 0460506-OT_142645  Reencauche  </v>
      </c>
      <c r="Y2872" s="473"/>
      <c r="Z2872" s="474" t="str">
        <f t="shared" si="656"/>
        <v>ReencaucheReencauchadora RENOVA</v>
      </c>
      <c r="AA2872" s="463"/>
      <c r="AB2872" s="463"/>
      <c r="AC2872" s="463"/>
    </row>
    <row r="2873" spans="1:29" ht="14.25" outlineLevel="1">
      <c r="A2873" s="463"/>
      <c r="B2873" s="3252"/>
      <c r="C2873" s="2">
        <f t="shared" si="664"/>
        <v>356</v>
      </c>
      <c r="D2873" s="3">
        <f t="shared" si="664"/>
        <v>17</v>
      </c>
      <c r="E2873" s="66">
        <v>5</v>
      </c>
      <c r="F2873" s="67" t="s">
        <v>732</v>
      </c>
      <c r="G2873" s="439" t="s">
        <v>737</v>
      </c>
      <c r="H2873" s="464" t="s">
        <v>775</v>
      </c>
      <c r="I2873" s="439" t="s">
        <v>726</v>
      </c>
      <c r="J2873" s="431" t="s">
        <v>760</v>
      </c>
      <c r="K2873" s="71" t="s">
        <v>2165</v>
      </c>
      <c r="L2873" s="467">
        <v>40512</v>
      </c>
      <c r="M2873" s="468" t="s">
        <v>729</v>
      </c>
      <c r="N2873" s="469">
        <v>40528</v>
      </c>
      <c r="O2873" s="470">
        <f t="shared" si="657"/>
        <v>40528</v>
      </c>
      <c r="P2873" s="2809"/>
      <c r="Q2873" s="2983">
        <v>100.54</v>
      </c>
      <c r="R2873" s="471"/>
      <c r="S2873" s="1973" t="s">
        <v>731</v>
      </c>
      <c r="T2873" s="472"/>
      <c r="U2873" s="1901"/>
      <c r="V2873" s="2079">
        <f t="shared" si="659"/>
        <v>118.63720000000001</v>
      </c>
      <c r="W2873" s="78">
        <f t="shared" si="660"/>
        <v>0</v>
      </c>
      <c r="X2873" s="1885" t="str">
        <f t="shared" si="658"/>
        <v xml:space="preserve">5.- C Vikrant 0110109-OT_142645  Reencauche  </v>
      </c>
      <c r="Y2873" s="473"/>
      <c r="Z2873" s="474" t="str">
        <f t="shared" si="656"/>
        <v>ReencaucheReencauchadora RENOVA</v>
      </c>
      <c r="AA2873" s="463"/>
      <c r="AB2873" s="463"/>
      <c r="AC2873" s="463"/>
    </row>
    <row r="2874" spans="1:29" ht="14.25" outlineLevel="1">
      <c r="A2874" s="463"/>
      <c r="B2874" s="3252"/>
      <c r="C2874" s="2">
        <f t="shared" si="664"/>
        <v>355</v>
      </c>
      <c r="D2874" s="3">
        <f t="shared" si="664"/>
        <v>16</v>
      </c>
      <c r="E2874" s="66">
        <v>6</v>
      </c>
      <c r="F2874" s="67" t="s">
        <v>732</v>
      </c>
      <c r="G2874" s="439" t="s">
        <v>737</v>
      </c>
      <c r="H2874" s="464" t="s">
        <v>904</v>
      </c>
      <c r="I2874" s="439" t="s">
        <v>726</v>
      </c>
      <c r="J2874" s="431" t="s">
        <v>760</v>
      </c>
      <c r="K2874" s="71" t="s">
        <v>2165</v>
      </c>
      <c r="L2874" s="467">
        <v>40512</v>
      </c>
      <c r="M2874" s="468" t="s">
        <v>729</v>
      </c>
      <c r="N2874" s="469">
        <v>40528</v>
      </c>
      <c r="O2874" s="470">
        <f t="shared" si="657"/>
        <v>40528</v>
      </c>
      <c r="P2874" s="2809"/>
      <c r="Q2874" s="2983">
        <v>100.54</v>
      </c>
      <c r="R2874" s="471"/>
      <c r="S2874" s="1973" t="s">
        <v>731</v>
      </c>
      <c r="T2874" s="472"/>
      <c r="U2874" s="1901"/>
      <c r="V2874" s="2079">
        <f t="shared" si="659"/>
        <v>118.63720000000001</v>
      </c>
      <c r="W2874" s="78">
        <f t="shared" si="660"/>
        <v>0</v>
      </c>
      <c r="X2874" s="1885" t="str">
        <f t="shared" si="658"/>
        <v xml:space="preserve">6.- C Vikrant 0660809-OT_142645  Reencauche  </v>
      </c>
      <c r="Y2874" s="473"/>
      <c r="Z2874" s="474" t="str">
        <f t="shared" si="656"/>
        <v>ReencaucheReencauchadora RENOVA</v>
      </c>
      <c r="AA2874" s="463"/>
      <c r="AB2874" s="463"/>
      <c r="AC2874" s="463"/>
    </row>
    <row r="2875" spans="1:29" ht="14.25" outlineLevel="1">
      <c r="A2875" s="463"/>
      <c r="B2875" s="3252"/>
      <c r="C2875" s="2">
        <f t="shared" si="664"/>
        <v>354</v>
      </c>
      <c r="D2875" s="3">
        <f t="shared" si="664"/>
        <v>15</v>
      </c>
      <c r="E2875" s="66">
        <v>7</v>
      </c>
      <c r="F2875" s="67" t="s">
        <v>732</v>
      </c>
      <c r="G2875" s="439" t="s">
        <v>733</v>
      </c>
      <c r="H2875" s="464" t="s">
        <v>2166</v>
      </c>
      <c r="I2875" s="439" t="s">
        <v>726</v>
      </c>
      <c r="J2875" s="431" t="s">
        <v>760</v>
      </c>
      <c r="K2875" s="71" t="s">
        <v>2165</v>
      </c>
      <c r="L2875" s="467">
        <v>40512</v>
      </c>
      <c r="M2875" s="468" t="s">
        <v>729</v>
      </c>
      <c r="N2875" s="469">
        <v>40528</v>
      </c>
      <c r="O2875" s="470">
        <f t="shared" si="657"/>
        <v>40528</v>
      </c>
      <c r="P2875" s="2809"/>
      <c r="Q2875" s="2983">
        <v>100.54</v>
      </c>
      <c r="R2875" s="471"/>
      <c r="S2875" s="1973" t="s">
        <v>731</v>
      </c>
      <c r="T2875" s="472"/>
      <c r="U2875" s="1901"/>
      <c r="V2875" s="2079">
        <f t="shared" si="659"/>
        <v>118.63720000000001</v>
      </c>
      <c r="W2875" s="78">
        <f t="shared" si="660"/>
        <v>0</v>
      </c>
      <c r="X2875" s="1885" t="str">
        <f t="shared" si="658"/>
        <v xml:space="preserve">7.- C Lima Caucho 0600807-OT_142645  Reencauche  </v>
      </c>
      <c r="Y2875" s="473"/>
      <c r="Z2875" s="474" t="str">
        <f t="shared" si="656"/>
        <v>ReencaucheReencauchadora RENOVA</v>
      </c>
      <c r="AA2875" s="463"/>
      <c r="AB2875" s="463"/>
      <c r="AC2875" s="463"/>
    </row>
    <row r="2876" spans="1:29" ht="14.25" outlineLevel="1">
      <c r="A2876" s="463"/>
      <c r="B2876" s="3252"/>
      <c r="C2876" s="2">
        <f t="shared" si="664"/>
        <v>353</v>
      </c>
      <c r="D2876" s="3">
        <f t="shared" si="664"/>
        <v>14</v>
      </c>
      <c r="E2876" s="66">
        <v>8</v>
      </c>
      <c r="F2876" s="67" t="s">
        <v>732</v>
      </c>
      <c r="G2876" s="439" t="s">
        <v>733</v>
      </c>
      <c r="H2876" s="464" t="s">
        <v>1508</v>
      </c>
      <c r="I2876" s="439" t="s">
        <v>726</v>
      </c>
      <c r="J2876" s="431" t="s">
        <v>760</v>
      </c>
      <c r="K2876" s="71" t="s">
        <v>2165</v>
      </c>
      <c r="L2876" s="467">
        <v>40512</v>
      </c>
      <c r="M2876" s="468" t="s">
        <v>729</v>
      </c>
      <c r="N2876" s="469">
        <v>40528</v>
      </c>
      <c r="O2876" s="470">
        <f t="shared" si="657"/>
        <v>40528</v>
      </c>
      <c r="P2876" s="2809"/>
      <c r="Q2876" s="2983">
        <v>100.54</v>
      </c>
      <c r="R2876" s="471"/>
      <c r="S2876" s="1973" t="s">
        <v>731</v>
      </c>
      <c r="T2876" s="472"/>
      <c r="U2876" s="1901"/>
      <c r="V2876" s="2079">
        <f t="shared" si="659"/>
        <v>118.63720000000001</v>
      </c>
      <c r="W2876" s="78">
        <f t="shared" si="660"/>
        <v>0</v>
      </c>
      <c r="X2876" s="1885" t="str">
        <f t="shared" si="658"/>
        <v xml:space="preserve">8.- C Lima Caucho 0320508-OT_142645  Reencauche  </v>
      </c>
      <c r="Y2876" s="473"/>
      <c r="Z2876" s="474" t="str">
        <f t="shared" si="656"/>
        <v>ReencaucheReencauchadora RENOVA</v>
      </c>
      <c r="AA2876" s="463"/>
      <c r="AB2876" s="463"/>
      <c r="AC2876" s="463"/>
    </row>
    <row r="2877" spans="1:29" ht="14.25" outlineLevel="1">
      <c r="A2877" s="463"/>
      <c r="B2877" s="3252"/>
      <c r="C2877" s="2">
        <f t="shared" si="664"/>
        <v>352</v>
      </c>
      <c r="D2877" s="3">
        <f t="shared" si="664"/>
        <v>13</v>
      </c>
      <c r="E2877" s="66">
        <v>9</v>
      </c>
      <c r="F2877" s="67" t="s">
        <v>732</v>
      </c>
      <c r="G2877" s="439" t="s">
        <v>733</v>
      </c>
      <c r="H2877" s="464" t="s">
        <v>1285</v>
      </c>
      <c r="I2877" s="439" t="s">
        <v>726</v>
      </c>
      <c r="J2877" s="431" t="s">
        <v>760</v>
      </c>
      <c r="K2877" s="71" t="s">
        <v>2165</v>
      </c>
      <c r="L2877" s="467">
        <v>40512</v>
      </c>
      <c r="M2877" s="468" t="s">
        <v>729</v>
      </c>
      <c r="N2877" s="469">
        <v>40528</v>
      </c>
      <c r="O2877" s="470">
        <f t="shared" si="657"/>
        <v>40528</v>
      </c>
      <c r="P2877" s="2809"/>
      <c r="Q2877" s="2983">
        <v>100.54</v>
      </c>
      <c r="R2877" s="471"/>
      <c r="S2877" s="1973" t="s">
        <v>731</v>
      </c>
      <c r="T2877" s="472"/>
      <c r="U2877" s="1901"/>
      <c r="V2877" s="2079">
        <f t="shared" si="659"/>
        <v>118.63720000000001</v>
      </c>
      <c r="W2877" s="78">
        <f t="shared" si="660"/>
        <v>0</v>
      </c>
      <c r="X2877" s="1885" t="str">
        <f t="shared" si="658"/>
        <v xml:space="preserve">9.- C Lima Caucho 0540807-OT_142645  Reencauche  </v>
      </c>
      <c r="Y2877" s="473"/>
      <c r="Z2877" s="474" t="str">
        <f t="shared" si="656"/>
        <v/>
      </c>
      <c r="AA2877" s="463"/>
      <c r="AB2877" s="463"/>
      <c r="AC2877" s="463"/>
    </row>
    <row r="2878" spans="1:29" ht="14.25" outlineLevel="1">
      <c r="A2878" s="463"/>
      <c r="B2878" s="3252"/>
      <c r="C2878" s="2">
        <f t="shared" si="664"/>
        <v>351</v>
      </c>
      <c r="D2878" s="3">
        <f t="shared" si="664"/>
        <v>12</v>
      </c>
      <c r="E2878" s="66">
        <v>10</v>
      </c>
      <c r="F2878" s="67" t="s">
        <v>732</v>
      </c>
      <c r="G2878" s="439" t="s">
        <v>737</v>
      </c>
      <c r="H2878" s="464" t="s">
        <v>2167</v>
      </c>
      <c r="I2878" s="439" t="s">
        <v>726</v>
      </c>
      <c r="J2878" s="431" t="s">
        <v>760</v>
      </c>
      <c r="K2878" s="71" t="s">
        <v>2165</v>
      </c>
      <c r="L2878" s="467">
        <v>40512</v>
      </c>
      <c r="M2878" s="468" t="s">
        <v>729</v>
      </c>
      <c r="N2878" s="469">
        <v>40528</v>
      </c>
      <c r="O2878" s="470">
        <f t="shared" si="657"/>
        <v>40528</v>
      </c>
      <c r="P2878" s="2809"/>
      <c r="Q2878" s="2983">
        <v>100.54</v>
      </c>
      <c r="R2878" s="471"/>
      <c r="S2878" s="1973" t="s">
        <v>731</v>
      </c>
      <c r="T2878" s="472"/>
      <c r="U2878" s="1901"/>
      <c r="V2878" s="2079">
        <f t="shared" si="659"/>
        <v>118.63720000000001</v>
      </c>
      <c r="W2878" s="78">
        <f t="shared" si="660"/>
        <v>0</v>
      </c>
      <c r="X2878" s="1885" t="str">
        <f t="shared" si="658"/>
        <v xml:space="preserve">10.- C Vikrant 1481105-OT_142645  Reencauche  </v>
      </c>
      <c r="Y2878" s="473"/>
      <c r="Z2878" s="474" t="str">
        <f t="shared" si="656"/>
        <v>ReencaucheReencauchadora RENOVA</v>
      </c>
      <c r="AA2878" s="463"/>
      <c r="AB2878" s="463"/>
      <c r="AC2878" s="463"/>
    </row>
    <row r="2879" spans="1:29" ht="14.25" outlineLevel="1">
      <c r="A2879" s="463"/>
      <c r="B2879" s="3252"/>
      <c r="C2879" s="2">
        <f>1+C2881</f>
        <v>350</v>
      </c>
      <c r="D2879" s="3">
        <f>1+D2881</f>
        <v>11</v>
      </c>
      <c r="E2879" s="66">
        <v>11</v>
      </c>
      <c r="F2879" s="67" t="s">
        <v>732</v>
      </c>
      <c r="G2879" s="439" t="s">
        <v>757</v>
      </c>
      <c r="H2879" s="464" t="s">
        <v>1842</v>
      </c>
      <c r="I2879" s="439" t="s">
        <v>726</v>
      </c>
      <c r="J2879" s="431" t="s">
        <v>760</v>
      </c>
      <c r="K2879" s="71" t="s">
        <v>2168</v>
      </c>
      <c r="L2879" s="467">
        <v>40512</v>
      </c>
      <c r="M2879" s="468" t="s">
        <v>729</v>
      </c>
      <c r="N2879" s="469">
        <v>40528</v>
      </c>
      <c r="O2879" s="470">
        <f t="shared" si="657"/>
        <v>40528</v>
      </c>
      <c r="P2879" s="2809"/>
      <c r="Q2879" s="2983">
        <v>100.54</v>
      </c>
      <c r="R2879" s="471"/>
      <c r="S2879" s="1973" t="s">
        <v>731</v>
      </c>
      <c r="T2879" s="472"/>
      <c r="U2879" s="1901"/>
      <c r="V2879" s="2079">
        <f t="shared" si="659"/>
        <v>118.63720000000001</v>
      </c>
      <c r="W2879" s="78">
        <f t="shared" si="660"/>
        <v>0</v>
      </c>
      <c r="X2879" s="1885" t="str">
        <f t="shared" si="658"/>
        <v xml:space="preserve">11.- C Goodyear 1220804-OT_142646  Reencauche  </v>
      </c>
      <c r="Y2879" s="473"/>
      <c r="Z2879" s="474" t="str">
        <f t="shared" si="656"/>
        <v/>
      </c>
      <c r="AA2879" s="463"/>
      <c r="AB2879" s="463"/>
      <c r="AC2879" s="463"/>
    </row>
    <row r="2880" spans="1:29" ht="14.25" outlineLevel="1">
      <c r="A2880" s="463"/>
      <c r="B2880" s="3252"/>
      <c r="E2880" s="406">
        <v>12</v>
      </c>
      <c r="F2880" s="573" t="s">
        <v>732</v>
      </c>
      <c r="G2880" s="483" t="s">
        <v>831</v>
      </c>
      <c r="H2880" s="484" t="s">
        <v>2169</v>
      </c>
      <c r="I2880" s="483"/>
      <c r="J2880" s="407"/>
      <c r="K2880" s="292" t="s">
        <v>2168</v>
      </c>
      <c r="L2880" s="485">
        <v>40512</v>
      </c>
      <c r="M2880" s="486" t="s">
        <v>1815</v>
      </c>
      <c r="N2880" s="487">
        <v>40528</v>
      </c>
      <c r="O2880" s="488">
        <f t="shared" si="657"/>
        <v>40528</v>
      </c>
      <c r="P2880" s="2811"/>
      <c r="Q2880" s="2985">
        <v>0</v>
      </c>
      <c r="R2880" s="489"/>
      <c r="S2880" s="1975" t="s">
        <v>731</v>
      </c>
      <c r="T2880" s="274" t="s">
        <v>1617</v>
      </c>
      <c r="U2880" s="1895"/>
      <c r="V2880" s="2079">
        <f t="shared" si="659"/>
        <v>0</v>
      </c>
      <c r="W2880" s="78">
        <f t="shared" si="660"/>
        <v>0</v>
      </c>
      <c r="X2880" s="1885" t="str">
        <f t="shared" si="658"/>
        <v>12.- C Kumho 1831004-OT_142646     Llanta Rechazada, no se facturo</v>
      </c>
      <c r="Y2880" s="473"/>
      <c r="Z2880" s="474" t="str">
        <f t="shared" si="656"/>
        <v>ReencaucheReencauchadora RENOVA</v>
      </c>
      <c r="AA2880" s="463"/>
      <c r="AB2880" s="463"/>
      <c r="AC2880" s="463"/>
    </row>
    <row r="2881" spans="1:29" ht="14.25" outlineLevel="1">
      <c r="A2881" s="463"/>
      <c r="B2881" s="3252"/>
      <c r="C2881" s="2">
        <f>1+C2883</f>
        <v>349</v>
      </c>
      <c r="D2881" s="3">
        <f>1+D2883</f>
        <v>10</v>
      </c>
      <c r="E2881" s="66">
        <v>13</v>
      </c>
      <c r="F2881" s="67" t="s">
        <v>732</v>
      </c>
      <c r="G2881" s="439" t="s">
        <v>733</v>
      </c>
      <c r="H2881" s="464" t="s">
        <v>2170</v>
      </c>
      <c r="I2881" s="439" t="s">
        <v>726</v>
      </c>
      <c r="J2881" s="431" t="s">
        <v>760</v>
      </c>
      <c r="K2881" s="71" t="s">
        <v>2168</v>
      </c>
      <c r="L2881" s="467">
        <v>40512</v>
      </c>
      <c r="M2881" s="468" t="s">
        <v>729</v>
      </c>
      <c r="N2881" s="469">
        <v>40528</v>
      </c>
      <c r="O2881" s="470">
        <f t="shared" si="657"/>
        <v>40528</v>
      </c>
      <c r="P2881" s="2809"/>
      <c r="Q2881" s="2983">
        <v>100.54</v>
      </c>
      <c r="R2881" s="471"/>
      <c r="S2881" s="1973" t="s">
        <v>731</v>
      </c>
      <c r="T2881" s="472"/>
      <c r="U2881" s="1901"/>
      <c r="V2881" s="2079">
        <f t="shared" si="659"/>
        <v>118.63720000000001</v>
      </c>
      <c r="W2881" s="78">
        <f t="shared" si="660"/>
        <v>0</v>
      </c>
      <c r="X2881" s="1885" t="str">
        <f t="shared" si="658"/>
        <v xml:space="preserve">13.- C Lima Caucho 1011208-OT_142646  Reencauche  </v>
      </c>
      <c r="Y2881" s="473"/>
      <c r="Z2881" s="474" t="str">
        <f t="shared" si="656"/>
        <v>ReencaucheReencauchadora RENOVA</v>
      </c>
      <c r="AA2881" s="463"/>
      <c r="AB2881" s="463"/>
      <c r="AC2881" s="463"/>
    </row>
    <row r="2882" spans="1:29" ht="14.25" outlineLevel="1">
      <c r="A2882" s="463"/>
      <c r="B2882" s="3252"/>
      <c r="E2882" s="406">
        <v>14</v>
      </c>
      <c r="F2882" s="573" t="s">
        <v>732</v>
      </c>
      <c r="G2882" s="483" t="s">
        <v>778</v>
      </c>
      <c r="H2882" s="484" t="s">
        <v>2171</v>
      </c>
      <c r="I2882" s="483"/>
      <c r="J2882" s="407"/>
      <c r="K2882" s="292" t="s">
        <v>2168</v>
      </c>
      <c r="L2882" s="485">
        <v>40512</v>
      </c>
      <c r="M2882" s="486" t="s">
        <v>1815</v>
      </c>
      <c r="N2882" s="487">
        <v>40528</v>
      </c>
      <c r="O2882" s="488">
        <f t="shared" si="657"/>
        <v>40528</v>
      </c>
      <c r="P2882" s="2811"/>
      <c r="Q2882" s="2985">
        <v>0</v>
      </c>
      <c r="R2882" s="489"/>
      <c r="S2882" s="1975" t="s">
        <v>731</v>
      </c>
      <c r="T2882" s="274" t="s">
        <v>1617</v>
      </c>
      <c r="U2882" s="1895"/>
      <c r="V2882" s="2079">
        <f t="shared" si="659"/>
        <v>0</v>
      </c>
      <c r="W2882" s="78">
        <f t="shared" si="660"/>
        <v>0</v>
      </c>
      <c r="X2882" s="1885" t="str">
        <f t="shared" si="658"/>
        <v>14.- C Riverstone 1310904-OT_142646     Llanta Rechazada, no se facturo</v>
      </c>
      <c r="Y2882" s="473"/>
      <c r="Z2882" s="474" t="str">
        <f t="shared" si="656"/>
        <v>ReencaucheReencauchadora RENOVA</v>
      </c>
      <c r="AA2882" s="463"/>
      <c r="AB2882" s="463"/>
      <c r="AC2882" s="463"/>
    </row>
    <row r="2883" spans="1:29" ht="14.25" outlineLevel="1">
      <c r="A2883" s="463"/>
      <c r="B2883" s="3252"/>
      <c r="C2883" s="2">
        <f t="shared" ref="C2883:D2890" si="665">1+C2884</f>
        <v>348</v>
      </c>
      <c r="D2883" s="3">
        <f t="shared" si="665"/>
        <v>9</v>
      </c>
      <c r="E2883" s="66">
        <v>15</v>
      </c>
      <c r="F2883" s="67" t="s">
        <v>732</v>
      </c>
      <c r="G2883" s="439" t="s">
        <v>733</v>
      </c>
      <c r="H2883" s="464" t="s">
        <v>2172</v>
      </c>
      <c r="I2883" s="439" t="s">
        <v>726</v>
      </c>
      <c r="J2883" s="431" t="s">
        <v>760</v>
      </c>
      <c r="K2883" s="71" t="s">
        <v>2168</v>
      </c>
      <c r="L2883" s="467">
        <v>40512</v>
      </c>
      <c r="M2883" s="468" t="s">
        <v>729</v>
      </c>
      <c r="N2883" s="469">
        <v>40528</v>
      </c>
      <c r="O2883" s="470">
        <f t="shared" si="657"/>
        <v>40528</v>
      </c>
      <c r="P2883" s="2809"/>
      <c r="Q2883" s="2983">
        <v>100.54</v>
      </c>
      <c r="R2883" s="471"/>
      <c r="S2883" s="1973" t="s">
        <v>731</v>
      </c>
      <c r="T2883" s="472"/>
      <c r="U2883" s="1901"/>
      <c r="V2883" s="2079">
        <f t="shared" si="659"/>
        <v>118.63720000000001</v>
      </c>
      <c r="W2883" s="78">
        <f t="shared" si="660"/>
        <v>0</v>
      </c>
      <c r="X2883" s="1885" t="str">
        <f t="shared" si="658"/>
        <v xml:space="preserve">15.- C Lima Caucho 0520807-OT_142646  Reencauche  </v>
      </c>
      <c r="Y2883" s="473"/>
      <c r="Z2883" s="474" t="str">
        <f t="shared" si="656"/>
        <v>ReencaucheReencauchadora RENOVA</v>
      </c>
      <c r="AA2883" s="463"/>
      <c r="AB2883" s="463"/>
      <c r="AC2883" s="463"/>
    </row>
    <row r="2884" spans="1:29" ht="14.25" outlineLevel="1">
      <c r="A2884" s="463"/>
      <c r="B2884" s="3252"/>
      <c r="C2884" s="2">
        <f t="shared" si="665"/>
        <v>347</v>
      </c>
      <c r="D2884" s="3">
        <f t="shared" si="665"/>
        <v>8</v>
      </c>
      <c r="E2884" s="66">
        <v>16</v>
      </c>
      <c r="F2884" s="67" t="s">
        <v>732</v>
      </c>
      <c r="G2884" s="439" t="s">
        <v>733</v>
      </c>
      <c r="H2884" s="464" t="s">
        <v>1012</v>
      </c>
      <c r="I2884" s="439" t="s">
        <v>726</v>
      </c>
      <c r="J2884" s="431" t="s">
        <v>760</v>
      </c>
      <c r="K2884" s="71" t="s">
        <v>2168</v>
      </c>
      <c r="L2884" s="467">
        <v>40512</v>
      </c>
      <c r="M2884" s="468" t="s">
        <v>729</v>
      </c>
      <c r="N2884" s="469">
        <v>40528</v>
      </c>
      <c r="O2884" s="470">
        <f t="shared" si="657"/>
        <v>40528</v>
      </c>
      <c r="P2884" s="2809"/>
      <c r="Q2884" s="2983">
        <v>100.54</v>
      </c>
      <c r="R2884" s="471"/>
      <c r="S2884" s="1973" t="s">
        <v>731</v>
      </c>
      <c r="T2884" s="472"/>
      <c r="U2884" s="1901"/>
      <c r="V2884" s="2079">
        <f t="shared" si="659"/>
        <v>118.63720000000001</v>
      </c>
      <c r="W2884" s="78">
        <f t="shared" si="660"/>
        <v>0</v>
      </c>
      <c r="X2884" s="1885" t="str">
        <f t="shared" si="658"/>
        <v xml:space="preserve">16.- C Lima Caucho 0500708-OT_142646  Reencauche  </v>
      </c>
      <c r="Y2884" s="473"/>
      <c r="Z2884" s="474" t="str">
        <f t="shared" si="656"/>
        <v>ReencaucheReencauchadora RENOVA</v>
      </c>
      <c r="AA2884" s="463"/>
      <c r="AB2884" s="463"/>
      <c r="AC2884" s="463"/>
    </row>
    <row r="2885" spans="1:29" ht="14.25" outlineLevel="1">
      <c r="A2885" s="463"/>
      <c r="B2885" s="3252"/>
      <c r="C2885" s="2">
        <f t="shared" si="665"/>
        <v>346</v>
      </c>
      <c r="D2885" s="3">
        <f t="shared" si="665"/>
        <v>7</v>
      </c>
      <c r="E2885" s="66">
        <v>17</v>
      </c>
      <c r="F2885" s="67" t="s">
        <v>732</v>
      </c>
      <c r="G2885" s="439" t="s">
        <v>733</v>
      </c>
      <c r="H2885" s="464" t="s">
        <v>2173</v>
      </c>
      <c r="I2885" s="439" t="s">
        <v>726</v>
      </c>
      <c r="J2885" s="431" t="s">
        <v>760</v>
      </c>
      <c r="K2885" s="71" t="s">
        <v>2168</v>
      </c>
      <c r="L2885" s="467">
        <v>40512</v>
      </c>
      <c r="M2885" s="468" t="s">
        <v>729</v>
      </c>
      <c r="N2885" s="469">
        <v>40528</v>
      </c>
      <c r="O2885" s="470">
        <f t="shared" si="657"/>
        <v>40528</v>
      </c>
      <c r="P2885" s="2809"/>
      <c r="Q2885" s="2983">
        <v>100.54</v>
      </c>
      <c r="R2885" s="471"/>
      <c r="S2885" s="1973" t="s">
        <v>731</v>
      </c>
      <c r="T2885" s="472"/>
      <c r="U2885" s="1901"/>
      <c r="V2885" s="2079">
        <f t="shared" si="659"/>
        <v>118.63720000000001</v>
      </c>
      <c r="W2885" s="78">
        <f t="shared" si="660"/>
        <v>0</v>
      </c>
      <c r="X2885" s="1885" t="str">
        <f t="shared" si="658"/>
        <v xml:space="preserve">17.- C Lima Caucho 0520708-OT_142646  Reencauche  </v>
      </c>
      <c r="Y2885" s="473"/>
      <c r="Z2885" s="474" t="str">
        <f t="shared" si="656"/>
        <v>ReencaucheReencauchadora RENOVA</v>
      </c>
      <c r="AA2885" s="463"/>
      <c r="AB2885" s="463"/>
      <c r="AC2885" s="463"/>
    </row>
    <row r="2886" spans="1:29" ht="14.25" outlineLevel="1">
      <c r="A2886" s="463"/>
      <c r="B2886" s="3252"/>
      <c r="C2886" s="2">
        <f t="shared" si="665"/>
        <v>345</v>
      </c>
      <c r="D2886" s="3">
        <f t="shared" si="665"/>
        <v>6</v>
      </c>
      <c r="E2886" s="66">
        <v>18</v>
      </c>
      <c r="F2886" s="67" t="s">
        <v>732</v>
      </c>
      <c r="G2886" s="439" t="s">
        <v>737</v>
      </c>
      <c r="H2886" s="464" t="s">
        <v>1090</v>
      </c>
      <c r="I2886" s="439" t="s">
        <v>726</v>
      </c>
      <c r="J2886" s="431" t="s">
        <v>760</v>
      </c>
      <c r="K2886" s="71" t="s">
        <v>2168</v>
      </c>
      <c r="L2886" s="467">
        <v>40512</v>
      </c>
      <c r="M2886" s="468" t="s">
        <v>729</v>
      </c>
      <c r="N2886" s="469">
        <v>40528</v>
      </c>
      <c r="O2886" s="470">
        <f t="shared" si="657"/>
        <v>40528</v>
      </c>
      <c r="P2886" s="2809"/>
      <c r="Q2886" s="2983">
        <v>100.54</v>
      </c>
      <c r="R2886" s="471"/>
      <c r="S2886" s="1973" t="s">
        <v>731</v>
      </c>
      <c r="T2886" s="472"/>
      <c r="U2886" s="1901"/>
      <c r="V2886" s="2079">
        <f t="shared" si="659"/>
        <v>118.63720000000001</v>
      </c>
      <c r="W2886" s="78">
        <f t="shared" si="660"/>
        <v>0</v>
      </c>
      <c r="X2886" s="1885" t="str">
        <f t="shared" si="658"/>
        <v xml:space="preserve">18.- C Vikrant 0680809-OT_142646  Reencauche  </v>
      </c>
      <c r="Y2886" s="473"/>
      <c r="Z2886" s="474" t="str">
        <f t="shared" si="656"/>
        <v>ReencaucheReencauchadora RENOVA</v>
      </c>
      <c r="AA2886" s="463"/>
      <c r="AB2886" s="463"/>
      <c r="AC2886" s="463"/>
    </row>
    <row r="2887" spans="1:29" ht="14.25" outlineLevel="1">
      <c r="A2887" s="463"/>
      <c r="B2887" s="3252"/>
      <c r="C2887" s="2">
        <f t="shared" si="665"/>
        <v>344</v>
      </c>
      <c r="D2887" s="3">
        <f t="shared" si="665"/>
        <v>5</v>
      </c>
      <c r="E2887" s="66">
        <v>19</v>
      </c>
      <c r="F2887" s="67" t="s">
        <v>732</v>
      </c>
      <c r="G2887" s="439" t="s">
        <v>733</v>
      </c>
      <c r="H2887" s="464" t="s">
        <v>1365</v>
      </c>
      <c r="I2887" s="439" t="s">
        <v>726</v>
      </c>
      <c r="J2887" s="431" t="s">
        <v>760</v>
      </c>
      <c r="K2887" s="71" t="s">
        <v>2168</v>
      </c>
      <c r="L2887" s="467">
        <v>40512</v>
      </c>
      <c r="M2887" s="468" t="s">
        <v>729</v>
      </c>
      <c r="N2887" s="469">
        <v>40528</v>
      </c>
      <c r="O2887" s="470">
        <f t="shared" si="657"/>
        <v>40528</v>
      </c>
      <c r="P2887" s="2809"/>
      <c r="Q2887" s="2983">
        <v>100.54</v>
      </c>
      <c r="R2887" s="471"/>
      <c r="S2887" s="1973" t="s">
        <v>731</v>
      </c>
      <c r="T2887" s="472"/>
      <c r="U2887" s="1901"/>
      <c r="V2887" s="2079">
        <f t="shared" si="659"/>
        <v>118.63720000000001</v>
      </c>
      <c r="W2887" s="78">
        <f t="shared" si="660"/>
        <v>0</v>
      </c>
      <c r="X2887" s="1885" t="str">
        <f t="shared" si="658"/>
        <v xml:space="preserve">19.- C Lima Caucho 1131107-OT_142646  Reencauche  </v>
      </c>
      <c r="Y2887" s="473"/>
      <c r="Z2887" s="474" t="str">
        <f t="shared" si="656"/>
        <v>ReencaucheReencauchadora RENOVA</v>
      </c>
      <c r="AA2887" s="463"/>
      <c r="AB2887" s="463"/>
      <c r="AC2887" s="463"/>
    </row>
    <row r="2888" spans="1:29" ht="14.25" outlineLevel="1">
      <c r="A2888" s="463"/>
      <c r="B2888" s="3252"/>
      <c r="C2888" s="2">
        <f t="shared" si="665"/>
        <v>343</v>
      </c>
      <c r="D2888" s="3">
        <f t="shared" si="665"/>
        <v>4</v>
      </c>
      <c r="E2888" s="66">
        <v>20</v>
      </c>
      <c r="F2888" s="67" t="s">
        <v>732</v>
      </c>
      <c r="G2888" s="439" t="s">
        <v>733</v>
      </c>
      <c r="H2888" s="464" t="s">
        <v>1833</v>
      </c>
      <c r="I2888" s="439" t="s">
        <v>726</v>
      </c>
      <c r="J2888" s="431" t="s">
        <v>760</v>
      </c>
      <c r="K2888" s="71" t="s">
        <v>2168</v>
      </c>
      <c r="L2888" s="467">
        <v>40512</v>
      </c>
      <c r="M2888" s="468" t="s">
        <v>729</v>
      </c>
      <c r="N2888" s="469">
        <v>40528</v>
      </c>
      <c r="O2888" s="470">
        <f t="shared" si="657"/>
        <v>40528</v>
      </c>
      <c r="P2888" s="2809"/>
      <c r="Q2888" s="2983">
        <v>100.54</v>
      </c>
      <c r="R2888" s="471"/>
      <c r="S2888" s="1973" t="s">
        <v>731</v>
      </c>
      <c r="T2888" s="472"/>
      <c r="U2888" s="1901"/>
      <c r="V2888" s="2079">
        <f t="shared" si="659"/>
        <v>118.63720000000001</v>
      </c>
      <c r="W2888" s="78">
        <f t="shared" si="660"/>
        <v>0</v>
      </c>
      <c r="X2888" s="1885" t="str">
        <f t="shared" si="658"/>
        <v xml:space="preserve">20.- C Lima Caucho 1111107-OT_142646  Reencauche  </v>
      </c>
      <c r="Y2888" s="473"/>
      <c r="Z2888" s="474" t="str">
        <f t="shared" si="656"/>
        <v>ReencaucheReencauchadora RENOVA</v>
      </c>
      <c r="AA2888" s="463"/>
      <c r="AB2888" s="463"/>
      <c r="AC2888" s="463"/>
    </row>
    <row r="2889" spans="1:29" ht="14.25">
      <c r="A2889" s="463"/>
      <c r="B2889" s="3252"/>
      <c r="C2889" s="2">
        <f t="shared" si="665"/>
        <v>342</v>
      </c>
      <c r="D2889" s="3">
        <f t="shared" si="665"/>
        <v>3</v>
      </c>
      <c r="E2889" s="66">
        <v>21</v>
      </c>
      <c r="F2889" s="67" t="s">
        <v>732</v>
      </c>
      <c r="G2889" s="439" t="s">
        <v>1233</v>
      </c>
      <c r="H2889" s="464" t="s">
        <v>2174</v>
      </c>
      <c r="I2889" s="439" t="s">
        <v>726</v>
      </c>
      <c r="J2889" s="431" t="s">
        <v>760</v>
      </c>
      <c r="K2889" s="71" t="s">
        <v>2175</v>
      </c>
      <c r="L2889" s="467">
        <v>40512</v>
      </c>
      <c r="M2889" s="468" t="s">
        <v>729</v>
      </c>
      <c r="N2889" s="469">
        <v>40528</v>
      </c>
      <c r="O2889" s="470">
        <f t="shared" si="657"/>
        <v>40528</v>
      </c>
      <c r="P2889" s="2809"/>
      <c r="Q2889" s="2983">
        <v>100.54</v>
      </c>
      <c r="R2889" s="471"/>
      <c r="S2889" s="1973" t="s">
        <v>731</v>
      </c>
      <c r="T2889" s="472"/>
      <c r="U2889" s="1901"/>
      <c r="V2889" s="2079">
        <f t="shared" si="659"/>
        <v>118.63720000000001</v>
      </c>
      <c r="W2889" s="78">
        <f t="shared" si="660"/>
        <v>0</v>
      </c>
      <c r="X2889" s="1885" t="str">
        <f t="shared" si="658"/>
        <v xml:space="preserve">21.- C Saratoga 0160306-OT_142647  Reencauche  </v>
      </c>
      <c r="Y2889" s="473"/>
      <c r="Z2889" s="474"/>
      <c r="AA2889" s="463"/>
      <c r="AB2889" s="463"/>
      <c r="AC2889" s="463"/>
    </row>
    <row r="2890" spans="1:29" ht="14.25" outlineLevel="1">
      <c r="A2890" s="463"/>
      <c r="B2890" s="3252"/>
      <c r="C2890" s="2">
        <f t="shared" si="665"/>
        <v>341</v>
      </c>
      <c r="D2890" s="3">
        <f t="shared" si="665"/>
        <v>2</v>
      </c>
      <c r="E2890" s="66">
        <v>22</v>
      </c>
      <c r="F2890" s="67" t="s">
        <v>732</v>
      </c>
      <c r="G2890" s="439" t="s">
        <v>733</v>
      </c>
      <c r="H2890" s="464" t="s">
        <v>1770</v>
      </c>
      <c r="I2890" s="439" t="s">
        <v>726</v>
      </c>
      <c r="J2890" s="431" t="s">
        <v>760</v>
      </c>
      <c r="K2890" s="71" t="s">
        <v>2175</v>
      </c>
      <c r="L2890" s="467">
        <v>40512</v>
      </c>
      <c r="M2890" s="468" t="s">
        <v>729</v>
      </c>
      <c r="N2890" s="469">
        <v>40528</v>
      </c>
      <c r="O2890" s="470">
        <f t="shared" si="657"/>
        <v>40528</v>
      </c>
      <c r="P2890" s="2809"/>
      <c r="Q2890" s="2983">
        <v>100.54</v>
      </c>
      <c r="R2890" s="471"/>
      <c r="S2890" s="1973" t="s">
        <v>731</v>
      </c>
      <c r="T2890" s="472"/>
      <c r="U2890" s="1901"/>
      <c r="V2890" s="2079">
        <f t="shared" si="659"/>
        <v>118.63720000000001</v>
      </c>
      <c r="W2890" s="78">
        <f t="shared" si="660"/>
        <v>0</v>
      </c>
      <c r="X2890" s="1885" t="str">
        <f t="shared" si="658"/>
        <v xml:space="preserve">22.- C Lima Caucho 1391202-OT_142647  Reencauche  </v>
      </c>
      <c r="Y2890" s="473"/>
      <c r="Z2890" s="474" t="str">
        <f t="shared" ref="Z2890:Z2909" si="666">CONCATENATE(I2893,J2893)</f>
        <v>ReencaucheReencauchadora Espinoza</v>
      </c>
      <c r="AA2890" s="463"/>
      <c r="AB2890" s="463"/>
      <c r="AC2890" s="463"/>
    </row>
    <row r="2891" spans="1:29" outlineLevel="1" thickBot="1">
      <c r="A2891" s="463"/>
      <c r="B2891" s="3253"/>
      <c r="C2891" s="420">
        <f>1+C2893</f>
        <v>340</v>
      </c>
      <c r="D2891" s="421">
        <v>1</v>
      </c>
      <c r="E2891" s="307">
        <v>23</v>
      </c>
      <c r="F2891" s="328" t="s">
        <v>732</v>
      </c>
      <c r="G2891" s="490" t="s">
        <v>769</v>
      </c>
      <c r="H2891" s="491" t="s">
        <v>2176</v>
      </c>
      <c r="I2891" s="490" t="s">
        <v>726</v>
      </c>
      <c r="J2891" s="492" t="s">
        <v>760</v>
      </c>
      <c r="K2891" s="333" t="s">
        <v>2175</v>
      </c>
      <c r="L2891" s="493">
        <v>40512</v>
      </c>
      <c r="M2891" s="494" t="s">
        <v>729</v>
      </c>
      <c r="N2891" s="495">
        <v>40528</v>
      </c>
      <c r="O2891" s="496">
        <f t="shared" si="657"/>
        <v>40528</v>
      </c>
      <c r="P2891" s="2812"/>
      <c r="Q2891" s="2986">
        <v>100.54</v>
      </c>
      <c r="R2891" s="497"/>
      <c r="S2891" s="1976" t="s">
        <v>731</v>
      </c>
      <c r="T2891" s="472"/>
      <c r="U2891" s="1901"/>
      <c r="V2891" s="2079">
        <f t="shared" si="659"/>
        <v>118.63720000000001</v>
      </c>
      <c r="W2891" s="78">
        <f t="shared" si="660"/>
        <v>0</v>
      </c>
      <c r="X2891" s="1885" t="str">
        <f t="shared" si="658"/>
        <v xml:space="preserve">23.- C Lu He 0200509-OT_142647  Reencauche  </v>
      </c>
      <c r="Y2891" s="473"/>
      <c r="Z2891" s="474" t="str">
        <f t="shared" si="666"/>
        <v>Transpl BandaReencauchadora Espinoza</v>
      </c>
      <c r="AA2891" s="463"/>
      <c r="AB2891" s="463"/>
      <c r="AC2891" s="463"/>
    </row>
    <row r="2892" spans="1:29" ht="15.75" outlineLevel="1" thickBot="1">
      <c r="A2892" s="463"/>
      <c r="B2892" s="1">
        <f>+B2893</f>
        <v>40483</v>
      </c>
      <c r="C2892" s="1"/>
      <c r="D2892" s="173">
        <f>+D2893</f>
        <v>19</v>
      </c>
      <c r="E2892" s="66"/>
      <c r="F2892" s="67"/>
      <c r="G2892" s="439"/>
      <c r="H2892" s="464"/>
      <c r="I2892" s="439"/>
      <c r="J2892" s="429"/>
      <c r="K2892" s="71"/>
      <c r="L2892" s="467"/>
      <c r="M2892" s="468"/>
      <c r="N2892" s="469"/>
      <c r="O2892" s="470"/>
      <c r="P2892" s="2809"/>
      <c r="Q2892" s="2983"/>
      <c r="R2892" s="471"/>
      <c r="S2892" s="1973"/>
      <c r="T2892" s="472"/>
      <c r="U2892" s="1901"/>
      <c r="V2892" s="2079">
        <f t="shared" si="659"/>
        <v>0</v>
      </c>
      <c r="W2892" s="78">
        <f t="shared" si="660"/>
        <v>0</v>
      </c>
      <c r="X2892" s="1885" t="str">
        <f t="shared" si="658"/>
        <v xml:space="preserve">.-   -OT_    </v>
      </c>
      <c r="Y2892" s="473"/>
      <c r="Z2892" s="474" t="str">
        <f t="shared" si="666"/>
        <v>Sacar_BandaReencauchadora Espinoza</v>
      </c>
      <c r="AA2892" s="463"/>
      <c r="AB2892" s="463"/>
      <c r="AC2892" s="463"/>
    </row>
    <row r="2893" spans="1:29" outlineLevel="1">
      <c r="A2893" s="463"/>
      <c r="B2893" s="3280">
        <v>40483</v>
      </c>
      <c r="C2893" s="2">
        <f>1+C2894</f>
        <v>339</v>
      </c>
      <c r="D2893" s="306">
        <f>1+D2894</f>
        <v>19</v>
      </c>
      <c r="E2893" s="66">
        <v>1</v>
      </c>
      <c r="F2893" s="67" t="s">
        <v>732</v>
      </c>
      <c r="G2893" s="439" t="s">
        <v>737</v>
      </c>
      <c r="H2893" s="464" t="s">
        <v>1787</v>
      </c>
      <c r="I2893" s="439" t="s">
        <v>726</v>
      </c>
      <c r="J2893" s="429" t="s">
        <v>1543</v>
      </c>
      <c r="K2893" s="71" t="s">
        <v>2177</v>
      </c>
      <c r="L2893" s="467">
        <v>40506</v>
      </c>
      <c r="M2893" s="468" t="s">
        <v>729</v>
      </c>
      <c r="N2893" s="469">
        <v>40515</v>
      </c>
      <c r="O2893" s="470">
        <f t="shared" ref="O2893:O2912" si="667">+N2893</f>
        <v>40515</v>
      </c>
      <c r="P2893" s="2809"/>
      <c r="Q2893" s="2983"/>
      <c r="R2893" s="471">
        <f>300/(1.19)</f>
        <v>252.10084033613447</v>
      </c>
      <c r="S2893" s="1973" t="s">
        <v>731</v>
      </c>
      <c r="T2893" s="472"/>
      <c r="U2893" s="1901"/>
      <c r="V2893" s="2079">
        <f t="shared" si="659"/>
        <v>0</v>
      </c>
      <c r="W2893" s="78">
        <f t="shared" si="660"/>
        <v>297.47899159663865</v>
      </c>
      <c r="X2893" s="1885" t="str">
        <f t="shared" si="658"/>
        <v xml:space="preserve">1.- C Vikrant 0881206-OT_000220  Reencauche  </v>
      </c>
      <c r="Y2893" s="473"/>
      <c r="Z2893" s="474" t="str">
        <f t="shared" si="666"/>
        <v>ReencaucheReencauchadora Espinoza</v>
      </c>
      <c r="AA2893" s="463"/>
      <c r="AB2893" s="463"/>
      <c r="AC2893" s="463"/>
    </row>
    <row r="2894" spans="1:29" ht="14.25" outlineLevel="1">
      <c r="A2894" s="463"/>
      <c r="B2894" s="3281"/>
      <c r="C2894" s="2">
        <f>1+C2896</f>
        <v>338</v>
      </c>
      <c r="D2894" s="3">
        <f>+D2896+1</f>
        <v>18</v>
      </c>
      <c r="E2894" s="66">
        <v>2</v>
      </c>
      <c r="F2894" s="67" t="s">
        <v>732</v>
      </c>
      <c r="G2894" s="498" t="s">
        <v>737</v>
      </c>
      <c r="H2894" s="499" t="s">
        <v>2178</v>
      </c>
      <c r="I2894" s="440" t="s">
        <v>740</v>
      </c>
      <c r="J2894" s="441" t="s">
        <v>1543</v>
      </c>
      <c r="K2894" s="243" t="s">
        <v>2177</v>
      </c>
      <c r="L2894" s="500">
        <v>40506</v>
      </c>
      <c r="M2894" s="501" t="s">
        <v>729</v>
      </c>
      <c r="N2894" s="469">
        <v>40515</v>
      </c>
      <c r="O2894" s="470">
        <f t="shared" si="667"/>
        <v>40515</v>
      </c>
      <c r="P2894" s="2813"/>
      <c r="Q2894" s="2983"/>
      <c r="R2894" s="502">
        <f>100/(1.19)</f>
        <v>84.033613445378151</v>
      </c>
      <c r="S2894" s="1977" t="s">
        <v>731</v>
      </c>
      <c r="T2894" s="461" t="s">
        <v>2179</v>
      </c>
      <c r="U2894" s="1896"/>
      <c r="V2894" s="2079">
        <f t="shared" si="659"/>
        <v>0</v>
      </c>
      <c r="W2894" s="78">
        <f t="shared" si="660"/>
        <v>99.159663865546207</v>
      </c>
      <c r="X2894" s="1885" t="str">
        <f t="shared" si="658"/>
        <v>2.- C Vikrant 0950705-OT_000220  Transpl Banda   Con banda transplantada  en 11mm  [ LU HE - 0380209 ]</v>
      </c>
      <c r="Y2894" s="473"/>
      <c r="Z2894" s="474" t="str">
        <f t="shared" si="666"/>
        <v>Vulcanizado (curación)Reencauchadora Espinoza</v>
      </c>
      <c r="AA2894" s="463"/>
      <c r="AB2894" s="463"/>
      <c r="AC2894" s="463"/>
    </row>
    <row r="2895" spans="1:29" ht="14.25" outlineLevel="1">
      <c r="A2895" s="463"/>
      <c r="B2895" s="3281"/>
      <c r="E2895" s="79">
        <v>3</v>
      </c>
      <c r="F2895" s="149" t="s">
        <v>732</v>
      </c>
      <c r="G2895" s="503" t="s">
        <v>769</v>
      </c>
      <c r="H2895" s="476" t="s">
        <v>2180</v>
      </c>
      <c r="I2895" s="443" t="s">
        <v>744</v>
      </c>
      <c r="J2895" s="412" t="s">
        <v>1543</v>
      </c>
      <c r="K2895" s="350" t="s">
        <v>2177</v>
      </c>
      <c r="L2895" s="478">
        <v>40506</v>
      </c>
      <c r="M2895" s="479" t="s">
        <v>729</v>
      </c>
      <c r="N2895" s="480">
        <v>40522</v>
      </c>
      <c r="O2895" s="481">
        <f t="shared" si="667"/>
        <v>40522</v>
      </c>
      <c r="P2895" s="2810"/>
      <c r="Q2895" s="2984"/>
      <c r="R2895" s="482">
        <v>0</v>
      </c>
      <c r="S2895" s="1974" t="s">
        <v>731</v>
      </c>
      <c r="T2895" s="460" t="s">
        <v>2181</v>
      </c>
      <c r="U2895" s="1900"/>
      <c r="V2895" s="2079">
        <f t="shared" si="659"/>
        <v>0</v>
      </c>
      <c r="W2895" s="78">
        <f t="shared" si="660"/>
        <v>0</v>
      </c>
      <c r="X2895" s="1885" t="str">
        <f t="shared" si="658"/>
        <v>3.- C Lu He 0380209-OT_000220  Sacar_Banda  Casco soplado, banda 11mm, desechada (factura 001-001052 02/03/11)</v>
      </c>
      <c r="Y2895" s="473"/>
      <c r="Z2895" s="474" t="str">
        <f t="shared" si="666"/>
        <v>ReencaucheReencauchadora Espinoza</v>
      </c>
      <c r="AA2895" s="463"/>
      <c r="AB2895" s="463"/>
      <c r="AC2895" s="463"/>
    </row>
    <row r="2896" spans="1:29" ht="14.25" outlineLevel="1">
      <c r="A2896" s="463"/>
      <c r="B2896" s="3281"/>
      <c r="C2896" s="2">
        <f t="shared" ref="C2896:C2911" si="668">+C2897+1</f>
        <v>337</v>
      </c>
      <c r="D2896" s="3">
        <f t="shared" ref="D2896:D2911" si="669">1+D2897</f>
        <v>17</v>
      </c>
      <c r="E2896" s="38">
        <v>1</v>
      </c>
      <c r="F2896" s="39" t="s">
        <v>732</v>
      </c>
      <c r="G2896" s="465" t="s">
        <v>733</v>
      </c>
      <c r="H2896" s="504" t="s">
        <v>1359</v>
      </c>
      <c r="I2896" s="465" t="s">
        <v>726</v>
      </c>
      <c r="J2896" s="466" t="s">
        <v>1543</v>
      </c>
      <c r="K2896" s="43" t="s">
        <v>2187</v>
      </c>
      <c r="L2896" s="505">
        <v>40498</v>
      </c>
      <c r="M2896" s="506" t="s">
        <v>729</v>
      </c>
      <c r="N2896" s="507">
        <v>40504</v>
      </c>
      <c r="O2896" s="508">
        <f t="shared" si="667"/>
        <v>40504</v>
      </c>
      <c r="P2896" s="2814"/>
      <c r="Q2896" s="2987"/>
      <c r="R2896" s="509">
        <f>300/(1.19)</f>
        <v>252.10084033613447</v>
      </c>
      <c r="S2896" s="1978" t="s">
        <v>731</v>
      </c>
      <c r="T2896" s="472"/>
      <c r="U2896" s="1901"/>
      <c r="V2896" s="2079">
        <f t="shared" si="659"/>
        <v>0</v>
      </c>
      <c r="W2896" s="78">
        <f t="shared" si="660"/>
        <v>297.47899159663865</v>
      </c>
      <c r="X2896" s="1885" t="str">
        <f t="shared" si="658"/>
        <v xml:space="preserve">1.- C Lima Caucho 0350507-OT_000912  Reencauche  </v>
      </c>
      <c r="Y2896" s="473"/>
      <c r="Z2896" s="474" t="str">
        <f t="shared" si="666"/>
        <v>ReencaucheReencauchadora Espinoza</v>
      </c>
      <c r="AA2896" s="463"/>
      <c r="AB2896" s="463"/>
      <c r="AC2896" s="463"/>
    </row>
    <row r="2897" spans="1:29" ht="14.25" outlineLevel="1">
      <c r="A2897" s="463"/>
      <c r="B2897" s="3281"/>
      <c r="C2897" s="2">
        <f t="shared" si="668"/>
        <v>336</v>
      </c>
      <c r="D2897" s="3">
        <f t="shared" si="669"/>
        <v>16</v>
      </c>
      <c r="E2897" s="79">
        <v>2</v>
      </c>
      <c r="F2897" s="67" t="s">
        <v>732</v>
      </c>
      <c r="G2897" s="510" t="s">
        <v>733</v>
      </c>
      <c r="H2897" s="511" t="s">
        <v>2116</v>
      </c>
      <c r="I2897" s="512" t="s">
        <v>811</v>
      </c>
      <c r="J2897" s="513" t="s">
        <v>1543</v>
      </c>
      <c r="K2897" s="389" t="s">
        <v>2187</v>
      </c>
      <c r="L2897" s="514">
        <v>40498</v>
      </c>
      <c r="M2897" s="515" t="s">
        <v>729</v>
      </c>
      <c r="N2897" s="469">
        <v>40504</v>
      </c>
      <c r="O2897" s="470">
        <f t="shared" si="667"/>
        <v>40504</v>
      </c>
      <c r="P2897" s="2815"/>
      <c r="Q2897" s="2983"/>
      <c r="R2897" s="516">
        <f>125/(1.19)</f>
        <v>105.0420168067227</v>
      </c>
      <c r="S2897" s="1979" t="s">
        <v>731</v>
      </c>
      <c r="T2897" s="517" t="s">
        <v>2188</v>
      </c>
      <c r="U2897" s="1933"/>
      <c r="V2897" s="2079">
        <f t="shared" si="659"/>
        <v>0</v>
      </c>
      <c r="W2897" s="78">
        <f t="shared" si="660"/>
        <v>123.94957983193278</v>
      </c>
      <c r="X2897" s="1885" t="str">
        <f t="shared" si="658"/>
        <v>2.- C Lima Caucho 0410608-OT_000912  Vulcanizado (curación)  corte profundo de 3cm aprox entre banda y lateral</v>
      </c>
      <c r="Y2897" s="473"/>
      <c r="Z2897" s="474" t="str">
        <f t="shared" si="666"/>
        <v>ReencaucheReencauchadora Espinoza</v>
      </c>
      <c r="AA2897" s="463"/>
      <c r="AB2897" s="463"/>
      <c r="AC2897" s="463"/>
    </row>
    <row r="2898" spans="1:29" ht="14.25" outlineLevel="1">
      <c r="A2898" s="463"/>
      <c r="B2898" s="3281"/>
      <c r="C2898" s="2">
        <f t="shared" si="668"/>
        <v>335</v>
      </c>
      <c r="D2898" s="3">
        <f t="shared" si="669"/>
        <v>15</v>
      </c>
      <c r="E2898" s="38">
        <v>1</v>
      </c>
      <c r="F2898" s="39" t="s">
        <v>732</v>
      </c>
      <c r="G2898" s="465" t="s">
        <v>737</v>
      </c>
      <c r="H2898" s="504" t="s">
        <v>2189</v>
      </c>
      <c r="I2898" s="465" t="s">
        <v>726</v>
      </c>
      <c r="J2898" s="466" t="s">
        <v>1543</v>
      </c>
      <c r="K2898" s="43" t="s">
        <v>2190</v>
      </c>
      <c r="L2898" s="505">
        <v>40495</v>
      </c>
      <c r="M2898" s="506" t="s">
        <v>729</v>
      </c>
      <c r="N2898" s="507">
        <v>40501</v>
      </c>
      <c r="O2898" s="508">
        <f t="shared" si="667"/>
        <v>40501</v>
      </c>
      <c r="P2898" s="2814"/>
      <c r="Q2898" s="2987"/>
      <c r="R2898" s="509">
        <f>300/(1.19)</f>
        <v>252.10084033613447</v>
      </c>
      <c r="S2898" s="1978" t="s">
        <v>731</v>
      </c>
      <c r="T2898" s="472"/>
      <c r="U2898" s="1901"/>
      <c r="V2898" s="2079">
        <f t="shared" si="659"/>
        <v>0</v>
      </c>
      <c r="W2898" s="78">
        <f t="shared" si="660"/>
        <v>297.47899159663865</v>
      </c>
      <c r="X2898" s="1885" t="str">
        <f t="shared" si="658"/>
        <v xml:space="preserve">1.- C Vikrant 1091107-OT_000908  Reencauche  </v>
      </c>
      <c r="Y2898" s="473"/>
      <c r="Z2898" s="474" t="str">
        <f t="shared" si="666"/>
        <v>ReencaucheReencauchadora Espinoza</v>
      </c>
      <c r="AA2898" s="463"/>
      <c r="AB2898" s="463"/>
      <c r="AC2898" s="463"/>
    </row>
    <row r="2899" spans="1:29" ht="14.25" outlineLevel="1">
      <c r="A2899" s="463"/>
      <c r="B2899" s="3281"/>
      <c r="C2899" s="2">
        <f t="shared" si="668"/>
        <v>334</v>
      </c>
      <c r="D2899" s="3">
        <f t="shared" si="669"/>
        <v>14</v>
      </c>
      <c r="E2899" s="79">
        <v>2</v>
      </c>
      <c r="F2899" s="80" t="s">
        <v>732</v>
      </c>
      <c r="G2899" s="518" t="s">
        <v>733</v>
      </c>
      <c r="H2899" s="519" t="s">
        <v>1164</v>
      </c>
      <c r="I2899" s="518" t="s">
        <v>726</v>
      </c>
      <c r="J2899" s="520" t="s">
        <v>1543</v>
      </c>
      <c r="K2899" s="84" t="s">
        <v>2190</v>
      </c>
      <c r="L2899" s="521">
        <v>40495</v>
      </c>
      <c r="M2899" s="522" t="s">
        <v>729</v>
      </c>
      <c r="N2899" s="480">
        <v>40501</v>
      </c>
      <c r="O2899" s="481">
        <f t="shared" si="667"/>
        <v>40501</v>
      </c>
      <c r="P2899" s="2816"/>
      <c r="Q2899" s="2984"/>
      <c r="R2899" s="523">
        <f>300/(1.19)</f>
        <v>252.10084033613447</v>
      </c>
      <c r="S2899" s="1980" t="s">
        <v>731</v>
      </c>
      <c r="T2899" s="472"/>
      <c r="U2899" s="1901"/>
      <c r="V2899" s="2079">
        <f t="shared" si="659"/>
        <v>0</v>
      </c>
      <c r="W2899" s="78">
        <f t="shared" si="660"/>
        <v>297.47899159663865</v>
      </c>
      <c r="X2899" s="1885" t="str">
        <f t="shared" si="658"/>
        <v xml:space="preserve">2.- C Lima Caucho 1090705-OT_000908  Reencauche  </v>
      </c>
      <c r="Y2899" s="473"/>
      <c r="Z2899" s="474" t="str">
        <f t="shared" si="666"/>
        <v>ReencaucheReencauchadora Espinoza</v>
      </c>
      <c r="AA2899" s="463"/>
      <c r="AB2899" s="463"/>
      <c r="AC2899" s="463"/>
    </row>
    <row r="2900" spans="1:29" ht="14.25" outlineLevel="1">
      <c r="A2900" s="463"/>
      <c r="B2900" s="3281"/>
      <c r="C2900" s="2">
        <f t="shared" si="668"/>
        <v>333</v>
      </c>
      <c r="D2900" s="3">
        <f t="shared" si="669"/>
        <v>13</v>
      </c>
      <c r="E2900" s="66">
        <v>1</v>
      </c>
      <c r="F2900" s="67" t="s">
        <v>732</v>
      </c>
      <c r="G2900" s="439" t="s">
        <v>733</v>
      </c>
      <c r="H2900" s="464" t="s">
        <v>1726</v>
      </c>
      <c r="I2900" s="439" t="s">
        <v>726</v>
      </c>
      <c r="J2900" s="429" t="s">
        <v>1543</v>
      </c>
      <c r="K2900" s="71" t="s">
        <v>2191</v>
      </c>
      <c r="L2900" s="467">
        <v>40490</v>
      </c>
      <c r="M2900" s="468" t="s">
        <v>729</v>
      </c>
      <c r="N2900" s="469">
        <v>40495</v>
      </c>
      <c r="O2900" s="470">
        <f t="shared" si="667"/>
        <v>40495</v>
      </c>
      <c r="P2900" s="2809"/>
      <c r="Q2900" s="2983"/>
      <c r="R2900" s="471">
        <f>300/(1.19)</f>
        <v>252.10084033613447</v>
      </c>
      <c r="S2900" s="1973" t="s">
        <v>731</v>
      </c>
      <c r="T2900" s="472"/>
      <c r="U2900" s="1901"/>
      <c r="V2900" s="2079">
        <f t="shared" si="659"/>
        <v>0</v>
      </c>
      <c r="W2900" s="78">
        <f t="shared" si="660"/>
        <v>297.47899159663865</v>
      </c>
      <c r="X2900" s="1885" t="str">
        <f t="shared" si="658"/>
        <v xml:space="preserve">1.- C Lima Caucho 0690907-OT_000904  Reencauche  </v>
      </c>
      <c r="Y2900" s="473"/>
      <c r="Z2900" s="474" t="str">
        <f t="shared" si="666"/>
        <v>ReencaucheAMC Llantas</v>
      </c>
      <c r="AA2900" s="463"/>
      <c r="AB2900" s="463"/>
      <c r="AC2900" s="463"/>
    </row>
    <row r="2901" spans="1:29" ht="14.25" outlineLevel="1">
      <c r="A2901" s="463"/>
      <c r="B2901" s="3281"/>
      <c r="C2901" s="2">
        <f t="shared" si="668"/>
        <v>332</v>
      </c>
      <c r="D2901" s="3">
        <f t="shared" si="669"/>
        <v>12</v>
      </c>
      <c r="E2901" s="66">
        <v>2</v>
      </c>
      <c r="F2901" s="67" t="s">
        <v>732</v>
      </c>
      <c r="G2901" s="439" t="s">
        <v>737</v>
      </c>
      <c r="H2901" s="464" t="s">
        <v>1756</v>
      </c>
      <c r="I2901" s="439" t="s">
        <v>726</v>
      </c>
      <c r="J2901" s="429" t="s">
        <v>1543</v>
      </c>
      <c r="K2901" s="71" t="s">
        <v>2191</v>
      </c>
      <c r="L2901" s="467">
        <v>40490</v>
      </c>
      <c r="M2901" s="468" t="s">
        <v>729</v>
      </c>
      <c r="N2901" s="469">
        <v>40495</v>
      </c>
      <c r="O2901" s="470">
        <f t="shared" si="667"/>
        <v>40495</v>
      </c>
      <c r="P2901" s="2809"/>
      <c r="Q2901" s="2983"/>
      <c r="R2901" s="471">
        <f>300/(1.19)</f>
        <v>252.10084033613447</v>
      </c>
      <c r="S2901" s="1973" t="s">
        <v>731</v>
      </c>
      <c r="T2901" s="472"/>
      <c r="U2901" s="1901"/>
      <c r="V2901" s="2079">
        <f t="shared" si="659"/>
        <v>0</v>
      </c>
      <c r="W2901" s="78">
        <f t="shared" si="660"/>
        <v>297.47899159663865</v>
      </c>
      <c r="X2901" s="1885" t="str">
        <f t="shared" si="658"/>
        <v xml:space="preserve">2.- C Vikrant 1190805-OT_000904  Reencauche  </v>
      </c>
      <c r="Y2901" s="473"/>
      <c r="Z2901" s="474" t="str">
        <f t="shared" si="666"/>
        <v>ReencaucheAMC Llantas</v>
      </c>
      <c r="AA2901" s="463"/>
      <c r="AB2901" s="463"/>
      <c r="AC2901" s="463"/>
    </row>
    <row r="2902" spans="1:29" ht="14.25" outlineLevel="1">
      <c r="A2902" s="463"/>
      <c r="B2902" s="3281"/>
      <c r="C2902" s="2">
        <f t="shared" si="668"/>
        <v>331</v>
      </c>
      <c r="D2902" s="3">
        <f t="shared" si="669"/>
        <v>11</v>
      </c>
      <c r="E2902" s="79">
        <v>3</v>
      </c>
      <c r="F2902" s="80" t="s">
        <v>732</v>
      </c>
      <c r="G2902" s="518" t="s">
        <v>831</v>
      </c>
      <c r="H2902" s="519" t="s">
        <v>2192</v>
      </c>
      <c r="I2902" s="518" t="s">
        <v>726</v>
      </c>
      <c r="J2902" s="520" t="s">
        <v>1543</v>
      </c>
      <c r="K2902" s="84" t="s">
        <v>2191</v>
      </c>
      <c r="L2902" s="521">
        <v>40490</v>
      </c>
      <c r="M2902" s="522" t="s">
        <v>729</v>
      </c>
      <c r="N2902" s="480">
        <v>40495</v>
      </c>
      <c r="O2902" s="481">
        <f t="shared" si="667"/>
        <v>40495</v>
      </c>
      <c r="P2902" s="2816"/>
      <c r="Q2902" s="2984"/>
      <c r="R2902" s="523">
        <f>300/(1.19)</f>
        <v>252.10084033613447</v>
      </c>
      <c r="S2902" s="1980" t="s">
        <v>731</v>
      </c>
      <c r="T2902" s="472"/>
      <c r="U2902" s="1901"/>
      <c r="V2902" s="2079">
        <f t="shared" si="659"/>
        <v>0</v>
      </c>
      <c r="W2902" s="78">
        <f t="shared" si="660"/>
        <v>297.47899159663865</v>
      </c>
      <c r="X2902" s="1885" t="str">
        <f t="shared" si="658"/>
        <v xml:space="preserve">3.- C Kumho 0730404-OT_000904  Reencauche  </v>
      </c>
      <c r="Y2902" s="473"/>
      <c r="Z2902" s="474" t="str">
        <f t="shared" si="666"/>
        <v>ReencaucheAMC Llantas</v>
      </c>
      <c r="AA2902" s="463"/>
      <c r="AB2902" s="463"/>
      <c r="AC2902" s="463"/>
    </row>
    <row r="2903" spans="1:29" ht="14.25" outlineLevel="1">
      <c r="A2903" s="463"/>
      <c r="B2903" s="3281"/>
      <c r="C2903" s="2">
        <f t="shared" si="668"/>
        <v>330</v>
      </c>
      <c r="D2903" s="3">
        <f t="shared" si="669"/>
        <v>10</v>
      </c>
      <c r="E2903" s="66">
        <v>1</v>
      </c>
      <c r="F2903" s="67" t="s">
        <v>732</v>
      </c>
      <c r="G2903" s="439" t="s">
        <v>737</v>
      </c>
      <c r="H2903" s="464" t="s">
        <v>1917</v>
      </c>
      <c r="I2903" s="439" t="s">
        <v>726</v>
      </c>
      <c r="J2903" s="429" t="s">
        <v>1961</v>
      </c>
      <c r="K2903" s="71" t="s">
        <v>2193</v>
      </c>
      <c r="L2903" s="467">
        <v>40488</v>
      </c>
      <c r="M2903" s="468" t="s">
        <v>729</v>
      </c>
      <c r="N2903" s="469">
        <v>40501</v>
      </c>
      <c r="O2903" s="470">
        <f t="shared" si="667"/>
        <v>40501</v>
      </c>
      <c r="P2903" s="2809"/>
      <c r="Q2903" s="2983"/>
      <c r="R2903" s="471">
        <f t="shared" ref="R2903:R2912" si="670">310/(1.19)</f>
        <v>260.50420168067228</v>
      </c>
      <c r="S2903" s="1973" t="s">
        <v>731</v>
      </c>
      <c r="T2903" s="472"/>
      <c r="U2903" s="1901"/>
      <c r="V2903" s="2079">
        <f t="shared" si="659"/>
        <v>0</v>
      </c>
      <c r="W2903" s="78">
        <f t="shared" si="660"/>
        <v>307.39495798319325</v>
      </c>
      <c r="X2903" s="1885" t="str">
        <f t="shared" si="658"/>
        <v xml:space="preserve">1.- C Vikrant 1370805-OT_000525  Reencauche  </v>
      </c>
      <c r="Y2903" s="473"/>
      <c r="Z2903" s="474" t="str">
        <f t="shared" si="666"/>
        <v>ReencaucheAMC Llantas</v>
      </c>
      <c r="AA2903" s="463"/>
      <c r="AB2903" s="463"/>
      <c r="AC2903" s="463"/>
    </row>
    <row r="2904" spans="1:29" ht="14.25" outlineLevel="1">
      <c r="A2904" s="463"/>
      <c r="B2904" s="3281"/>
      <c r="C2904" s="2">
        <f t="shared" si="668"/>
        <v>329</v>
      </c>
      <c r="D2904" s="3">
        <f t="shared" si="669"/>
        <v>9</v>
      </c>
      <c r="E2904" s="66">
        <v>2</v>
      </c>
      <c r="F2904" s="67" t="s">
        <v>732</v>
      </c>
      <c r="G2904" s="439" t="s">
        <v>1233</v>
      </c>
      <c r="H2904" s="464" t="s">
        <v>2194</v>
      </c>
      <c r="I2904" s="439" t="s">
        <v>726</v>
      </c>
      <c r="J2904" s="429" t="s">
        <v>1961</v>
      </c>
      <c r="K2904" s="71" t="s">
        <v>2193</v>
      </c>
      <c r="L2904" s="467">
        <v>40488</v>
      </c>
      <c r="M2904" s="468" t="s">
        <v>729</v>
      </c>
      <c r="N2904" s="469">
        <v>40501</v>
      </c>
      <c r="O2904" s="470">
        <f t="shared" si="667"/>
        <v>40501</v>
      </c>
      <c r="P2904" s="2809"/>
      <c r="Q2904" s="2983"/>
      <c r="R2904" s="471">
        <f t="shared" si="670"/>
        <v>260.50420168067228</v>
      </c>
      <c r="S2904" s="1973" t="s">
        <v>731</v>
      </c>
      <c r="T2904" s="472"/>
      <c r="U2904" s="1901"/>
      <c r="V2904" s="2079">
        <f t="shared" si="659"/>
        <v>0</v>
      </c>
      <c r="W2904" s="78">
        <f t="shared" si="660"/>
        <v>307.39495798319325</v>
      </c>
      <c r="X2904" s="1885" t="str">
        <f t="shared" si="658"/>
        <v xml:space="preserve">2.- C Saratoga 0230306-OT_000525  Reencauche  </v>
      </c>
      <c r="Y2904" s="473"/>
      <c r="Z2904" s="474" t="str">
        <f t="shared" si="666"/>
        <v>ReencaucheAMC Llantas</v>
      </c>
      <c r="AA2904" s="463"/>
      <c r="AB2904" s="463"/>
      <c r="AC2904" s="463"/>
    </row>
    <row r="2905" spans="1:29" ht="14.25" outlineLevel="1">
      <c r="A2905" s="463"/>
      <c r="B2905" s="3281"/>
      <c r="C2905" s="2">
        <f t="shared" si="668"/>
        <v>328</v>
      </c>
      <c r="D2905" s="3">
        <f t="shared" si="669"/>
        <v>8</v>
      </c>
      <c r="E2905" s="66">
        <v>3</v>
      </c>
      <c r="F2905" s="67" t="s">
        <v>732</v>
      </c>
      <c r="G2905" s="439" t="s">
        <v>733</v>
      </c>
      <c r="H2905" s="464" t="s">
        <v>2207</v>
      </c>
      <c r="I2905" s="439" t="s">
        <v>726</v>
      </c>
      <c r="J2905" s="429" t="s">
        <v>1961</v>
      </c>
      <c r="K2905" s="71" t="s">
        <v>2193</v>
      </c>
      <c r="L2905" s="467">
        <v>40488</v>
      </c>
      <c r="M2905" s="468" t="s">
        <v>729</v>
      </c>
      <c r="N2905" s="469">
        <v>40501</v>
      </c>
      <c r="O2905" s="470">
        <f t="shared" si="667"/>
        <v>40501</v>
      </c>
      <c r="P2905" s="2809"/>
      <c r="Q2905" s="2983"/>
      <c r="R2905" s="471">
        <f t="shared" si="670"/>
        <v>260.50420168067228</v>
      </c>
      <c r="S2905" s="1973" t="s">
        <v>731</v>
      </c>
      <c r="T2905" s="472"/>
      <c r="U2905" s="1901"/>
      <c r="V2905" s="2079">
        <f t="shared" si="659"/>
        <v>0</v>
      </c>
      <c r="W2905" s="78">
        <f t="shared" si="660"/>
        <v>307.39495798319325</v>
      </c>
      <c r="X2905" s="1885" t="str">
        <f t="shared" si="658"/>
        <v xml:space="preserve">3.- C Lima Caucho 1331207-OT_000525  Reencauche  </v>
      </c>
      <c r="Y2905" s="473"/>
      <c r="Z2905" s="474" t="str">
        <f t="shared" si="666"/>
        <v>ReencaucheAMC Llantas</v>
      </c>
      <c r="AA2905" s="463"/>
      <c r="AB2905" s="463"/>
      <c r="AC2905" s="463"/>
    </row>
    <row r="2906" spans="1:29" ht="14.25" outlineLevel="1">
      <c r="A2906" s="463"/>
      <c r="B2906" s="3281"/>
      <c r="C2906" s="2">
        <f t="shared" si="668"/>
        <v>327</v>
      </c>
      <c r="D2906" s="3">
        <f t="shared" si="669"/>
        <v>7</v>
      </c>
      <c r="E2906" s="66">
        <v>4</v>
      </c>
      <c r="F2906" s="67" t="s">
        <v>732</v>
      </c>
      <c r="G2906" s="439" t="s">
        <v>733</v>
      </c>
      <c r="H2906" s="464" t="s">
        <v>949</v>
      </c>
      <c r="I2906" s="439" t="s">
        <v>726</v>
      </c>
      <c r="J2906" s="429" t="s">
        <v>1961</v>
      </c>
      <c r="K2906" s="71" t="s">
        <v>2193</v>
      </c>
      <c r="L2906" s="467">
        <v>40488</v>
      </c>
      <c r="M2906" s="468" t="s">
        <v>729</v>
      </c>
      <c r="N2906" s="469">
        <v>40501</v>
      </c>
      <c r="O2906" s="470">
        <f t="shared" si="667"/>
        <v>40501</v>
      </c>
      <c r="P2906" s="2809"/>
      <c r="Q2906" s="2983"/>
      <c r="R2906" s="471">
        <f t="shared" si="670"/>
        <v>260.50420168067228</v>
      </c>
      <c r="S2906" s="1973" t="s">
        <v>731</v>
      </c>
      <c r="T2906" s="472"/>
      <c r="U2906" s="1901"/>
      <c r="V2906" s="2079">
        <f t="shared" si="659"/>
        <v>0</v>
      </c>
      <c r="W2906" s="78">
        <f t="shared" si="660"/>
        <v>307.39495798319325</v>
      </c>
      <c r="X2906" s="1885" t="str">
        <f t="shared" si="658"/>
        <v xml:space="preserve">4.- C Lima Caucho 1241207-OT_000525  Reencauche  </v>
      </c>
      <c r="Y2906" s="473"/>
      <c r="Z2906" s="474" t="str">
        <f t="shared" si="666"/>
        <v>ReencaucheAMC Llantas</v>
      </c>
      <c r="AA2906" s="463"/>
      <c r="AB2906" s="463"/>
      <c r="AC2906" s="463"/>
    </row>
    <row r="2907" spans="1:29" ht="14.25" outlineLevel="1">
      <c r="A2907" s="463"/>
      <c r="B2907" s="3281"/>
      <c r="C2907" s="2">
        <f t="shared" si="668"/>
        <v>326</v>
      </c>
      <c r="D2907" s="3">
        <f t="shared" si="669"/>
        <v>6</v>
      </c>
      <c r="E2907" s="66">
        <v>5</v>
      </c>
      <c r="F2907" s="67" t="s">
        <v>732</v>
      </c>
      <c r="G2907" s="439" t="s">
        <v>733</v>
      </c>
      <c r="H2907" s="464" t="s">
        <v>1284</v>
      </c>
      <c r="I2907" s="439" t="s">
        <v>726</v>
      </c>
      <c r="J2907" s="429" t="s">
        <v>1961</v>
      </c>
      <c r="K2907" s="71" t="s">
        <v>2193</v>
      </c>
      <c r="L2907" s="467">
        <v>40488</v>
      </c>
      <c r="M2907" s="468" t="s">
        <v>729</v>
      </c>
      <c r="N2907" s="469">
        <v>40501</v>
      </c>
      <c r="O2907" s="470">
        <f t="shared" si="667"/>
        <v>40501</v>
      </c>
      <c r="P2907" s="2809"/>
      <c r="Q2907" s="2983"/>
      <c r="R2907" s="471">
        <f t="shared" si="670"/>
        <v>260.50420168067228</v>
      </c>
      <c r="S2907" s="1973" t="s">
        <v>731</v>
      </c>
      <c r="T2907" s="472"/>
      <c r="U2907" s="1901"/>
      <c r="V2907" s="2079">
        <f t="shared" si="659"/>
        <v>0</v>
      </c>
      <c r="W2907" s="78">
        <f t="shared" si="660"/>
        <v>307.39495798319325</v>
      </c>
      <c r="X2907" s="1885" t="str">
        <f t="shared" si="658"/>
        <v xml:space="preserve">5.- C Lima Caucho 0560807-OT_000525  Reencauche  </v>
      </c>
      <c r="Y2907" s="473"/>
      <c r="Z2907" s="474" t="str">
        <f t="shared" si="666"/>
        <v>ReencaucheAMC Llantas</v>
      </c>
      <c r="AA2907" s="463"/>
      <c r="AB2907" s="463"/>
      <c r="AC2907" s="463"/>
    </row>
    <row r="2908" spans="1:29" ht="14.25" outlineLevel="1">
      <c r="A2908" s="463"/>
      <c r="B2908" s="3281"/>
      <c r="C2908" s="2">
        <f t="shared" si="668"/>
        <v>325</v>
      </c>
      <c r="D2908" s="3">
        <f t="shared" si="669"/>
        <v>5</v>
      </c>
      <c r="E2908" s="66">
        <v>6</v>
      </c>
      <c r="F2908" s="67" t="s">
        <v>732</v>
      </c>
      <c r="G2908" s="439" t="s">
        <v>757</v>
      </c>
      <c r="H2908" s="464" t="s">
        <v>1980</v>
      </c>
      <c r="I2908" s="439" t="s">
        <v>726</v>
      </c>
      <c r="J2908" s="429" t="s">
        <v>1961</v>
      </c>
      <c r="K2908" s="71" t="s">
        <v>2193</v>
      </c>
      <c r="L2908" s="467">
        <v>40488</v>
      </c>
      <c r="M2908" s="468" t="s">
        <v>729</v>
      </c>
      <c r="N2908" s="469">
        <v>40501</v>
      </c>
      <c r="O2908" s="470">
        <f t="shared" si="667"/>
        <v>40501</v>
      </c>
      <c r="P2908" s="2809"/>
      <c r="Q2908" s="2983"/>
      <c r="R2908" s="471">
        <f t="shared" si="670"/>
        <v>260.50420168067228</v>
      </c>
      <c r="S2908" s="1973" t="s">
        <v>731</v>
      </c>
      <c r="T2908" s="472"/>
      <c r="U2908" s="1901"/>
      <c r="V2908" s="2079">
        <f t="shared" si="659"/>
        <v>0</v>
      </c>
      <c r="W2908" s="78">
        <f t="shared" si="660"/>
        <v>307.39495798319325</v>
      </c>
      <c r="X2908" s="1885" t="str">
        <f t="shared" si="658"/>
        <v xml:space="preserve">6.- C Goodyear 179020-OT_000525  Reencauche  </v>
      </c>
      <c r="Y2908" s="473"/>
      <c r="Z2908" s="474" t="str">
        <f t="shared" si="666"/>
        <v>ReencaucheAMC Llantas</v>
      </c>
      <c r="AA2908" s="463"/>
      <c r="AB2908" s="463"/>
      <c r="AC2908" s="463"/>
    </row>
    <row r="2909" spans="1:29" ht="14.25" outlineLevel="1">
      <c r="A2909" s="463"/>
      <c r="B2909" s="3281"/>
      <c r="C2909" s="2">
        <f t="shared" si="668"/>
        <v>324</v>
      </c>
      <c r="D2909" s="3">
        <f t="shared" si="669"/>
        <v>4</v>
      </c>
      <c r="E2909" s="66">
        <v>7</v>
      </c>
      <c r="F2909" s="67" t="s">
        <v>732</v>
      </c>
      <c r="G2909" s="439" t="s">
        <v>733</v>
      </c>
      <c r="H2909" s="464" t="s">
        <v>848</v>
      </c>
      <c r="I2909" s="439" t="s">
        <v>726</v>
      </c>
      <c r="J2909" s="429" t="s">
        <v>1961</v>
      </c>
      <c r="K2909" s="71" t="s">
        <v>2193</v>
      </c>
      <c r="L2909" s="467">
        <v>40488</v>
      </c>
      <c r="M2909" s="468" t="s">
        <v>729</v>
      </c>
      <c r="N2909" s="469">
        <v>40501</v>
      </c>
      <c r="O2909" s="470">
        <f t="shared" si="667"/>
        <v>40501</v>
      </c>
      <c r="P2909" s="2809"/>
      <c r="Q2909" s="2983"/>
      <c r="R2909" s="471">
        <f t="shared" si="670"/>
        <v>260.50420168067228</v>
      </c>
      <c r="S2909" s="1973" t="s">
        <v>731</v>
      </c>
      <c r="T2909" s="472"/>
      <c r="U2909" s="1901"/>
      <c r="V2909" s="2079">
        <f t="shared" si="659"/>
        <v>0</v>
      </c>
      <c r="W2909" s="78">
        <f t="shared" si="660"/>
        <v>307.39495798319325</v>
      </c>
      <c r="X2909" s="1885" t="str">
        <f t="shared" si="658"/>
        <v xml:space="preserve">7.- C Lima Caucho 0530807-OT_000525  Reencauche  </v>
      </c>
      <c r="Y2909" s="473"/>
      <c r="Z2909" s="474" t="str">
        <f t="shared" si="666"/>
        <v>ReencaucheAMC Llantas</v>
      </c>
      <c r="AA2909" s="463"/>
      <c r="AB2909" s="463"/>
      <c r="AC2909" s="463"/>
    </row>
    <row r="2910" spans="1:29" ht="14.25">
      <c r="A2910" s="463"/>
      <c r="B2910" s="3281"/>
      <c r="C2910" s="2">
        <f t="shared" si="668"/>
        <v>323</v>
      </c>
      <c r="D2910" s="3">
        <f t="shared" si="669"/>
        <v>3</v>
      </c>
      <c r="E2910" s="66">
        <v>8</v>
      </c>
      <c r="F2910" s="67" t="s">
        <v>732</v>
      </c>
      <c r="G2910" s="439" t="s">
        <v>737</v>
      </c>
      <c r="H2910" s="464" t="s">
        <v>1479</v>
      </c>
      <c r="I2910" s="439" t="s">
        <v>726</v>
      </c>
      <c r="J2910" s="429" t="s">
        <v>1961</v>
      </c>
      <c r="K2910" s="71" t="s">
        <v>2193</v>
      </c>
      <c r="L2910" s="467">
        <v>40488</v>
      </c>
      <c r="M2910" s="468" t="s">
        <v>729</v>
      </c>
      <c r="N2910" s="469">
        <v>40501</v>
      </c>
      <c r="O2910" s="470">
        <f t="shared" si="667"/>
        <v>40501</v>
      </c>
      <c r="P2910" s="2809"/>
      <c r="Q2910" s="2983"/>
      <c r="R2910" s="471">
        <f t="shared" si="670"/>
        <v>260.50420168067228</v>
      </c>
      <c r="S2910" s="1973" t="s">
        <v>731</v>
      </c>
      <c r="T2910" s="472"/>
      <c r="U2910" s="1901"/>
      <c r="V2910" s="2079">
        <f t="shared" si="659"/>
        <v>0</v>
      </c>
      <c r="W2910" s="78">
        <f t="shared" si="660"/>
        <v>307.39495798319325</v>
      </c>
      <c r="X2910" s="1885" t="str">
        <f t="shared" si="658"/>
        <v xml:space="preserve">8.- C Vikrant 0730809-OT_000525  Reencauche  </v>
      </c>
      <c r="Y2910" s="473"/>
      <c r="Z2910" s="474"/>
      <c r="AA2910" s="463"/>
      <c r="AB2910" s="463"/>
      <c r="AC2910" s="463"/>
    </row>
    <row r="2911" spans="1:29" ht="14.25" outlineLevel="1">
      <c r="A2911" s="463"/>
      <c r="B2911" s="3281"/>
      <c r="C2911" s="2">
        <f t="shared" si="668"/>
        <v>322</v>
      </c>
      <c r="D2911" s="3">
        <f t="shared" si="669"/>
        <v>2</v>
      </c>
      <c r="E2911" s="66">
        <v>9</v>
      </c>
      <c r="F2911" s="67" t="s">
        <v>732</v>
      </c>
      <c r="G2911" s="439" t="s">
        <v>733</v>
      </c>
      <c r="H2911" s="464" t="s">
        <v>954</v>
      </c>
      <c r="I2911" s="439" t="s">
        <v>726</v>
      </c>
      <c r="J2911" s="429" t="s">
        <v>1961</v>
      </c>
      <c r="K2911" s="71" t="s">
        <v>2193</v>
      </c>
      <c r="L2911" s="467">
        <v>40488</v>
      </c>
      <c r="M2911" s="468" t="s">
        <v>729</v>
      </c>
      <c r="N2911" s="469">
        <v>40501</v>
      </c>
      <c r="O2911" s="470">
        <f t="shared" si="667"/>
        <v>40501</v>
      </c>
      <c r="P2911" s="2809"/>
      <c r="Q2911" s="2983"/>
      <c r="R2911" s="471">
        <f t="shared" si="670"/>
        <v>260.50420168067228</v>
      </c>
      <c r="S2911" s="1973" t="s">
        <v>731</v>
      </c>
      <c r="T2911" s="472"/>
      <c r="U2911" s="1901"/>
      <c r="V2911" s="2079">
        <f t="shared" si="659"/>
        <v>0</v>
      </c>
      <c r="W2911" s="78">
        <f t="shared" si="660"/>
        <v>307.39495798319325</v>
      </c>
      <c r="X2911" s="1885" t="str">
        <f t="shared" si="658"/>
        <v xml:space="preserve">9.- C Lima Caucho 0400707-OT_000525  Reencauche  </v>
      </c>
      <c r="Y2911" s="473"/>
      <c r="Z2911" s="474" t="str">
        <f t="shared" ref="Z2911:Z2949" si="671">CONCATENATE(I2914,J2914)</f>
        <v>Vulcanizado (curación)Reencauchadora Espinoza</v>
      </c>
      <c r="AA2911" s="463"/>
      <c r="AB2911" s="463"/>
      <c r="AC2911" s="463"/>
    </row>
    <row r="2912" spans="1:29" outlineLevel="1" thickBot="1">
      <c r="A2912" s="463"/>
      <c r="B2912" s="3282"/>
      <c r="C2912" s="420">
        <f>+C2914+1</f>
        <v>321</v>
      </c>
      <c r="D2912" s="421">
        <v>1</v>
      </c>
      <c r="E2912" s="307">
        <v>10</v>
      </c>
      <c r="F2912" s="328" t="s">
        <v>732</v>
      </c>
      <c r="G2912" s="490" t="s">
        <v>737</v>
      </c>
      <c r="H2912" s="491" t="s">
        <v>1291</v>
      </c>
      <c r="I2912" s="490" t="s">
        <v>726</v>
      </c>
      <c r="J2912" s="492" t="s">
        <v>1961</v>
      </c>
      <c r="K2912" s="333" t="s">
        <v>2193</v>
      </c>
      <c r="L2912" s="493">
        <v>40488</v>
      </c>
      <c r="M2912" s="494" t="s">
        <v>729</v>
      </c>
      <c r="N2912" s="495">
        <v>40501</v>
      </c>
      <c r="O2912" s="496">
        <f t="shared" si="667"/>
        <v>40501</v>
      </c>
      <c r="P2912" s="2812"/>
      <c r="Q2912" s="2986"/>
      <c r="R2912" s="497">
        <f t="shared" si="670"/>
        <v>260.50420168067228</v>
      </c>
      <c r="S2912" s="1976" t="s">
        <v>731</v>
      </c>
      <c r="T2912" s="472"/>
      <c r="U2912" s="1901"/>
      <c r="V2912" s="2079">
        <f t="shared" si="659"/>
        <v>0</v>
      </c>
      <c r="W2912" s="78">
        <f t="shared" si="660"/>
        <v>307.39495798319325</v>
      </c>
      <c r="X2912" s="1885" t="str">
        <f t="shared" si="658"/>
        <v xml:space="preserve">10.- C Vikrant 0871206-OT_000525  Reencauche  </v>
      </c>
      <c r="Y2912" s="473"/>
      <c r="Z2912" s="474" t="str">
        <f t="shared" si="671"/>
        <v>Vulcanizado (curación)Reencauchadora Espinoza</v>
      </c>
      <c r="AA2912" s="463"/>
      <c r="AB2912" s="463"/>
      <c r="AC2912" s="463"/>
    </row>
    <row r="2913" spans="1:29" ht="15.75" outlineLevel="1" thickBot="1">
      <c r="A2913" s="463"/>
      <c r="B2913" s="1">
        <f>+B2914</f>
        <v>40452</v>
      </c>
      <c r="C2913" s="1"/>
      <c r="D2913" s="173">
        <f>+D2914</f>
        <v>35</v>
      </c>
      <c r="E2913" s="66"/>
      <c r="F2913" s="67"/>
      <c r="G2913" s="439"/>
      <c r="H2913" s="464"/>
      <c r="I2913" s="439"/>
      <c r="J2913" s="429"/>
      <c r="K2913" s="71"/>
      <c r="L2913" s="467"/>
      <c r="M2913" s="468"/>
      <c r="N2913" s="469"/>
      <c r="O2913" s="470"/>
      <c r="P2913" s="2809"/>
      <c r="Q2913" s="2983"/>
      <c r="R2913" s="471"/>
      <c r="S2913" s="1973"/>
      <c r="T2913" s="472"/>
      <c r="U2913" s="1901"/>
      <c r="V2913" s="2079">
        <f t="shared" si="659"/>
        <v>0</v>
      </c>
      <c r="W2913" s="78">
        <f t="shared" si="660"/>
        <v>0</v>
      </c>
      <c r="X2913" s="1885" t="str">
        <f t="shared" si="658"/>
        <v xml:space="preserve">.-   -OT_    </v>
      </c>
      <c r="Y2913" s="473"/>
      <c r="Z2913" s="474" t="str">
        <f t="shared" si="671"/>
        <v>Transpl BandaReencauchadora Espinoza</v>
      </c>
      <c r="AA2913" s="463"/>
      <c r="AB2913" s="463"/>
      <c r="AC2913" s="463"/>
    </row>
    <row r="2914" spans="1:29" outlineLevel="1">
      <c r="A2914" s="463"/>
      <c r="B2914" s="3251">
        <v>40452</v>
      </c>
      <c r="C2914" s="2">
        <f>1+C2915</f>
        <v>320</v>
      </c>
      <c r="D2914" s="306">
        <f>1+D2915</f>
        <v>35</v>
      </c>
      <c r="E2914" s="79">
        <v>1</v>
      </c>
      <c r="F2914" s="80" t="s">
        <v>732</v>
      </c>
      <c r="G2914" s="524" t="s">
        <v>757</v>
      </c>
      <c r="H2914" s="525" t="s">
        <v>2208</v>
      </c>
      <c r="I2914" s="526" t="s">
        <v>811</v>
      </c>
      <c r="J2914" s="430" t="s">
        <v>1543</v>
      </c>
      <c r="K2914" s="400" t="s">
        <v>2209</v>
      </c>
      <c r="L2914" s="527">
        <v>40477</v>
      </c>
      <c r="M2914" s="528" t="s">
        <v>729</v>
      </c>
      <c r="N2914" s="480">
        <v>40484</v>
      </c>
      <c r="O2914" s="481">
        <f t="shared" ref="O2914:O2952" si="672">+N2914</f>
        <v>40484</v>
      </c>
      <c r="P2914" s="2817"/>
      <c r="Q2914" s="2984"/>
      <c r="R2914" s="529">
        <f>125/(1.19)</f>
        <v>105.0420168067227</v>
      </c>
      <c r="S2914" s="1981" t="s">
        <v>731</v>
      </c>
      <c r="T2914" s="517"/>
      <c r="U2914" s="1933"/>
      <c r="V2914" s="2079">
        <f t="shared" si="659"/>
        <v>0</v>
      </c>
      <c r="W2914" s="78">
        <f t="shared" si="660"/>
        <v>123.94957983193278</v>
      </c>
      <c r="X2914" s="1885" t="str">
        <f t="shared" ref="X2914:X2977" si="673">CONCATENATE(E2914,".- ",F2914," ",G2914," ",H2914,"-OT_",K2914," "," ",I2914," ",P2914," ",T2914)</f>
        <v xml:space="preserve">1.- C Goodyear 0830520-OT_000204  Vulcanizado (curación)  </v>
      </c>
      <c r="Y2914" s="473"/>
      <c r="Z2914" s="474" t="str">
        <f t="shared" si="671"/>
        <v>Sacar_BandaReencauchadora Espinoza</v>
      </c>
      <c r="AA2914" s="463"/>
      <c r="AB2914" s="463"/>
      <c r="AC2914" s="463" t="s">
        <v>2217</v>
      </c>
    </row>
    <row r="2915" spans="1:29" ht="14.25" outlineLevel="1">
      <c r="A2915" s="463"/>
      <c r="B2915" s="3252"/>
      <c r="C2915" s="2">
        <f>1+C2916</f>
        <v>319</v>
      </c>
      <c r="D2915" s="3">
        <f>1+D2916</f>
        <v>34</v>
      </c>
      <c r="E2915" s="66">
        <v>1</v>
      </c>
      <c r="F2915" s="67" t="s">
        <v>732</v>
      </c>
      <c r="G2915" s="510" t="s">
        <v>733</v>
      </c>
      <c r="H2915" s="511" t="s">
        <v>2210</v>
      </c>
      <c r="I2915" s="512" t="s">
        <v>811</v>
      </c>
      <c r="J2915" s="513" t="s">
        <v>1543</v>
      </c>
      <c r="K2915" s="389" t="s">
        <v>2211</v>
      </c>
      <c r="L2915" s="514">
        <v>40474</v>
      </c>
      <c r="M2915" s="515" t="s">
        <v>729</v>
      </c>
      <c r="N2915" s="469">
        <v>40484</v>
      </c>
      <c r="O2915" s="470">
        <f t="shared" si="672"/>
        <v>40484</v>
      </c>
      <c r="P2915" s="2815"/>
      <c r="Q2915" s="2983"/>
      <c r="R2915" s="516">
        <f>125/(1.19)</f>
        <v>105.0420168067227</v>
      </c>
      <c r="S2915" s="1979" t="s">
        <v>731</v>
      </c>
      <c r="T2915" s="517" t="s">
        <v>2212</v>
      </c>
      <c r="U2915" s="1933"/>
      <c r="V2915" s="2079">
        <f t="shared" ref="V2915:V2978" si="674">+Q2915*(1.18)</f>
        <v>0</v>
      </c>
      <c r="W2915" s="78">
        <f t="shared" ref="W2915:W2978" si="675">+R2915*(1.18)</f>
        <v>123.94957983193278</v>
      </c>
      <c r="X2915" s="1885" t="str">
        <f t="shared" si="673"/>
        <v>1.- C Lima Caucho 1471207-OT_0417  Vulcanizado (curación)   Con pedazo de 20cm de banda transplantada  en 07mm aprox</v>
      </c>
      <c r="Y2915" s="473"/>
      <c r="Z2915" s="474" t="str">
        <f t="shared" si="671"/>
        <v>Vulcanizado (curación)Reencauchadora Espinoza</v>
      </c>
      <c r="AA2915" s="463"/>
      <c r="AB2915" s="463"/>
      <c r="AC2915" s="463"/>
    </row>
    <row r="2916" spans="1:29" ht="14.25" outlineLevel="1">
      <c r="A2916" s="463"/>
      <c r="B2916" s="3252"/>
      <c r="C2916" s="2">
        <f>1+C2918</f>
        <v>318</v>
      </c>
      <c r="D2916" s="3">
        <f>1+D2918</f>
        <v>33</v>
      </c>
      <c r="E2916" s="66">
        <v>2</v>
      </c>
      <c r="F2916" s="67" t="s">
        <v>732</v>
      </c>
      <c r="G2916" s="498" t="s">
        <v>757</v>
      </c>
      <c r="H2916" s="499" t="s">
        <v>2213</v>
      </c>
      <c r="I2916" s="440" t="s">
        <v>740</v>
      </c>
      <c r="J2916" s="441" t="s">
        <v>1543</v>
      </c>
      <c r="K2916" s="243" t="s">
        <v>2211</v>
      </c>
      <c r="L2916" s="500">
        <v>40474</v>
      </c>
      <c r="M2916" s="501" t="s">
        <v>729</v>
      </c>
      <c r="N2916" s="469">
        <v>40484</v>
      </c>
      <c r="O2916" s="470">
        <f t="shared" si="672"/>
        <v>40484</v>
      </c>
      <c r="P2916" s="2813"/>
      <c r="Q2916" s="2983"/>
      <c r="R2916" s="502">
        <f>150/(1.19)</f>
        <v>126.05042016806723</v>
      </c>
      <c r="S2916" s="1977" t="s">
        <v>731</v>
      </c>
      <c r="T2916" s="461" t="s">
        <v>2214</v>
      </c>
      <c r="U2916" s="1896"/>
      <c r="V2916" s="2079">
        <f t="shared" si="674"/>
        <v>0</v>
      </c>
      <c r="W2916" s="78">
        <f t="shared" si="675"/>
        <v>148.73949579831933</v>
      </c>
      <c r="X2916" s="1885" t="str">
        <f t="shared" si="673"/>
        <v>2.- C Goodyear 8291-OT_0417  Transpl Banda   Con banda transplantada  en 07mm  [ Nexen - 035032004 ]</v>
      </c>
      <c r="Y2916" s="473"/>
      <c r="Z2916" s="474" t="str">
        <f t="shared" si="671"/>
        <v>Vulcanizado (curación)Reencauchadora Espinoza</v>
      </c>
      <c r="AA2916" s="463"/>
      <c r="AB2916" s="463"/>
      <c r="AC2916" s="463"/>
    </row>
    <row r="2917" spans="1:29" ht="14.25" outlineLevel="1">
      <c r="A2917" s="463"/>
      <c r="B2917" s="3252"/>
      <c r="E2917" s="79">
        <v>3</v>
      </c>
      <c r="F2917" s="149" t="s">
        <v>732</v>
      </c>
      <c r="G2917" s="503" t="s">
        <v>1346</v>
      </c>
      <c r="H2917" s="476" t="s">
        <v>2215</v>
      </c>
      <c r="I2917" s="443" t="s">
        <v>744</v>
      </c>
      <c r="J2917" s="412" t="s">
        <v>1543</v>
      </c>
      <c r="K2917" s="350" t="s">
        <v>2211</v>
      </c>
      <c r="L2917" s="478">
        <v>40474</v>
      </c>
      <c r="M2917" s="479" t="s">
        <v>729</v>
      </c>
      <c r="N2917" s="480">
        <v>40490</v>
      </c>
      <c r="O2917" s="481">
        <f t="shared" si="672"/>
        <v>40490</v>
      </c>
      <c r="P2917" s="2810"/>
      <c r="Q2917" s="2984"/>
      <c r="R2917" s="482">
        <v>0</v>
      </c>
      <c r="S2917" s="1974" t="s">
        <v>731</v>
      </c>
      <c r="T2917" s="460" t="s">
        <v>2216</v>
      </c>
      <c r="U2917" s="1900"/>
      <c r="V2917" s="2079">
        <f t="shared" si="674"/>
        <v>0</v>
      </c>
      <c r="W2917" s="78">
        <f t="shared" si="675"/>
        <v>0</v>
      </c>
      <c r="X2917" s="1885" t="str">
        <f t="shared" si="673"/>
        <v>3.- C Nexen 035032004-OT_0417  Sacar_Banda  Casco dañado x rajaduras, banda 07Mm, desechada</v>
      </c>
      <c r="Y2917" s="473"/>
      <c r="Z2917" s="474" t="str">
        <f t="shared" si="671"/>
        <v>ReencaucheReencauchadora Espinoza</v>
      </c>
      <c r="AA2917" s="463"/>
      <c r="AB2917" s="463"/>
      <c r="AC2917" s="463"/>
    </row>
    <row r="2918" spans="1:29" ht="14.25" outlineLevel="1">
      <c r="A2918" s="463"/>
      <c r="B2918" s="3252"/>
      <c r="C2918" s="2">
        <f t="shared" ref="C2918:D2921" si="676">1+C2919</f>
        <v>317</v>
      </c>
      <c r="D2918" s="3">
        <f t="shared" si="676"/>
        <v>32</v>
      </c>
      <c r="E2918" s="124">
        <v>1</v>
      </c>
      <c r="F2918" s="530" t="s">
        <v>732</v>
      </c>
      <c r="G2918" s="531" t="s">
        <v>733</v>
      </c>
      <c r="H2918" s="532" t="s">
        <v>2129</v>
      </c>
      <c r="I2918" s="526" t="s">
        <v>811</v>
      </c>
      <c r="J2918" s="533" t="s">
        <v>1543</v>
      </c>
      <c r="K2918" s="424" t="s">
        <v>2218</v>
      </c>
      <c r="L2918" s="534">
        <v>40470</v>
      </c>
      <c r="M2918" s="535" t="s">
        <v>729</v>
      </c>
      <c r="N2918" s="536">
        <v>40474</v>
      </c>
      <c r="O2918" s="537">
        <f t="shared" si="672"/>
        <v>40474</v>
      </c>
      <c r="P2918" s="2818"/>
      <c r="Q2918" s="2988"/>
      <c r="R2918" s="538">
        <f>125/(1.19)</f>
        <v>105.0420168067227</v>
      </c>
      <c r="S2918" s="1982" t="s">
        <v>731</v>
      </c>
      <c r="T2918" s="472"/>
      <c r="U2918" s="1901"/>
      <c r="V2918" s="2079">
        <f t="shared" si="674"/>
        <v>0</v>
      </c>
      <c r="W2918" s="78">
        <f t="shared" si="675"/>
        <v>123.94957983193278</v>
      </c>
      <c r="X2918" s="1885" t="str">
        <f t="shared" si="673"/>
        <v xml:space="preserve">1.- C Lima Caucho 0190207-OT_0416  Vulcanizado (curación)  </v>
      </c>
      <c r="Y2918" s="473"/>
      <c r="Z2918" s="474" t="str">
        <f t="shared" si="671"/>
        <v>ReencaucheReencauchadora Espinoza</v>
      </c>
      <c r="AA2918" s="463"/>
      <c r="AB2918" s="463"/>
      <c r="AC2918" s="463"/>
    </row>
    <row r="2919" spans="1:29" ht="14.25" outlineLevel="1">
      <c r="A2919" s="463"/>
      <c r="B2919" s="3252"/>
      <c r="C2919" s="2">
        <f t="shared" si="676"/>
        <v>316</v>
      </c>
      <c r="D2919" s="3">
        <f t="shared" si="676"/>
        <v>31</v>
      </c>
      <c r="E2919" s="79">
        <v>1</v>
      </c>
      <c r="F2919" s="80" t="s">
        <v>732</v>
      </c>
      <c r="G2919" s="524" t="s">
        <v>733</v>
      </c>
      <c r="H2919" s="525" t="s">
        <v>1784</v>
      </c>
      <c r="I2919" s="526" t="s">
        <v>811</v>
      </c>
      <c r="J2919" s="430" t="s">
        <v>1543</v>
      </c>
      <c r="K2919" s="400" t="s">
        <v>2219</v>
      </c>
      <c r="L2919" s="527">
        <v>40469</v>
      </c>
      <c r="M2919" s="528" t="s">
        <v>729</v>
      </c>
      <c r="N2919" s="480">
        <v>40474</v>
      </c>
      <c r="O2919" s="481">
        <f t="shared" si="672"/>
        <v>40474</v>
      </c>
      <c r="P2919" s="2817"/>
      <c r="Q2919" s="2984"/>
      <c r="R2919" s="529">
        <f>125/(1.19)</f>
        <v>105.0420168067227</v>
      </c>
      <c r="S2919" s="1981" t="s">
        <v>731</v>
      </c>
      <c r="T2919" s="472"/>
      <c r="U2919" s="1901"/>
      <c r="V2919" s="2079">
        <f t="shared" si="674"/>
        <v>0</v>
      </c>
      <c r="W2919" s="78">
        <f t="shared" si="675"/>
        <v>123.94957983193278</v>
      </c>
      <c r="X2919" s="1885" t="str">
        <f t="shared" si="673"/>
        <v xml:space="preserve">1.- C Lima Caucho 0670907-OT_0414  Vulcanizado (curación)  </v>
      </c>
      <c r="Y2919" s="473"/>
      <c r="Z2919" s="474" t="str">
        <f t="shared" si="671"/>
        <v>ReencaucheReencauchadora Espinoza</v>
      </c>
      <c r="AA2919" s="463"/>
      <c r="AB2919" s="463"/>
      <c r="AC2919" s="463"/>
    </row>
    <row r="2920" spans="1:29" ht="14.25" outlineLevel="1">
      <c r="A2920" s="463"/>
      <c r="B2920" s="3252"/>
      <c r="C2920" s="2">
        <f t="shared" si="676"/>
        <v>315</v>
      </c>
      <c r="D2920" s="3">
        <f t="shared" si="676"/>
        <v>30</v>
      </c>
      <c r="E2920" s="66">
        <v>1</v>
      </c>
      <c r="F2920" s="67" t="s">
        <v>732</v>
      </c>
      <c r="G2920" s="439" t="s">
        <v>733</v>
      </c>
      <c r="H2920" s="464" t="s">
        <v>1577</v>
      </c>
      <c r="I2920" s="439" t="s">
        <v>726</v>
      </c>
      <c r="J2920" s="429" t="s">
        <v>1543</v>
      </c>
      <c r="K2920" s="71" t="s">
        <v>2220</v>
      </c>
      <c r="L2920" s="467">
        <v>40464</v>
      </c>
      <c r="M2920" s="468" t="s">
        <v>729</v>
      </c>
      <c r="N2920" s="469">
        <v>40474</v>
      </c>
      <c r="O2920" s="470">
        <f t="shared" si="672"/>
        <v>40474</v>
      </c>
      <c r="P2920" s="2809"/>
      <c r="Q2920" s="2983"/>
      <c r="R2920" s="471">
        <f>300/(1.19)</f>
        <v>252.10084033613447</v>
      </c>
      <c r="S2920" s="1973" t="s">
        <v>731</v>
      </c>
      <c r="T2920" s="472"/>
      <c r="U2920" s="1901"/>
      <c r="V2920" s="2079">
        <f t="shared" si="674"/>
        <v>0</v>
      </c>
      <c r="W2920" s="78">
        <f t="shared" si="675"/>
        <v>297.47899159663865</v>
      </c>
      <c r="X2920" s="1885" t="str">
        <f t="shared" si="673"/>
        <v xml:space="preserve">1.- C Lima Caucho 0410707-OT_0413  Reencauche  </v>
      </c>
      <c r="Y2920" s="473"/>
      <c r="Z2920" s="474" t="str">
        <f t="shared" si="671"/>
        <v>RECLAMOReencauchadora RENOVA</v>
      </c>
      <c r="AA2920" s="463"/>
      <c r="AB2920" s="463"/>
      <c r="AC2920" s="463"/>
    </row>
    <row r="2921" spans="1:29" ht="14.25" outlineLevel="1">
      <c r="A2921" s="463"/>
      <c r="B2921" s="3252"/>
      <c r="C2921" s="2">
        <f t="shared" si="676"/>
        <v>314</v>
      </c>
      <c r="D2921" s="3">
        <f t="shared" si="676"/>
        <v>29</v>
      </c>
      <c r="E2921" s="66">
        <v>2</v>
      </c>
      <c r="F2921" s="67" t="s">
        <v>732</v>
      </c>
      <c r="G2921" s="439" t="s">
        <v>757</v>
      </c>
      <c r="H2921" s="464" t="s">
        <v>2221</v>
      </c>
      <c r="I2921" s="439" t="s">
        <v>726</v>
      </c>
      <c r="J2921" s="429" t="s">
        <v>1543</v>
      </c>
      <c r="K2921" s="71" t="s">
        <v>2220</v>
      </c>
      <c r="L2921" s="467">
        <v>40464</v>
      </c>
      <c r="M2921" s="468" t="s">
        <v>729</v>
      </c>
      <c r="N2921" s="469">
        <v>40474</v>
      </c>
      <c r="O2921" s="470">
        <f t="shared" si="672"/>
        <v>40474</v>
      </c>
      <c r="P2921" s="2809"/>
      <c r="Q2921" s="2983"/>
      <c r="R2921" s="471">
        <f>300/(1.19)</f>
        <v>252.10084033613447</v>
      </c>
      <c r="S2921" s="1973" t="s">
        <v>731</v>
      </c>
      <c r="T2921" s="472"/>
      <c r="U2921" s="1901"/>
      <c r="V2921" s="2079">
        <f t="shared" si="674"/>
        <v>0</v>
      </c>
      <c r="W2921" s="78">
        <f t="shared" si="675"/>
        <v>297.47899159663865</v>
      </c>
      <c r="X2921" s="1885" t="str">
        <f t="shared" si="673"/>
        <v xml:space="preserve">2.- C Goodyear 069112002-OT_0413  Reencauche  </v>
      </c>
      <c r="Y2921" s="473"/>
      <c r="Z2921" s="474" t="str">
        <f t="shared" si="671"/>
        <v>AMC Llantas</v>
      </c>
      <c r="AA2921" s="463"/>
      <c r="AB2921" s="463"/>
      <c r="AC2921" s="463"/>
    </row>
    <row r="2922" spans="1:29" ht="14.25" outlineLevel="1">
      <c r="A2922" s="463"/>
      <c r="B2922" s="3252"/>
      <c r="C2922" s="2">
        <f>1+C2925</f>
        <v>313</v>
      </c>
      <c r="D2922" s="3">
        <f>1+D2925</f>
        <v>28</v>
      </c>
      <c r="E2922" s="79">
        <v>3</v>
      </c>
      <c r="F2922" s="80" t="s">
        <v>732</v>
      </c>
      <c r="G2922" s="518" t="s">
        <v>778</v>
      </c>
      <c r="H2922" s="519" t="s">
        <v>1067</v>
      </c>
      <c r="I2922" s="518" t="s">
        <v>726</v>
      </c>
      <c r="J2922" s="520" t="s">
        <v>1543</v>
      </c>
      <c r="K2922" s="84" t="s">
        <v>2220</v>
      </c>
      <c r="L2922" s="521">
        <v>40464</v>
      </c>
      <c r="M2922" s="522" t="s">
        <v>729</v>
      </c>
      <c r="N2922" s="480">
        <v>40474</v>
      </c>
      <c r="O2922" s="481">
        <f t="shared" si="672"/>
        <v>40474</v>
      </c>
      <c r="P2922" s="2816"/>
      <c r="Q2922" s="2984"/>
      <c r="R2922" s="523">
        <f>300/(1.19)</f>
        <v>252.10084033613447</v>
      </c>
      <c r="S2922" s="1980" t="s">
        <v>731</v>
      </c>
      <c r="T2922" s="472"/>
      <c r="U2922" s="1901"/>
      <c r="V2922" s="2079">
        <f t="shared" si="674"/>
        <v>0</v>
      </c>
      <c r="W2922" s="78">
        <f t="shared" si="675"/>
        <v>297.47899159663865</v>
      </c>
      <c r="X2922" s="1885" t="str">
        <f t="shared" si="673"/>
        <v xml:space="preserve">3.- C Riverstone 1300904-OT_0413  Reencauche  </v>
      </c>
      <c r="Y2922" s="473"/>
      <c r="Z2922" s="474" t="str">
        <f t="shared" si="671"/>
        <v>ReencaucheAMC Llantas</v>
      </c>
      <c r="AA2922" s="463"/>
      <c r="AB2922" s="463"/>
      <c r="AC2922" s="463"/>
    </row>
    <row r="2923" spans="1:29" ht="14.25" outlineLevel="1">
      <c r="A2923" s="463"/>
      <c r="B2923" s="3252"/>
      <c r="E2923" s="124">
        <v>1</v>
      </c>
      <c r="F2923" s="125" t="s">
        <v>732</v>
      </c>
      <c r="G2923" s="539" t="s">
        <v>757</v>
      </c>
      <c r="H2923" s="540" t="s">
        <v>2213</v>
      </c>
      <c r="I2923" s="541" t="s">
        <v>816</v>
      </c>
      <c r="J2923" s="542" t="s">
        <v>760</v>
      </c>
      <c r="K2923" s="543" t="s">
        <v>2222</v>
      </c>
      <c r="L2923" s="544">
        <v>40462</v>
      </c>
      <c r="M2923" s="545" t="s">
        <v>729</v>
      </c>
      <c r="N2923" s="536">
        <v>40473</v>
      </c>
      <c r="O2923" s="537">
        <f t="shared" si="672"/>
        <v>40473</v>
      </c>
      <c r="P2923" s="2819"/>
      <c r="Q2923" s="2988">
        <v>0</v>
      </c>
      <c r="R2923" s="546"/>
      <c r="S2923" s="1983" t="s">
        <v>731</v>
      </c>
      <c r="T2923" s="1918" t="s">
        <v>2223</v>
      </c>
      <c r="U2923" s="1901"/>
      <c r="V2923" s="2079">
        <f t="shared" si="674"/>
        <v>0</v>
      </c>
      <c r="W2923" s="78">
        <f t="shared" si="675"/>
        <v>0</v>
      </c>
      <c r="X2923" s="1885" t="str">
        <f t="shared" si="673"/>
        <v>1.- C Goodyear 8291-OT_140905  RECLAMO   Se reenc como TRANSCOSTA en Ene-2009, Nota Debito a TC ($22.94)</v>
      </c>
      <c r="Y2923" s="473"/>
      <c r="Z2923" s="474" t="str">
        <f t="shared" si="671"/>
        <v>ReencaucheAMC Llantas</v>
      </c>
      <c r="AA2923" s="463"/>
      <c r="AB2923" s="463"/>
      <c r="AC2923" s="463"/>
    </row>
    <row r="2924" spans="1:29" ht="14.25" outlineLevel="1">
      <c r="A2924" s="463"/>
      <c r="B2924" s="3252"/>
      <c r="E2924" s="66">
        <v>1</v>
      </c>
      <c r="F2924" s="67" t="s">
        <v>732</v>
      </c>
      <c r="G2924" s="483" t="s">
        <v>757</v>
      </c>
      <c r="H2924" s="484" t="s">
        <v>2224</v>
      </c>
      <c r="I2924" s="483"/>
      <c r="J2924" s="407" t="s">
        <v>1961</v>
      </c>
      <c r="K2924" s="292" t="s">
        <v>2225</v>
      </c>
      <c r="L2924" s="485">
        <v>40455</v>
      </c>
      <c r="M2924" s="486" t="s">
        <v>1815</v>
      </c>
      <c r="N2924" s="487">
        <v>40460</v>
      </c>
      <c r="O2924" s="488">
        <f t="shared" si="672"/>
        <v>40460</v>
      </c>
      <c r="P2924" s="2811"/>
      <c r="Q2924" s="2985"/>
      <c r="R2924" s="489">
        <v>0</v>
      </c>
      <c r="S2924" s="1975" t="s">
        <v>731</v>
      </c>
      <c r="T2924" s="274" t="s">
        <v>1617</v>
      </c>
      <c r="U2924" s="1895"/>
      <c r="V2924" s="2079">
        <f t="shared" si="674"/>
        <v>0</v>
      </c>
      <c r="W2924" s="78">
        <f t="shared" si="675"/>
        <v>0</v>
      </c>
      <c r="X2924" s="1885" t="str">
        <f t="shared" si="673"/>
        <v>1.- C Goodyear 1870920-OT_000487     Llanta Rechazada, no se facturo</v>
      </c>
      <c r="Y2924" s="473"/>
      <c r="Z2924" s="474" t="str">
        <f t="shared" si="671"/>
        <v>ReencaucheAMC Llantas</v>
      </c>
      <c r="AA2924" s="463"/>
      <c r="AB2924" s="463"/>
      <c r="AC2924" s="463"/>
    </row>
    <row r="2925" spans="1:29" ht="14.25" outlineLevel="1">
      <c r="A2925" s="463"/>
      <c r="B2925" s="3252"/>
      <c r="C2925" s="2">
        <f t="shared" ref="C2925:C2941" si="677">1+C2926</f>
        <v>312</v>
      </c>
      <c r="D2925" s="3">
        <f t="shared" ref="D2925:D2941" si="678">1+D2926</f>
        <v>27</v>
      </c>
      <c r="E2925" s="66">
        <v>2</v>
      </c>
      <c r="F2925" s="67" t="s">
        <v>732</v>
      </c>
      <c r="G2925" s="439" t="s">
        <v>733</v>
      </c>
      <c r="H2925" s="464" t="s">
        <v>1666</v>
      </c>
      <c r="I2925" s="439" t="s">
        <v>726</v>
      </c>
      <c r="J2925" s="431" t="s">
        <v>1961</v>
      </c>
      <c r="K2925" s="71" t="s">
        <v>2225</v>
      </c>
      <c r="L2925" s="467">
        <v>40455</v>
      </c>
      <c r="M2925" s="468" t="s">
        <v>729</v>
      </c>
      <c r="N2925" s="469">
        <v>40460</v>
      </c>
      <c r="O2925" s="470">
        <f t="shared" si="672"/>
        <v>40460</v>
      </c>
      <c r="P2925" s="2809"/>
      <c r="Q2925" s="2983"/>
      <c r="R2925" s="471">
        <f t="shared" ref="R2925:R2933" si="679">310/(1.19)</f>
        <v>260.50420168067228</v>
      </c>
      <c r="S2925" s="1973" t="s">
        <v>731</v>
      </c>
      <c r="T2925" s="472"/>
      <c r="U2925" s="1901"/>
      <c r="V2925" s="2079">
        <f t="shared" si="674"/>
        <v>0</v>
      </c>
      <c r="W2925" s="78">
        <f t="shared" si="675"/>
        <v>307.39495798319325</v>
      </c>
      <c r="X2925" s="1885" t="str">
        <f t="shared" si="673"/>
        <v xml:space="preserve">2.- C Lima Caucho 0360508-OT_000487  Reencauche  </v>
      </c>
      <c r="Y2925" s="473"/>
      <c r="Z2925" s="474" t="str">
        <f t="shared" si="671"/>
        <v>ReencaucheAMC Llantas</v>
      </c>
      <c r="AA2925" s="463"/>
      <c r="AB2925" s="463"/>
      <c r="AC2925" s="463"/>
    </row>
    <row r="2926" spans="1:29" ht="14.25" outlineLevel="1">
      <c r="A2926" s="463"/>
      <c r="B2926" s="3252"/>
      <c r="C2926" s="2">
        <f t="shared" si="677"/>
        <v>311</v>
      </c>
      <c r="D2926" s="3">
        <f t="shared" si="678"/>
        <v>26</v>
      </c>
      <c r="E2926" s="66">
        <v>3</v>
      </c>
      <c r="F2926" s="67" t="s">
        <v>732</v>
      </c>
      <c r="G2926" s="439" t="s">
        <v>814</v>
      </c>
      <c r="H2926" s="464" t="s">
        <v>1045</v>
      </c>
      <c r="I2926" s="439" t="s">
        <v>726</v>
      </c>
      <c r="J2926" s="431" t="s">
        <v>1961</v>
      </c>
      <c r="K2926" s="71" t="s">
        <v>2225</v>
      </c>
      <c r="L2926" s="467">
        <v>40455</v>
      </c>
      <c r="M2926" s="468" t="s">
        <v>729</v>
      </c>
      <c r="N2926" s="469">
        <v>40460</v>
      </c>
      <c r="O2926" s="470">
        <f t="shared" si="672"/>
        <v>40460</v>
      </c>
      <c r="P2926" s="2809"/>
      <c r="Q2926" s="2983"/>
      <c r="R2926" s="471">
        <f t="shared" si="679"/>
        <v>260.50420168067228</v>
      </c>
      <c r="S2926" s="1973" t="s">
        <v>731</v>
      </c>
      <c r="T2926" s="472"/>
      <c r="U2926" s="1901"/>
      <c r="V2926" s="2079">
        <f t="shared" si="674"/>
        <v>0</v>
      </c>
      <c r="W2926" s="78">
        <f t="shared" si="675"/>
        <v>307.39495798319325</v>
      </c>
      <c r="X2926" s="1885" t="str">
        <f t="shared" si="673"/>
        <v xml:space="preserve">3.- C Birla 0500706-OT_000487  Reencauche  </v>
      </c>
      <c r="Y2926" s="473"/>
      <c r="Z2926" s="474" t="str">
        <f t="shared" si="671"/>
        <v>ReencaucheAMC Llantas</v>
      </c>
      <c r="AA2926" s="463"/>
      <c r="AB2926" s="463"/>
      <c r="AC2926" s="463"/>
    </row>
    <row r="2927" spans="1:29" ht="14.25" outlineLevel="1">
      <c r="A2927" s="463"/>
      <c r="B2927" s="3252"/>
      <c r="C2927" s="2">
        <f t="shared" si="677"/>
        <v>310</v>
      </c>
      <c r="D2927" s="3">
        <f t="shared" si="678"/>
        <v>25</v>
      </c>
      <c r="E2927" s="66">
        <v>4</v>
      </c>
      <c r="F2927" s="67" t="s">
        <v>732</v>
      </c>
      <c r="G2927" s="439" t="s">
        <v>769</v>
      </c>
      <c r="H2927" s="464" t="s">
        <v>2055</v>
      </c>
      <c r="I2927" s="439" t="s">
        <v>726</v>
      </c>
      <c r="J2927" s="431" t="s">
        <v>1961</v>
      </c>
      <c r="K2927" s="71" t="s">
        <v>2225</v>
      </c>
      <c r="L2927" s="467">
        <v>40455</v>
      </c>
      <c r="M2927" s="468" t="s">
        <v>729</v>
      </c>
      <c r="N2927" s="469">
        <v>40460</v>
      </c>
      <c r="O2927" s="470">
        <f t="shared" si="672"/>
        <v>40460</v>
      </c>
      <c r="P2927" s="2809"/>
      <c r="Q2927" s="2983"/>
      <c r="R2927" s="471">
        <f t="shared" si="679"/>
        <v>260.50420168067228</v>
      </c>
      <c r="S2927" s="1973" t="s">
        <v>731</v>
      </c>
      <c r="T2927" s="472"/>
      <c r="U2927" s="1901"/>
      <c r="V2927" s="2079">
        <f t="shared" si="674"/>
        <v>0</v>
      </c>
      <c r="W2927" s="78">
        <f t="shared" si="675"/>
        <v>307.39495798319325</v>
      </c>
      <c r="X2927" s="1885" t="str">
        <f t="shared" si="673"/>
        <v xml:space="preserve">4.- C Lu He 0270209-OT_000487  Reencauche  </v>
      </c>
      <c r="Y2927" s="473"/>
      <c r="Z2927" s="474" t="str">
        <f t="shared" si="671"/>
        <v>ReencaucheAMC Llantas</v>
      </c>
      <c r="AA2927" s="463"/>
      <c r="AB2927" s="463"/>
      <c r="AC2927" s="463"/>
    </row>
    <row r="2928" spans="1:29" ht="14.25" outlineLevel="1">
      <c r="A2928" s="463"/>
      <c r="B2928" s="3252"/>
      <c r="C2928" s="2">
        <f t="shared" si="677"/>
        <v>309</v>
      </c>
      <c r="D2928" s="3">
        <f t="shared" si="678"/>
        <v>24</v>
      </c>
      <c r="E2928" s="66">
        <v>5</v>
      </c>
      <c r="F2928" s="67" t="s">
        <v>732</v>
      </c>
      <c r="G2928" s="439" t="s">
        <v>769</v>
      </c>
      <c r="H2928" s="464" t="s">
        <v>2226</v>
      </c>
      <c r="I2928" s="439" t="s">
        <v>726</v>
      </c>
      <c r="J2928" s="431" t="s">
        <v>1961</v>
      </c>
      <c r="K2928" s="71" t="s">
        <v>2225</v>
      </c>
      <c r="L2928" s="467">
        <v>40455</v>
      </c>
      <c r="M2928" s="468" t="s">
        <v>729</v>
      </c>
      <c r="N2928" s="469">
        <v>40460</v>
      </c>
      <c r="O2928" s="470">
        <f t="shared" si="672"/>
        <v>40460</v>
      </c>
      <c r="P2928" s="2809"/>
      <c r="Q2928" s="2983"/>
      <c r="R2928" s="471">
        <f t="shared" si="679"/>
        <v>260.50420168067228</v>
      </c>
      <c r="S2928" s="1973" t="s">
        <v>731</v>
      </c>
      <c r="T2928" s="472"/>
      <c r="U2928" s="1901"/>
      <c r="V2928" s="2079">
        <f t="shared" si="674"/>
        <v>0</v>
      </c>
      <c r="W2928" s="78">
        <f t="shared" si="675"/>
        <v>307.39495798319325</v>
      </c>
      <c r="X2928" s="1885" t="str">
        <f t="shared" si="673"/>
        <v xml:space="preserve">5.- C Lu He 0420509-OT_000487  Reencauche  </v>
      </c>
      <c r="Y2928" s="473"/>
      <c r="Z2928" s="474" t="str">
        <f t="shared" si="671"/>
        <v>ReencaucheAMC Llantas</v>
      </c>
      <c r="AA2928" s="463"/>
      <c r="AB2928" s="463"/>
      <c r="AC2928" s="463"/>
    </row>
    <row r="2929" spans="1:29" ht="14.25" outlineLevel="1">
      <c r="A2929" s="463"/>
      <c r="B2929" s="3252"/>
      <c r="C2929" s="2">
        <f t="shared" si="677"/>
        <v>308</v>
      </c>
      <c r="D2929" s="3">
        <f t="shared" si="678"/>
        <v>23</v>
      </c>
      <c r="E2929" s="66">
        <v>6</v>
      </c>
      <c r="F2929" s="67" t="s">
        <v>732</v>
      </c>
      <c r="G2929" s="439" t="s">
        <v>733</v>
      </c>
      <c r="H2929" s="464" t="s">
        <v>1579</v>
      </c>
      <c r="I2929" s="439" t="s">
        <v>726</v>
      </c>
      <c r="J2929" s="431" t="s">
        <v>1961</v>
      </c>
      <c r="K2929" s="71" t="s">
        <v>2225</v>
      </c>
      <c r="L2929" s="467">
        <v>40455</v>
      </c>
      <c r="M2929" s="468" t="s">
        <v>729</v>
      </c>
      <c r="N2929" s="469">
        <v>40460</v>
      </c>
      <c r="O2929" s="470">
        <f t="shared" si="672"/>
        <v>40460</v>
      </c>
      <c r="P2929" s="2809"/>
      <c r="Q2929" s="2983"/>
      <c r="R2929" s="471">
        <f t="shared" si="679"/>
        <v>260.50420168067228</v>
      </c>
      <c r="S2929" s="1973" t="s">
        <v>731</v>
      </c>
      <c r="T2929" s="472"/>
      <c r="U2929" s="1901"/>
      <c r="V2929" s="2079">
        <f t="shared" si="674"/>
        <v>0</v>
      </c>
      <c r="W2929" s="78">
        <f t="shared" si="675"/>
        <v>307.39495798319325</v>
      </c>
      <c r="X2929" s="1885" t="str">
        <f t="shared" si="673"/>
        <v xml:space="preserve">6.- C Lima Caucho 1081208-OT_000487  Reencauche  </v>
      </c>
      <c r="Y2929" s="473"/>
      <c r="Z2929" s="474" t="str">
        <f t="shared" si="671"/>
        <v>ReencaucheAMC Llantas</v>
      </c>
      <c r="AA2929" s="463"/>
      <c r="AB2929" s="463"/>
      <c r="AC2929" s="463"/>
    </row>
    <row r="2930" spans="1:29" ht="14.25" outlineLevel="1">
      <c r="A2930" s="463"/>
      <c r="B2930" s="3252"/>
      <c r="C2930" s="2">
        <f t="shared" si="677"/>
        <v>307</v>
      </c>
      <c r="D2930" s="3">
        <f t="shared" si="678"/>
        <v>22</v>
      </c>
      <c r="E2930" s="66">
        <v>7</v>
      </c>
      <c r="F2930" s="67" t="s">
        <v>732</v>
      </c>
      <c r="G2930" s="439" t="s">
        <v>733</v>
      </c>
      <c r="H2930" s="464" t="s">
        <v>1638</v>
      </c>
      <c r="I2930" s="439" t="s">
        <v>726</v>
      </c>
      <c r="J2930" s="431" t="s">
        <v>1961</v>
      </c>
      <c r="K2930" s="71" t="s">
        <v>2225</v>
      </c>
      <c r="L2930" s="467">
        <v>40455</v>
      </c>
      <c r="M2930" s="468" t="s">
        <v>729</v>
      </c>
      <c r="N2930" s="469">
        <v>40460</v>
      </c>
      <c r="O2930" s="470">
        <f t="shared" si="672"/>
        <v>40460</v>
      </c>
      <c r="P2930" s="2809"/>
      <c r="Q2930" s="2983"/>
      <c r="R2930" s="471">
        <f t="shared" si="679"/>
        <v>260.50420168067228</v>
      </c>
      <c r="S2930" s="1973" t="s">
        <v>731</v>
      </c>
      <c r="T2930" s="472"/>
      <c r="U2930" s="1901"/>
      <c r="V2930" s="2079">
        <f t="shared" si="674"/>
        <v>0</v>
      </c>
      <c r="W2930" s="78">
        <f t="shared" si="675"/>
        <v>307.39495798319325</v>
      </c>
      <c r="X2930" s="1885" t="str">
        <f t="shared" si="673"/>
        <v xml:space="preserve">7.- C Lima Caucho 0490708-OT_000487  Reencauche  </v>
      </c>
      <c r="Y2930" s="473"/>
      <c r="Z2930" s="474" t="str">
        <f t="shared" si="671"/>
        <v>ReencaucheAMC Llantas</v>
      </c>
      <c r="AA2930" s="463"/>
      <c r="AB2930" s="463"/>
      <c r="AC2930" s="463"/>
    </row>
    <row r="2931" spans="1:29" ht="14.25" outlineLevel="1">
      <c r="A2931" s="463"/>
      <c r="B2931" s="3252"/>
      <c r="C2931" s="2">
        <f t="shared" si="677"/>
        <v>306</v>
      </c>
      <c r="D2931" s="3">
        <f t="shared" si="678"/>
        <v>21</v>
      </c>
      <c r="E2931" s="66">
        <v>8</v>
      </c>
      <c r="F2931" s="67" t="s">
        <v>732</v>
      </c>
      <c r="G2931" s="439" t="s">
        <v>733</v>
      </c>
      <c r="H2931" s="464" t="s">
        <v>1470</v>
      </c>
      <c r="I2931" s="439" t="s">
        <v>726</v>
      </c>
      <c r="J2931" s="431" t="s">
        <v>1961</v>
      </c>
      <c r="K2931" s="71" t="s">
        <v>2225</v>
      </c>
      <c r="L2931" s="467">
        <v>40455</v>
      </c>
      <c r="M2931" s="468" t="s">
        <v>729</v>
      </c>
      <c r="N2931" s="469">
        <v>40460</v>
      </c>
      <c r="O2931" s="470">
        <f t="shared" si="672"/>
        <v>40460</v>
      </c>
      <c r="P2931" s="2809"/>
      <c r="Q2931" s="2983"/>
      <c r="R2931" s="471">
        <f t="shared" si="679"/>
        <v>260.50420168067228</v>
      </c>
      <c r="S2931" s="1973" t="s">
        <v>731</v>
      </c>
      <c r="T2931" s="472"/>
      <c r="U2931" s="1901"/>
      <c r="V2931" s="2079">
        <f t="shared" si="674"/>
        <v>0</v>
      </c>
      <c r="W2931" s="78">
        <f t="shared" si="675"/>
        <v>307.39495798319325</v>
      </c>
      <c r="X2931" s="1885" t="str">
        <f t="shared" si="673"/>
        <v xml:space="preserve">8.- C Lima Caucho 0850908-OT_000487  Reencauche  </v>
      </c>
      <c r="Y2931" s="473"/>
      <c r="Z2931" s="474" t="str">
        <f t="shared" si="671"/>
        <v>ReencaucheReencauchadora RENOVA</v>
      </c>
      <c r="AA2931" s="463"/>
      <c r="AB2931" s="463"/>
      <c r="AC2931" s="463"/>
    </row>
    <row r="2932" spans="1:29" ht="14.25" outlineLevel="1">
      <c r="A2932" s="463"/>
      <c r="B2932" s="3252"/>
      <c r="C2932" s="2">
        <f t="shared" si="677"/>
        <v>305</v>
      </c>
      <c r="D2932" s="3">
        <f t="shared" si="678"/>
        <v>20</v>
      </c>
      <c r="E2932" s="66">
        <v>9</v>
      </c>
      <c r="F2932" s="67" t="s">
        <v>732</v>
      </c>
      <c r="G2932" s="439" t="s">
        <v>737</v>
      </c>
      <c r="H2932" s="464" t="s">
        <v>2227</v>
      </c>
      <c r="I2932" s="439" t="s">
        <v>726</v>
      </c>
      <c r="J2932" s="431" t="s">
        <v>1961</v>
      </c>
      <c r="K2932" s="71" t="s">
        <v>2225</v>
      </c>
      <c r="L2932" s="467">
        <v>40455</v>
      </c>
      <c r="M2932" s="468" t="s">
        <v>729</v>
      </c>
      <c r="N2932" s="469">
        <v>40460</v>
      </c>
      <c r="O2932" s="470">
        <f t="shared" si="672"/>
        <v>40460</v>
      </c>
      <c r="P2932" s="2809"/>
      <c r="Q2932" s="2983"/>
      <c r="R2932" s="471">
        <f t="shared" si="679"/>
        <v>260.50420168067228</v>
      </c>
      <c r="S2932" s="1973" t="s">
        <v>731</v>
      </c>
      <c r="T2932" s="472"/>
      <c r="U2932" s="1901"/>
      <c r="V2932" s="2079">
        <f t="shared" si="674"/>
        <v>0</v>
      </c>
      <c r="W2932" s="78">
        <f t="shared" si="675"/>
        <v>307.39495798319325</v>
      </c>
      <c r="X2932" s="1885" t="str">
        <f t="shared" si="673"/>
        <v xml:space="preserve">9.- C Vikrant 0510709-OT_000487  Reencauche  </v>
      </c>
      <c r="Y2932" s="473"/>
      <c r="Z2932" s="474" t="str">
        <f t="shared" si="671"/>
        <v>ReencaucheReencauchadora RENOVA</v>
      </c>
      <c r="AA2932" s="463"/>
      <c r="AB2932" s="463"/>
      <c r="AC2932" s="463"/>
    </row>
    <row r="2933" spans="1:29" ht="14.25" outlineLevel="1">
      <c r="A2933" s="463"/>
      <c r="B2933" s="3252"/>
      <c r="C2933" s="2">
        <f t="shared" si="677"/>
        <v>304</v>
      </c>
      <c r="D2933" s="3">
        <f t="shared" si="678"/>
        <v>19</v>
      </c>
      <c r="E2933" s="79">
        <v>10</v>
      </c>
      <c r="F2933" s="80" t="s">
        <v>732</v>
      </c>
      <c r="G2933" s="518" t="s">
        <v>737</v>
      </c>
      <c r="H2933" s="519" t="s">
        <v>755</v>
      </c>
      <c r="I2933" s="518" t="s">
        <v>726</v>
      </c>
      <c r="J2933" s="520" t="s">
        <v>1961</v>
      </c>
      <c r="K2933" s="84" t="s">
        <v>2225</v>
      </c>
      <c r="L2933" s="521">
        <v>40455</v>
      </c>
      <c r="M2933" s="522" t="s">
        <v>729</v>
      </c>
      <c r="N2933" s="480">
        <v>40460</v>
      </c>
      <c r="O2933" s="481">
        <f t="shared" si="672"/>
        <v>40460</v>
      </c>
      <c r="P2933" s="2816"/>
      <c r="Q2933" s="2984"/>
      <c r="R2933" s="523">
        <f t="shared" si="679"/>
        <v>260.50420168067228</v>
      </c>
      <c r="S2933" s="1980" t="s">
        <v>731</v>
      </c>
      <c r="T2933" s="472"/>
      <c r="U2933" s="1901"/>
      <c r="V2933" s="2079">
        <f t="shared" si="674"/>
        <v>0</v>
      </c>
      <c r="W2933" s="78">
        <f t="shared" si="675"/>
        <v>307.39495798319325</v>
      </c>
      <c r="X2933" s="1885" t="str">
        <f t="shared" si="673"/>
        <v xml:space="preserve">10.- C Vikrant 0771007-OT_000487  Reencauche  </v>
      </c>
      <c r="Y2933" s="473"/>
      <c r="Z2933" s="474" t="str">
        <f t="shared" si="671"/>
        <v>ReencaucheReencauchadora RENOVA</v>
      </c>
      <c r="AA2933" s="463"/>
      <c r="AB2933" s="463"/>
      <c r="AC2933" s="463"/>
    </row>
    <row r="2934" spans="1:29" ht="14.25" outlineLevel="1">
      <c r="A2934" s="463"/>
      <c r="B2934" s="3252"/>
      <c r="C2934" s="2">
        <f t="shared" si="677"/>
        <v>303</v>
      </c>
      <c r="D2934" s="3">
        <f t="shared" si="678"/>
        <v>18</v>
      </c>
      <c r="E2934" s="66">
        <v>1</v>
      </c>
      <c r="F2934" s="67" t="s">
        <v>732</v>
      </c>
      <c r="G2934" s="439" t="s">
        <v>814</v>
      </c>
      <c r="H2934" s="464" t="s">
        <v>1071</v>
      </c>
      <c r="I2934" s="439" t="s">
        <v>726</v>
      </c>
      <c r="J2934" s="431" t="s">
        <v>760</v>
      </c>
      <c r="K2934" s="71" t="s">
        <v>2228</v>
      </c>
      <c r="L2934" s="467">
        <v>40452</v>
      </c>
      <c r="M2934" s="468" t="s">
        <v>729</v>
      </c>
      <c r="N2934" s="469">
        <v>40460</v>
      </c>
      <c r="O2934" s="470">
        <f t="shared" si="672"/>
        <v>40460</v>
      </c>
      <c r="P2934" s="2809"/>
      <c r="Q2934" s="2983">
        <v>100.54</v>
      </c>
      <c r="R2934" s="471"/>
      <c r="S2934" s="1973" t="s">
        <v>731</v>
      </c>
      <c r="T2934" s="472"/>
      <c r="U2934" s="1901"/>
      <c r="V2934" s="2079">
        <f t="shared" si="674"/>
        <v>118.63720000000001</v>
      </c>
      <c r="W2934" s="78">
        <f t="shared" si="675"/>
        <v>0</v>
      </c>
      <c r="X2934" s="1885" t="str">
        <f t="shared" si="673"/>
        <v xml:space="preserve">1.- C Birla 0540706-OT_140269  Reencauche  </v>
      </c>
      <c r="Y2934" s="473"/>
      <c r="Z2934" s="474" t="str">
        <f t="shared" si="671"/>
        <v>ReencaucheReencauchadora RENOVA</v>
      </c>
      <c r="AA2934" s="463"/>
      <c r="AB2934" s="463"/>
      <c r="AC2934" s="463"/>
    </row>
    <row r="2935" spans="1:29" ht="14.25" outlineLevel="1">
      <c r="A2935" s="463"/>
      <c r="B2935" s="3252"/>
      <c r="C2935" s="2">
        <f t="shared" si="677"/>
        <v>302</v>
      </c>
      <c r="D2935" s="3">
        <f t="shared" si="678"/>
        <v>17</v>
      </c>
      <c r="E2935" s="66">
        <v>2</v>
      </c>
      <c r="F2935" s="67" t="s">
        <v>732</v>
      </c>
      <c r="G2935" s="439" t="s">
        <v>1108</v>
      </c>
      <c r="H2935" s="464" t="s">
        <v>1386</v>
      </c>
      <c r="I2935" s="439" t="s">
        <v>726</v>
      </c>
      <c r="J2935" s="431" t="s">
        <v>760</v>
      </c>
      <c r="K2935" s="71" t="s">
        <v>2228</v>
      </c>
      <c r="L2935" s="467">
        <v>40452</v>
      </c>
      <c r="M2935" s="468" t="s">
        <v>729</v>
      </c>
      <c r="N2935" s="469">
        <v>40460</v>
      </c>
      <c r="O2935" s="470">
        <f t="shared" si="672"/>
        <v>40460</v>
      </c>
      <c r="P2935" s="2809"/>
      <c r="Q2935" s="2983">
        <v>100.54</v>
      </c>
      <c r="R2935" s="471"/>
      <c r="S2935" s="1973" t="s">
        <v>731</v>
      </c>
      <c r="T2935" s="472"/>
      <c r="U2935" s="1901"/>
      <c r="V2935" s="2079">
        <f t="shared" si="674"/>
        <v>118.63720000000001</v>
      </c>
      <c r="W2935" s="78">
        <f t="shared" si="675"/>
        <v>0</v>
      </c>
      <c r="X2935" s="1885" t="str">
        <f t="shared" si="673"/>
        <v xml:space="preserve">2.- C Hankook 0460305-OT_140269  Reencauche  </v>
      </c>
      <c r="Y2935" s="473"/>
      <c r="Z2935" s="474" t="str">
        <f t="shared" si="671"/>
        <v>ReencaucheReencauchadora RENOVA</v>
      </c>
      <c r="AA2935" s="463"/>
      <c r="AB2935" s="463"/>
      <c r="AC2935" s="463"/>
    </row>
    <row r="2936" spans="1:29" ht="14.25" outlineLevel="1">
      <c r="A2936" s="463"/>
      <c r="B2936" s="3252"/>
      <c r="C2936" s="2">
        <f t="shared" si="677"/>
        <v>301</v>
      </c>
      <c r="D2936" s="3">
        <f t="shared" si="678"/>
        <v>16</v>
      </c>
      <c r="E2936" s="66">
        <v>3</v>
      </c>
      <c r="F2936" s="67" t="s">
        <v>732</v>
      </c>
      <c r="G2936" s="439" t="s">
        <v>778</v>
      </c>
      <c r="H2936" s="464" t="s">
        <v>1981</v>
      </c>
      <c r="I2936" s="439" t="s">
        <v>726</v>
      </c>
      <c r="J2936" s="431" t="s">
        <v>760</v>
      </c>
      <c r="K2936" s="71" t="s">
        <v>2228</v>
      </c>
      <c r="L2936" s="467">
        <v>40452</v>
      </c>
      <c r="M2936" s="468" t="s">
        <v>729</v>
      </c>
      <c r="N2936" s="469">
        <v>40460</v>
      </c>
      <c r="O2936" s="470">
        <f t="shared" si="672"/>
        <v>40460</v>
      </c>
      <c r="P2936" s="2809"/>
      <c r="Q2936" s="2983">
        <v>100.54</v>
      </c>
      <c r="R2936" s="471"/>
      <c r="S2936" s="1973" t="s">
        <v>731</v>
      </c>
      <c r="T2936" s="472"/>
      <c r="U2936" s="1901"/>
      <c r="V2936" s="2079">
        <f t="shared" si="674"/>
        <v>118.63720000000001</v>
      </c>
      <c r="W2936" s="78">
        <f t="shared" si="675"/>
        <v>0</v>
      </c>
      <c r="X2936" s="1885" t="str">
        <f t="shared" si="673"/>
        <v xml:space="preserve">3.- C Riverstone 1480904-OT_140269  Reencauche  </v>
      </c>
      <c r="Y2936" s="473"/>
      <c r="Z2936" s="474" t="str">
        <f t="shared" si="671"/>
        <v>ReencaucheReencauchadora RENOVA</v>
      </c>
      <c r="AA2936" s="463"/>
      <c r="AB2936" s="463"/>
      <c r="AC2936" s="463"/>
    </row>
    <row r="2937" spans="1:29" ht="14.25" outlineLevel="1">
      <c r="A2937" s="463"/>
      <c r="B2937" s="3252"/>
      <c r="C2937" s="2">
        <f t="shared" si="677"/>
        <v>300</v>
      </c>
      <c r="D2937" s="3">
        <f t="shared" si="678"/>
        <v>15</v>
      </c>
      <c r="E2937" s="66">
        <v>4</v>
      </c>
      <c r="F2937" s="67" t="s">
        <v>732</v>
      </c>
      <c r="G2937" s="439" t="s">
        <v>733</v>
      </c>
      <c r="H2937" s="464" t="s">
        <v>992</v>
      </c>
      <c r="I2937" s="439" t="s">
        <v>726</v>
      </c>
      <c r="J2937" s="431" t="s">
        <v>760</v>
      </c>
      <c r="K2937" s="71" t="s">
        <v>2228</v>
      </c>
      <c r="L2937" s="467">
        <v>40452</v>
      </c>
      <c r="M2937" s="468" t="s">
        <v>729</v>
      </c>
      <c r="N2937" s="469">
        <v>40460</v>
      </c>
      <c r="O2937" s="470">
        <f t="shared" si="672"/>
        <v>40460</v>
      </c>
      <c r="P2937" s="2809"/>
      <c r="Q2937" s="2983">
        <v>100.54</v>
      </c>
      <c r="R2937" s="471"/>
      <c r="S2937" s="1973" t="s">
        <v>731</v>
      </c>
      <c r="T2937" s="472"/>
      <c r="U2937" s="1901"/>
      <c r="V2937" s="2079">
        <f t="shared" si="674"/>
        <v>118.63720000000001</v>
      </c>
      <c r="W2937" s="78">
        <f t="shared" si="675"/>
        <v>0</v>
      </c>
      <c r="X2937" s="1885" t="str">
        <f t="shared" si="673"/>
        <v xml:space="preserve">4.- C Lima Caucho 1191107-OT_140269  Reencauche  </v>
      </c>
      <c r="Y2937" s="473"/>
      <c r="Z2937" s="474" t="str">
        <f t="shared" si="671"/>
        <v>ReencaucheReencauchadora RENOVA</v>
      </c>
      <c r="AA2937" s="463"/>
      <c r="AB2937" s="463"/>
      <c r="AC2937" s="463"/>
    </row>
    <row r="2938" spans="1:29" ht="14.25" outlineLevel="1">
      <c r="A2938" s="463"/>
      <c r="B2938" s="3252"/>
      <c r="C2938" s="2">
        <f t="shared" si="677"/>
        <v>299</v>
      </c>
      <c r="D2938" s="3">
        <f t="shared" si="678"/>
        <v>14</v>
      </c>
      <c r="E2938" s="66">
        <v>5</v>
      </c>
      <c r="F2938" s="67" t="s">
        <v>732</v>
      </c>
      <c r="G2938" s="439" t="s">
        <v>733</v>
      </c>
      <c r="H2938" s="464" t="s">
        <v>1248</v>
      </c>
      <c r="I2938" s="439" t="s">
        <v>726</v>
      </c>
      <c r="J2938" s="431" t="s">
        <v>760</v>
      </c>
      <c r="K2938" s="71" t="s">
        <v>2228</v>
      </c>
      <c r="L2938" s="467">
        <v>40452</v>
      </c>
      <c r="M2938" s="468" t="s">
        <v>729</v>
      </c>
      <c r="N2938" s="469">
        <v>40460</v>
      </c>
      <c r="O2938" s="470">
        <f t="shared" si="672"/>
        <v>40460</v>
      </c>
      <c r="P2938" s="2809"/>
      <c r="Q2938" s="2983">
        <v>100.54</v>
      </c>
      <c r="R2938" s="471"/>
      <c r="S2938" s="1973" t="s">
        <v>731</v>
      </c>
      <c r="T2938" s="472"/>
      <c r="U2938" s="1901"/>
      <c r="V2938" s="2079">
        <f t="shared" si="674"/>
        <v>118.63720000000001</v>
      </c>
      <c r="W2938" s="78">
        <f t="shared" si="675"/>
        <v>0</v>
      </c>
      <c r="X2938" s="1885" t="str">
        <f t="shared" si="673"/>
        <v xml:space="preserve">5.- C Lima Caucho 0120107-OT_140269  Reencauche  </v>
      </c>
      <c r="Y2938" s="473"/>
      <c r="Z2938" s="474" t="str">
        <f t="shared" si="671"/>
        <v>ReencaucheReencauchadora RENOVA</v>
      </c>
      <c r="AA2938" s="463"/>
      <c r="AB2938" s="463"/>
      <c r="AC2938" s="463"/>
    </row>
    <row r="2939" spans="1:29" ht="14.25" outlineLevel="1">
      <c r="A2939" s="463"/>
      <c r="B2939" s="3252"/>
      <c r="C2939" s="2">
        <f t="shared" si="677"/>
        <v>298</v>
      </c>
      <c r="D2939" s="3">
        <f t="shared" si="678"/>
        <v>13</v>
      </c>
      <c r="E2939" s="66">
        <v>6</v>
      </c>
      <c r="F2939" s="67" t="s">
        <v>732</v>
      </c>
      <c r="G2939" s="439" t="s">
        <v>733</v>
      </c>
      <c r="H2939" s="464" t="s">
        <v>906</v>
      </c>
      <c r="I2939" s="439" t="s">
        <v>726</v>
      </c>
      <c r="J2939" s="431" t="s">
        <v>760</v>
      </c>
      <c r="K2939" s="71" t="s">
        <v>2228</v>
      </c>
      <c r="L2939" s="467">
        <v>40452</v>
      </c>
      <c r="M2939" s="468" t="s">
        <v>729</v>
      </c>
      <c r="N2939" s="469">
        <v>40460</v>
      </c>
      <c r="O2939" s="470">
        <f t="shared" si="672"/>
        <v>40460</v>
      </c>
      <c r="P2939" s="2809"/>
      <c r="Q2939" s="2983">
        <v>100.54</v>
      </c>
      <c r="R2939" s="471"/>
      <c r="S2939" s="1973" t="s">
        <v>731</v>
      </c>
      <c r="T2939" s="472"/>
      <c r="U2939" s="1901"/>
      <c r="V2939" s="2079">
        <f t="shared" si="674"/>
        <v>118.63720000000001</v>
      </c>
      <c r="W2939" s="78">
        <f t="shared" si="675"/>
        <v>0</v>
      </c>
      <c r="X2939" s="1885" t="str">
        <f t="shared" si="673"/>
        <v xml:space="preserve">6.- C Lima Caucho 0710907-OT_140269  Reencauche  </v>
      </c>
      <c r="Y2939" s="473"/>
      <c r="Z2939" s="474" t="str">
        <f t="shared" si="671"/>
        <v>ReencaucheReencauchadora RENOVA</v>
      </c>
      <c r="AA2939" s="463"/>
      <c r="AB2939" s="463"/>
      <c r="AC2939" s="463"/>
    </row>
    <row r="2940" spans="1:29" ht="14.25" outlineLevel="1">
      <c r="A2940" s="463"/>
      <c r="B2940" s="3252"/>
      <c r="C2940" s="2">
        <f t="shared" si="677"/>
        <v>297</v>
      </c>
      <c r="D2940" s="3">
        <f t="shared" si="678"/>
        <v>12</v>
      </c>
      <c r="E2940" s="66">
        <v>7</v>
      </c>
      <c r="F2940" s="67" t="s">
        <v>732</v>
      </c>
      <c r="G2940" s="439" t="s">
        <v>733</v>
      </c>
      <c r="H2940" s="464" t="s">
        <v>1115</v>
      </c>
      <c r="I2940" s="439" t="s">
        <v>726</v>
      </c>
      <c r="J2940" s="431" t="s">
        <v>760</v>
      </c>
      <c r="K2940" s="71" t="s">
        <v>2228</v>
      </c>
      <c r="L2940" s="467">
        <v>40452</v>
      </c>
      <c r="M2940" s="468" t="s">
        <v>729</v>
      </c>
      <c r="N2940" s="469">
        <v>40460</v>
      </c>
      <c r="O2940" s="470">
        <f t="shared" si="672"/>
        <v>40460</v>
      </c>
      <c r="P2940" s="2809"/>
      <c r="Q2940" s="2983">
        <v>100.54</v>
      </c>
      <c r="R2940" s="471"/>
      <c r="S2940" s="1973" t="s">
        <v>731</v>
      </c>
      <c r="T2940" s="472"/>
      <c r="U2940" s="1901"/>
      <c r="V2940" s="2079">
        <f t="shared" si="674"/>
        <v>118.63720000000001</v>
      </c>
      <c r="W2940" s="78">
        <f t="shared" si="675"/>
        <v>0</v>
      </c>
      <c r="X2940" s="1885" t="str">
        <f t="shared" si="673"/>
        <v xml:space="preserve">7.- C Lima Caucho 1031208-OT_140269  Reencauche  </v>
      </c>
      <c r="Y2940" s="473"/>
      <c r="Z2940" s="474" t="str">
        <f t="shared" si="671"/>
        <v>Reencauchadora RENOVA</v>
      </c>
      <c r="AA2940" s="463"/>
      <c r="AB2940" s="463"/>
      <c r="AC2940" s="463"/>
    </row>
    <row r="2941" spans="1:29" ht="14.25" outlineLevel="1">
      <c r="A2941" s="463"/>
      <c r="B2941" s="3252"/>
      <c r="C2941" s="2">
        <f t="shared" si="677"/>
        <v>296</v>
      </c>
      <c r="D2941" s="3">
        <f t="shared" si="678"/>
        <v>11</v>
      </c>
      <c r="E2941" s="66">
        <v>8</v>
      </c>
      <c r="F2941" s="67" t="s">
        <v>732</v>
      </c>
      <c r="G2941" s="439" t="s">
        <v>733</v>
      </c>
      <c r="H2941" s="464" t="s">
        <v>1041</v>
      </c>
      <c r="I2941" s="439" t="s">
        <v>726</v>
      </c>
      <c r="J2941" s="431" t="s">
        <v>760</v>
      </c>
      <c r="K2941" s="71" t="s">
        <v>2228</v>
      </c>
      <c r="L2941" s="467">
        <v>40452</v>
      </c>
      <c r="M2941" s="468" t="s">
        <v>729</v>
      </c>
      <c r="N2941" s="469">
        <v>40460</v>
      </c>
      <c r="O2941" s="470">
        <f t="shared" si="672"/>
        <v>40460</v>
      </c>
      <c r="P2941" s="2809"/>
      <c r="Q2941" s="2983">
        <v>100.54</v>
      </c>
      <c r="R2941" s="471"/>
      <c r="S2941" s="1973" t="s">
        <v>731</v>
      </c>
      <c r="T2941" s="472"/>
      <c r="U2941" s="1901"/>
      <c r="V2941" s="2079">
        <f t="shared" si="674"/>
        <v>118.63720000000001</v>
      </c>
      <c r="W2941" s="78">
        <f t="shared" si="675"/>
        <v>0</v>
      </c>
      <c r="X2941" s="1885" t="str">
        <f t="shared" si="673"/>
        <v xml:space="preserve">8.- C Lima Caucho 1041208-OT_140269  Reencauche  </v>
      </c>
      <c r="Y2941" s="473"/>
      <c r="Z2941" s="474" t="str">
        <f t="shared" si="671"/>
        <v>ReencaucheReencauchadora RENOVA</v>
      </c>
      <c r="AA2941" s="463"/>
      <c r="AB2941" s="463"/>
      <c r="AC2941" s="463"/>
    </row>
    <row r="2942" spans="1:29" ht="14.25" outlineLevel="1">
      <c r="A2942" s="463"/>
      <c r="B2942" s="3252"/>
      <c r="C2942" s="2">
        <f>1+C2944</f>
        <v>295</v>
      </c>
      <c r="D2942" s="3">
        <f>1+D2944</f>
        <v>10</v>
      </c>
      <c r="E2942" s="66">
        <v>9</v>
      </c>
      <c r="F2942" s="67" t="s">
        <v>732</v>
      </c>
      <c r="G2942" s="439" t="s">
        <v>733</v>
      </c>
      <c r="H2942" s="464" t="s">
        <v>751</v>
      </c>
      <c r="I2942" s="439" t="s">
        <v>726</v>
      </c>
      <c r="J2942" s="431" t="s">
        <v>760</v>
      </c>
      <c r="K2942" s="71" t="s">
        <v>2228</v>
      </c>
      <c r="L2942" s="467">
        <v>40452</v>
      </c>
      <c r="M2942" s="468" t="s">
        <v>729</v>
      </c>
      <c r="N2942" s="469">
        <v>40460</v>
      </c>
      <c r="O2942" s="470">
        <f t="shared" si="672"/>
        <v>40460</v>
      </c>
      <c r="P2942" s="2809"/>
      <c r="Q2942" s="2983">
        <v>100.54</v>
      </c>
      <c r="R2942" s="471"/>
      <c r="S2942" s="1973" t="s">
        <v>731</v>
      </c>
      <c r="T2942" s="472"/>
      <c r="U2942" s="1901"/>
      <c r="V2942" s="2079">
        <f t="shared" si="674"/>
        <v>118.63720000000001</v>
      </c>
      <c r="W2942" s="78">
        <f t="shared" si="675"/>
        <v>0</v>
      </c>
      <c r="X2942" s="1885" t="str">
        <f t="shared" si="673"/>
        <v xml:space="preserve">9.- C Lima Caucho 0870908-OT_140269  Reencauche  </v>
      </c>
      <c r="Y2942" s="473"/>
      <c r="Z2942" s="474" t="str">
        <f t="shared" si="671"/>
        <v>ReencaucheReencauchadora RENOVA</v>
      </c>
      <c r="AA2942" s="463"/>
      <c r="AB2942" s="463"/>
      <c r="AC2942" s="463"/>
    </row>
    <row r="2943" spans="1:29" ht="14.25" outlineLevel="1">
      <c r="A2943" s="463"/>
      <c r="B2943" s="3252"/>
      <c r="E2943" s="66">
        <v>10</v>
      </c>
      <c r="F2943" s="67" t="s">
        <v>732</v>
      </c>
      <c r="G2943" s="483" t="s">
        <v>737</v>
      </c>
      <c r="H2943" s="484" t="s">
        <v>2178</v>
      </c>
      <c r="I2943" s="483"/>
      <c r="J2943" s="407" t="s">
        <v>760</v>
      </c>
      <c r="K2943" s="292" t="s">
        <v>2229</v>
      </c>
      <c r="L2943" s="485">
        <v>40452</v>
      </c>
      <c r="M2943" s="486" t="s">
        <v>1815</v>
      </c>
      <c r="N2943" s="487">
        <v>40460</v>
      </c>
      <c r="O2943" s="488">
        <f t="shared" si="672"/>
        <v>40460</v>
      </c>
      <c r="P2943" s="2811"/>
      <c r="Q2943" s="2985">
        <v>0</v>
      </c>
      <c r="R2943" s="489"/>
      <c r="S2943" s="1975" t="s">
        <v>731</v>
      </c>
      <c r="T2943" s="274" t="s">
        <v>1617</v>
      </c>
      <c r="U2943" s="1895"/>
      <c r="V2943" s="2079">
        <f t="shared" si="674"/>
        <v>0</v>
      </c>
      <c r="W2943" s="78">
        <f t="shared" si="675"/>
        <v>0</v>
      </c>
      <c r="X2943" s="1885" t="str">
        <f t="shared" si="673"/>
        <v>10.- C Vikrant 0950705-OT_140268     Llanta Rechazada, no se facturo</v>
      </c>
      <c r="Y2943" s="473"/>
      <c r="Z2943" s="474" t="str">
        <f t="shared" si="671"/>
        <v>ReencaucheReencauchadora RENOVA</v>
      </c>
      <c r="AA2943" s="463"/>
      <c r="AB2943" s="463"/>
      <c r="AC2943" s="463"/>
    </row>
    <row r="2944" spans="1:29" ht="14.25" outlineLevel="1">
      <c r="A2944" s="463"/>
      <c r="B2944" s="3252"/>
      <c r="C2944" s="2">
        <f t="shared" ref="C2944:D2951" si="680">1+C2945</f>
        <v>294</v>
      </c>
      <c r="D2944" s="3">
        <f t="shared" si="680"/>
        <v>9</v>
      </c>
      <c r="E2944" s="66">
        <v>11</v>
      </c>
      <c r="F2944" s="67" t="s">
        <v>732</v>
      </c>
      <c r="G2944" s="439" t="s">
        <v>737</v>
      </c>
      <c r="H2944" s="464" t="s">
        <v>1960</v>
      </c>
      <c r="I2944" s="439" t="s">
        <v>726</v>
      </c>
      <c r="J2944" s="431" t="s">
        <v>760</v>
      </c>
      <c r="K2944" s="71" t="s">
        <v>2229</v>
      </c>
      <c r="L2944" s="467">
        <v>40452</v>
      </c>
      <c r="M2944" s="468" t="s">
        <v>729</v>
      </c>
      <c r="N2944" s="469">
        <v>40460</v>
      </c>
      <c r="O2944" s="470">
        <f t="shared" si="672"/>
        <v>40460</v>
      </c>
      <c r="P2944" s="2809"/>
      <c r="Q2944" s="2983">
        <v>100.54</v>
      </c>
      <c r="R2944" s="471"/>
      <c r="S2944" s="1973" t="s">
        <v>731</v>
      </c>
      <c r="T2944" s="472"/>
      <c r="U2944" s="1901"/>
      <c r="V2944" s="2079">
        <f t="shared" si="674"/>
        <v>118.63720000000001</v>
      </c>
      <c r="W2944" s="78">
        <f t="shared" si="675"/>
        <v>0</v>
      </c>
      <c r="X2944" s="1885" t="str">
        <f t="shared" si="673"/>
        <v xml:space="preserve">11.- C Vikrant 1420805-OT_140268  Reencauche  </v>
      </c>
      <c r="Y2944" s="473"/>
      <c r="Z2944" s="474" t="str">
        <f t="shared" si="671"/>
        <v>ReencaucheReencauchadora RENOVA</v>
      </c>
      <c r="AA2944" s="463"/>
      <c r="AB2944" s="463"/>
      <c r="AC2944" s="463"/>
    </row>
    <row r="2945" spans="1:29" ht="14.25" outlineLevel="1">
      <c r="A2945" s="463"/>
      <c r="B2945" s="3252"/>
      <c r="C2945" s="2">
        <f t="shared" si="680"/>
        <v>293</v>
      </c>
      <c r="D2945" s="3">
        <f t="shared" si="680"/>
        <v>8</v>
      </c>
      <c r="E2945" s="66">
        <v>12</v>
      </c>
      <c r="F2945" s="67" t="s">
        <v>732</v>
      </c>
      <c r="G2945" s="439" t="s">
        <v>737</v>
      </c>
      <c r="H2945" s="464" t="s">
        <v>1918</v>
      </c>
      <c r="I2945" s="439" t="s">
        <v>726</v>
      </c>
      <c r="J2945" s="431" t="s">
        <v>760</v>
      </c>
      <c r="K2945" s="71" t="s">
        <v>2229</v>
      </c>
      <c r="L2945" s="467">
        <v>40452</v>
      </c>
      <c r="M2945" s="468" t="s">
        <v>729</v>
      </c>
      <c r="N2945" s="469">
        <v>40460</v>
      </c>
      <c r="O2945" s="470">
        <f t="shared" si="672"/>
        <v>40460</v>
      </c>
      <c r="P2945" s="2809"/>
      <c r="Q2945" s="2983">
        <v>100.54</v>
      </c>
      <c r="R2945" s="471"/>
      <c r="S2945" s="1973" t="s">
        <v>731</v>
      </c>
      <c r="T2945" s="472"/>
      <c r="U2945" s="1901"/>
      <c r="V2945" s="2079">
        <f t="shared" si="674"/>
        <v>118.63720000000001</v>
      </c>
      <c r="W2945" s="78">
        <f t="shared" si="675"/>
        <v>0</v>
      </c>
      <c r="X2945" s="1885" t="str">
        <f t="shared" si="673"/>
        <v xml:space="preserve">12.- C Vikrant 0741007-OT_140268  Reencauche  </v>
      </c>
      <c r="Y2945" s="473"/>
      <c r="Z2945" s="474" t="str">
        <f t="shared" si="671"/>
        <v>ReencaucheReencauchadora RENOVA</v>
      </c>
      <c r="AA2945" s="463"/>
      <c r="AB2945" s="463"/>
      <c r="AC2945" s="463"/>
    </row>
    <row r="2946" spans="1:29" ht="14.25" outlineLevel="1">
      <c r="A2946" s="463"/>
      <c r="B2946" s="3252"/>
      <c r="C2946" s="2">
        <f t="shared" si="680"/>
        <v>292</v>
      </c>
      <c r="D2946" s="3">
        <f t="shared" si="680"/>
        <v>7</v>
      </c>
      <c r="E2946" s="66">
        <v>13</v>
      </c>
      <c r="F2946" s="67" t="s">
        <v>732</v>
      </c>
      <c r="G2946" s="439" t="s">
        <v>737</v>
      </c>
      <c r="H2946" s="464" t="s">
        <v>1765</v>
      </c>
      <c r="I2946" s="439" t="s">
        <v>726</v>
      </c>
      <c r="J2946" s="431" t="s">
        <v>760</v>
      </c>
      <c r="K2946" s="71" t="s">
        <v>2229</v>
      </c>
      <c r="L2946" s="467">
        <v>40452</v>
      </c>
      <c r="M2946" s="468" t="s">
        <v>729</v>
      </c>
      <c r="N2946" s="469">
        <v>40460</v>
      </c>
      <c r="O2946" s="470">
        <f t="shared" si="672"/>
        <v>40460</v>
      </c>
      <c r="P2946" s="2809"/>
      <c r="Q2946" s="2983">
        <v>100.54</v>
      </c>
      <c r="R2946" s="471"/>
      <c r="S2946" s="1973" t="s">
        <v>731</v>
      </c>
      <c r="T2946" s="472"/>
      <c r="U2946" s="1901"/>
      <c r="V2946" s="2079">
        <f t="shared" si="674"/>
        <v>118.63720000000001</v>
      </c>
      <c r="W2946" s="78">
        <f t="shared" si="675"/>
        <v>0</v>
      </c>
      <c r="X2946" s="1885" t="str">
        <f t="shared" si="673"/>
        <v xml:space="preserve">13.- C Vikrant 0530709-OT_140268  Reencauche  </v>
      </c>
      <c r="Y2946" s="473"/>
      <c r="Z2946" s="474" t="str">
        <f t="shared" si="671"/>
        <v>ReencaucheReencauchadora RENOVA</v>
      </c>
      <c r="AA2946" s="463"/>
      <c r="AB2946" s="463"/>
      <c r="AC2946" s="463"/>
    </row>
    <row r="2947" spans="1:29" ht="14.25" outlineLevel="1">
      <c r="A2947" s="463"/>
      <c r="B2947" s="3252"/>
      <c r="C2947" s="2">
        <f t="shared" si="680"/>
        <v>291</v>
      </c>
      <c r="D2947" s="3">
        <f t="shared" si="680"/>
        <v>6</v>
      </c>
      <c r="E2947" s="66">
        <v>14</v>
      </c>
      <c r="F2947" s="67" t="s">
        <v>732</v>
      </c>
      <c r="G2947" s="439" t="s">
        <v>737</v>
      </c>
      <c r="H2947" s="464" t="s">
        <v>845</v>
      </c>
      <c r="I2947" s="439" t="s">
        <v>726</v>
      </c>
      <c r="J2947" s="431" t="s">
        <v>760</v>
      </c>
      <c r="K2947" s="71" t="s">
        <v>2229</v>
      </c>
      <c r="L2947" s="467">
        <v>40452</v>
      </c>
      <c r="M2947" s="468" t="s">
        <v>729</v>
      </c>
      <c r="N2947" s="469">
        <v>40460</v>
      </c>
      <c r="O2947" s="470">
        <f t="shared" si="672"/>
        <v>40460</v>
      </c>
      <c r="P2947" s="2809"/>
      <c r="Q2947" s="2983">
        <v>100.54</v>
      </c>
      <c r="R2947" s="471"/>
      <c r="S2947" s="1973" t="s">
        <v>731</v>
      </c>
      <c r="T2947" s="472"/>
      <c r="U2947" s="1901"/>
      <c r="V2947" s="2079">
        <f t="shared" si="674"/>
        <v>118.63720000000001</v>
      </c>
      <c r="W2947" s="78">
        <f t="shared" si="675"/>
        <v>0</v>
      </c>
      <c r="X2947" s="1885" t="str">
        <f t="shared" si="673"/>
        <v xml:space="preserve">14.- C Vikrant 1010705-OT_140268  Reencauche  </v>
      </c>
      <c r="Y2947" s="473"/>
      <c r="Z2947" s="474" t="str">
        <f t="shared" si="671"/>
        <v>ReencaucheReencauchadora RENOVA</v>
      </c>
      <c r="AA2947" s="463"/>
      <c r="AB2947" s="463"/>
      <c r="AC2947" s="463"/>
    </row>
    <row r="2948" spans="1:29" ht="14.25" outlineLevel="1">
      <c r="A2948" s="463"/>
      <c r="B2948" s="3252"/>
      <c r="C2948" s="2">
        <f t="shared" si="680"/>
        <v>290</v>
      </c>
      <c r="D2948" s="3">
        <f t="shared" si="680"/>
        <v>5</v>
      </c>
      <c r="E2948" s="66">
        <v>15</v>
      </c>
      <c r="F2948" s="67" t="s">
        <v>732</v>
      </c>
      <c r="G2948" s="439" t="s">
        <v>757</v>
      </c>
      <c r="H2948" s="464" t="s">
        <v>2024</v>
      </c>
      <c r="I2948" s="439" t="s">
        <v>726</v>
      </c>
      <c r="J2948" s="431" t="s">
        <v>760</v>
      </c>
      <c r="K2948" s="71" t="s">
        <v>2229</v>
      </c>
      <c r="L2948" s="467">
        <v>40452</v>
      </c>
      <c r="M2948" s="468" t="s">
        <v>729</v>
      </c>
      <c r="N2948" s="469">
        <v>40460</v>
      </c>
      <c r="O2948" s="470">
        <f t="shared" si="672"/>
        <v>40460</v>
      </c>
      <c r="P2948" s="2809"/>
      <c r="Q2948" s="2983">
        <v>100.54</v>
      </c>
      <c r="R2948" s="471"/>
      <c r="S2948" s="1973" t="s">
        <v>731</v>
      </c>
      <c r="T2948" s="472"/>
      <c r="U2948" s="1901"/>
      <c r="V2948" s="2079">
        <f t="shared" si="674"/>
        <v>118.63720000000001</v>
      </c>
      <c r="W2948" s="78">
        <f t="shared" si="675"/>
        <v>0</v>
      </c>
      <c r="X2948" s="1885" t="str">
        <f t="shared" si="673"/>
        <v xml:space="preserve">15.- C Goodyear 1250804-OT_140268  Reencauche  </v>
      </c>
      <c r="Y2948" s="473"/>
      <c r="Z2948" s="474" t="str">
        <f t="shared" si="671"/>
        <v>ReencaucheReencauchadora RENOVA</v>
      </c>
      <c r="AA2948" s="463"/>
      <c r="AB2948" s="463"/>
      <c r="AC2948" s="463"/>
    </row>
    <row r="2949" spans="1:29" ht="14.25" outlineLevel="1">
      <c r="A2949" s="463"/>
      <c r="B2949" s="3252"/>
      <c r="C2949" s="2">
        <f t="shared" si="680"/>
        <v>289</v>
      </c>
      <c r="D2949" s="3">
        <f t="shared" si="680"/>
        <v>4</v>
      </c>
      <c r="E2949" s="66">
        <v>16</v>
      </c>
      <c r="F2949" s="67" t="s">
        <v>732</v>
      </c>
      <c r="G2949" s="439" t="s">
        <v>757</v>
      </c>
      <c r="H2949" s="464" t="s">
        <v>2230</v>
      </c>
      <c r="I2949" s="439" t="s">
        <v>726</v>
      </c>
      <c r="J2949" s="431" t="s">
        <v>760</v>
      </c>
      <c r="K2949" s="71" t="s">
        <v>2229</v>
      </c>
      <c r="L2949" s="467">
        <v>40452</v>
      </c>
      <c r="M2949" s="468" t="s">
        <v>729</v>
      </c>
      <c r="N2949" s="469">
        <v>40460</v>
      </c>
      <c r="O2949" s="470">
        <f t="shared" si="672"/>
        <v>40460</v>
      </c>
      <c r="P2949" s="2809"/>
      <c r="Q2949" s="2983">
        <v>100.54</v>
      </c>
      <c r="R2949" s="471"/>
      <c r="S2949" s="1973" t="s">
        <v>731</v>
      </c>
      <c r="T2949" s="472"/>
      <c r="U2949" s="1901"/>
      <c r="V2949" s="2079">
        <f t="shared" si="674"/>
        <v>118.63720000000001</v>
      </c>
      <c r="W2949" s="78">
        <f t="shared" si="675"/>
        <v>0</v>
      </c>
      <c r="X2949" s="1885" t="str">
        <f t="shared" si="673"/>
        <v xml:space="preserve">16.- C Goodyear 1270804-OT_140268  Reencauche  </v>
      </c>
      <c r="Y2949" s="473"/>
      <c r="Z2949" s="474" t="str">
        <f t="shared" si="671"/>
        <v>ReencaucheReencauchadora RENOVA</v>
      </c>
      <c r="AA2949" s="463"/>
      <c r="AB2949" s="463"/>
      <c r="AC2949" s="463"/>
    </row>
    <row r="2950" spans="1:29" ht="14.25">
      <c r="A2950" s="463"/>
      <c r="B2950" s="3252"/>
      <c r="C2950" s="2">
        <f t="shared" si="680"/>
        <v>288</v>
      </c>
      <c r="D2950" s="3">
        <f t="shared" si="680"/>
        <v>3</v>
      </c>
      <c r="E2950" s="66">
        <v>17</v>
      </c>
      <c r="F2950" s="67" t="s">
        <v>732</v>
      </c>
      <c r="G2950" s="439" t="s">
        <v>757</v>
      </c>
      <c r="H2950" s="464" t="s">
        <v>1509</v>
      </c>
      <c r="I2950" s="439" t="s">
        <v>726</v>
      </c>
      <c r="J2950" s="431" t="s">
        <v>760</v>
      </c>
      <c r="K2950" s="71" t="s">
        <v>2229</v>
      </c>
      <c r="L2950" s="467">
        <v>40452</v>
      </c>
      <c r="M2950" s="468" t="s">
        <v>729</v>
      </c>
      <c r="N2950" s="469">
        <v>40460</v>
      </c>
      <c r="O2950" s="470">
        <f t="shared" si="672"/>
        <v>40460</v>
      </c>
      <c r="P2950" s="2809"/>
      <c r="Q2950" s="2983">
        <v>100.54</v>
      </c>
      <c r="R2950" s="471"/>
      <c r="S2950" s="1973" t="s">
        <v>731</v>
      </c>
      <c r="T2950" s="472"/>
      <c r="U2950" s="1901"/>
      <c r="V2950" s="2079">
        <f t="shared" si="674"/>
        <v>118.63720000000001</v>
      </c>
      <c r="W2950" s="78">
        <f t="shared" si="675"/>
        <v>0</v>
      </c>
      <c r="X2950" s="1885" t="str">
        <f t="shared" si="673"/>
        <v xml:space="preserve">17.- C Goodyear 0670404-OT_140268  Reencauche  </v>
      </c>
      <c r="Y2950" s="473"/>
      <c r="Z2950" s="474"/>
      <c r="AA2950" s="463"/>
      <c r="AB2950" s="463"/>
      <c r="AC2950" s="463"/>
    </row>
    <row r="2951" spans="1:29" ht="14.25" outlineLevel="1">
      <c r="A2951" s="463"/>
      <c r="B2951" s="3252"/>
      <c r="C2951" s="2">
        <f t="shared" si="680"/>
        <v>287</v>
      </c>
      <c r="D2951" s="3">
        <f t="shared" si="680"/>
        <v>2</v>
      </c>
      <c r="E2951" s="66">
        <v>18</v>
      </c>
      <c r="F2951" s="67" t="s">
        <v>732</v>
      </c>
      <c r="G2951" s="439" t="s">
        <v>757</v>
      </c>
      <c r="H2951" s="464" t="s">
        <v>2034</v>
      </c>
      <c r="I2951" s="439" t="s">
        <v>726</v>
      </c>
      <c r="J2951" s="431" t="s">
        <v>760</v>
      </c>
      <c r="K2951" s="71" t="s">
        <v>2229</v>
      </c>
      <c r="L2951" s="467">
        <v>40452</v>
      </c>
      <c r="M2951" s="468" t="s">
        <v>729</v>
      </c>
      <c r="N2951" s="469">
        <v>40460</v>
      </c>
      <c r="O2951" s="470">
        <f t="shared" si="672"/>
        <v>40460</v>
      </c>
      <c r="P2951" s="2809"/>
      <c r="Q2951" s="2983">
        <v>100.54</v>
      </c>
      <c r="R2951" s="471"/>
      <c r="S2951" s="1973" t="s">
        <v>731</v>
      </c>
      <c r="T2951" s="472"/>
      <c r="U2951" s="1901"/>
      <c r="V2951" s="2079">
        <f t="shared" si="674"/>
        <v>118.63720000000001</v>
      </c>
      <c r="W2951" s="78">
        <f t="shared" si="675"/>
        <v>0</v>
      </c>
      <c r="X2951" s="1885" t="str">
        <f t="shared" si="673"/>
        <v xml:space="preserve">18.- C Goodyear 1150704-OT_140268  Reencauche  </v>
      </c>
      <c r="Y2951" s="473"/>
      <c r="Z2951" s="474" t="str">
        <f t="shared" ref="Z2951:Z2982" si="681">CONCATENATE(I2954,J2954)</f>
        <v>ReencaucheAMC Llantas</v>
      </c>
      <c r="AA2951" s="463"/>
      <c r="AB2951" s="463"/>
      <c r="AC2951" s="463"/>
    </row>
    <row r="2952" spans="1:29" outlineLevel="1" thickBot="1">
      <c r="A2952" s="463"/>
      <c r="B2952" s="3253"/>
      <c r="C2952" s="420">
        <f>1+C2954</f>
        <v>286</v>
      </c>
      <c r="D2952" s="421">
        <v>1</v>
      </c>
      <c r="E2952" s="307">
        <v>19</v>
      </c>
      <c r="F2952" s="328" t="s">
        <v>732</v>
      </c>
      <c r="G2952" s="490" t="s">
        <v>757</v>
      </c>
      <c r="H2952" s="491" t="s">
        <v>2021</v>
      </c>
      <c r="I2952" s="490" t="s">
        <v>726</v>
      </c>
      <c r="J2952" s="492" t="s">
        <v>760</v>
      </c>
      <c r="K2952" s="333" t="s">
        <v>2229</v>
      </c>
      <c r="L2952" s="493">
        <v>40452</v>
      </c>
      <c r="M2952" s="494" t="s">
        <v>729</v>
      </c>
      <c r="N2952" s="495">
        <v>40460</v>
      </c>
      <c r="O2952" s="496">
        <f t="shared" si="672"/>
        <v>40460</v>
      </c>
      <c r="P2952" s="2812"/>
      <c r="Q2952" s="2986">
        <v>100.54</v>
      </c>
      <c r="R2952" s="497"/>
      <c r="S2952" s="1976" t="s">
        <v>731</v>
      </c>
      <c r="T2952" s="472"/>
      <c r="U2952" s="1901"/>
      <c r="V2952" s="2079">
        <f t="shared" si="674"/>
        <v>118.63720000000001</v>
      </c>
      <c r="W2952" s="78">
        <f t="shared" si="675"/>
        <v>0</v>
      </c>
      <c r="X2952" s="1885" t="str">
        <f t="shared" si="673"/>
        <v xml:space="preserve">19.- C Goodyear 1190804-OT_140268  Reencauche  </v>
      </c>
      <c r="Y2952" s="473"/>
      <c r="Z2952" s="474" t="str">
        <f t="shared" si="681"/>
        <v>ReencaucheAMC Llantas</v>
      </c>
      <c r="AA2952" s="463"/>
      <c r="AB2952" s="463"/>
      <c r="AC2952" s="463"/>
    </row>
    <row r="2953" spans="1:29" ht="15.75" outlineLevel="1" thickBot="1">
      <c r="A2953" s="463"/>
      <c r="B2953" s="1">
        <f>+B2954</f>
        <v>40422</v>
      </c>
      <c r="C2953" s="1"/>
      <c r="D2953" s="173">
        <f>+D2954</f>
        <v>29</v>
      </c>
      <c r="E2953" s="66"/>
      <c r="F2953" s="67"/>
      <c r="G2953" s="439"/>
      <c r="H2953" s="464"/>
      <c r="I2953" s="439"/>
      <c r="J2953" s="429"/>
      <c r="K2953" s="71"/>
      <c r="L2953" s="467"/>
      <c r="M2953" s="468"/>
      <c r="N2953" s="469"/>
      <c r="O2953" s="470"/>
      <c r="P2953" s="2809"/>
      <c r="Q2953" s="2983"/>
      <c r="R2953" s="471"/>
      <c r="S2953" s="1973"/>
      <c r="T2953" s="472"/>
      <c r="U2953" s="1901"/>
      <c r="V2953" s="2079">
        <f t="shared" si="674"/>
        <v>0</v>
      </c>
      <c r="W2953" s="78">
        <f t="shared" si="675"/>
        <v>0</v>
      </c>
      <c r="X2953" s="1885" t="str">
        <f t="shared" si="673"/>
        <v xml:space="preserve">.-   -OT_    </v>
      </c>
      <c r="Y2953" s="473"/>
      <c r="Z2953" s="474" t="str">
        <f t="shared" si="681"/>
        <v>AMC Llantas</v>
      </c>
      <c r="AA2953" s="463"/>
      <c r="AB2953" s="463"/>
      <c r="AC2953" s="463"/>
    </row>
    <row r="2954" spans="1:29" outlineLevel="1">
      <c r="A2954" s="463"/>
      <c r="B2954" s="3251">
        <v>40422</v>
      </c>
      <c r="C2954" s="2">
        <f>1+C2955</f>
        <v>285</v>
      </c>
      <c r="D2954" s="306">
        <f>1+D2955</f>
        <v>29</v>
      </c>
      <c r="E2954" s="66">
        <v>1</v>
      </c>
      <c r="F2954" s="67" t="s">
        <v>732</v>
      </c>
      <c r="G2954" s="439" t="s">
        <v>733</v>
      </c>
      <c r="H2954" s="464" t="s">
        <v>1103</v>
      </c>
      <c r="I2954" s="439" t="s">
        <v>726</v>
      </c>
      <c r="J2954" s="431" t="s">
        <v>1961</v>
      </c>
      <c r="K2954" s="71" t="s">
        <v>2231</v>
      </c>
      <c r="L2954" s="467">
        <v>40445</v>
      </c>
      <c r="M2954" s="468" t="s">
        <v>729</v>
      </c>
      <c r="N2954" s="469">
        <v>40449</v>
      </c>
      <c r="O2954" s="470">
        <f t="shared" ref="O2954:O2985" si="682">+N2954</f>
        <v>40449</v>
      </c>
      <c r="P2954" s="2809"/>
      <c r="Q2954" s="2983"/>
      <c r="R2954" s="471">
        <f>310/(1.19)</f>
        <v>260.50420168067228</v>
      </c>
      <c r="S2954" s="1973" t="s">
        <v>731</v>
      </c>
      <c r="T2954" s="472"/>
      <c r="U2954" s="1901"/>
      <c r="V2954" s="2079">
        <f t="shared" si="674"/>
        <v>0</v>
      </c>
      <c r="W2954" s="78">
        <f t="shared" si="675"/>
        <v>307.39495798319325</v>
      </c>
      <c r="X2954" s="1885" t="str">
        <f t="shared" si="673"/>
        <v xml:space="preserve">1.- C Lima Caucho 0700907-OT_000478  Reencauche  </v>
      </c>
      <c r="Y2954" s="473"/>
      <c r="Z2954" s="474" t="str">
        <f t="shared" si="681"/>
        <v>Transpl BandaAMC Llantas</v>
      </c>
      <c r="AA2954" s="463"/>
      <c r="AB2954" s="463"/>
      <c r="AC2954" s="463"/>
    </row>
    <row r="2955" spans="1:29" ht="14.25" outlineLevel="1">
      <c r="A2955" s="463"/>
      <c r="B2955" s="3252"/>
      <c r="C2955" s="2">
        <f>1+C2957</f>
        <v>284</v>
      </c>
      <c r="D2955" s="3">
        <f>1+D2957</f>
        <v>28</v>
      </c>
      <c r="E2955" s="66">
        <v>2</v>
      </c>
      <c r="F2955" s="67" t="s">
        <v>732</v>
      </c>
      <c r="G2955" s="439" t="s">
        <v>737</v>
      </c>
      <c r="H2955" s="464" t="s">
        <v>2232</v>
      </c>
      <c r="I2955" s="439" t="s">
        <v>726</v>
      </c>
      <c r="J2955" s="431" t="s">
        <v>1961</v>
      </c>
      <c r="K2955" s="71" t="s">
        <v>2231</v>
      </c>
      <c r="L2955" s="467">
        <v>40445</v>
      </c>
      <c r="M2955" s="468" t="s">
        <v>729</v>
      </c>
      <c r="N2955" s="469">
        <v>40449</v>
      </c>
      <c r="O2955" s="470">
        <f t="shared" si="682"/>
        <v>40449</v>
      </c>
      <c r="P2955" s="2809"/>
      <c r="Q2955" s="2983"/>
      <c r="R2955" s="471">
        <f>310/(1.19)</f>
        <v>260.50420168067228</v>
      </c>
      <c r="S2955" s="1973" t="s">
        <v>731</v>
      </c>
      <c r="T2955" s="472"/>
      <c r="U2955" s="1901"/>
      <c r="V2955" s="2079">
        <f t="shared" si="674"/>
        <v>0</v>
      </c>
      <c r="W2955" s="78">
        <f t="shared" si="675"/>
        <v>307.39495798319325</v>
      </c>
      <c r="X2955" s="1885" t="str">
        <f t="shared" si="673"/>
        <v xml:space="preserve">2.- C Vikrant 1040705-OT_000478  Reencauche  </v>
      </c>
      <c r="Y2955" s="473"/>
      <c r="Z2955" s="474" t="str">
        <f t="shared" si="681"/>
        <v>ReencaucheAMC Llantas</v>
      </c>
      <c r="AA2955" s="463"/>
      <c r="AB2955" s="463"/>
      <c r="AC2955" s="463"/>
    </row>
    <row r="2956" spans="1:29" ht="14.25" outlineLevel="1">
      <c r="A2956" s="463"/>
      <c r="B2956" s="3252"/>
      <c r="E2956" s="66">
        <v>3</v>
      </c>
      <c r="F2956" s="67" t="s">
        <v>732</v>
      </c>
      <c r="G2956" s="483" t="s">
        <v>757</v>
      </c>
      <c r="H2956" s="484" t="s">
        <v>1509</v>
      </c>
      <c r="I2956" s="483"/>
      <c r="J2956" s="407" t="s">
        <v>1961</v>
      </c>
      <c r="K2956" s="292" t="s">
        <v>2231</v>
      </c>
      <c r="L2956" s="485">
        <v>40445</v>
      </c>
      <c r="M2956" s="486" t="s">
        <v>1815</v>
      </c>
      <c r="N2956" s="487">
        <v>40449</v>
      </c>
      <c r="O2956" s="488">
        <f t="shared" si="682"/>
        <v>40449</v>
      </c>
      <c r="P2956" s="2811"/>
      <c r="Q2956" s="2985"/>
      <c r="R2956" s="489">
        <v>0</v>
      </c>
      <c r="S2956" s="1975" t="s">
        <v>731</v>
      </c>
      <c r="T2956" s="274" t="s">
        <v>1617</v>
      </c>
      <c r="U2956" s="1895"/>
      <c r="V2956" s="2079">
        <f t="shared" si="674"/>
        <v>0</v>
      </c>
      <c r="W2956" s="78">
        <f t="shared" si="675"/>
        <v>0</v>
      </c>
      <c r="X2956" s="1885" t="str">
        <f t="shared" si="673"/>
        <v>3.- C Goodyear 0670404-OT_000478     Llanta Rechazada, no se facturo</v>
      </c>
      <c r="Y2956" s="473"/>
      <c r="Z2956" s="474" t="str">
        <f t="shared" si="681"/>
        <v>AMC Llantas</v>
      </c>
      <c r="AA2956" s="463"/>
      <c r="AB2956" s="463"/>
      <c r="AC2956" s="463"/>
    </row>
    <row r="2957" spans="1:29" ht="14.25" outlineLevel="1">
      <c r="A2957" s="463"/>
      <c r="B2957" s="3252"/>
      <c r="C2957" s="2">
        <f>1+C2958</f>
        <v>283</v>
      </c>
      <c r="D2957" s="3">
        <f>1+D2958</f>
        <v>27</v>
      </c>
      <c r="E2957" s="66">
        <v>4</v>
      </c>
      <c r="F2957" s="67" t="s">
        <v>732</v>
      </c>
      <c r="G2957" s="547" t="s">
        <v>733</v>
      </c>
      <c r="H2957" s="548" t="s">
        <v>1578</v>
      </c>
      <c r="I2957" s="549" t="s">
        <v>740</v>
      </c>
      <c r="J2957" s="550" t="s">
        <v>1961</v>
      </c>
      <c r="K2957" s="551" t="s">
        <v>2231</v>
      </c>
      <c r="L2957" s="552">
        <v>40445</v>
      </c>
      <c r="M2957" s="553" t="s">
        <v>729</v>
      </c>
      <c r="N2957" s="487">
        <v>40449</v>
      </c>
      <c r="O2957" s="488">
        <f t="shared" si="682"/>
        <v>40449</v>
      </c>
      <c r="P2957" s="2820"/>
      <c r="Q2957" s="2985"/>
      <c r="R2957" s="554">
        <f>150/(1.19)</f>
        <v>126.05042016806723</v>
      </c>
      <c r="S2957" s="1984" t="s">
        <v>731</v>
      </c>
      <c r="T2957" s="555" t="s">
        <v>2233</v>
      </c>
      <c r="U2957" s="1934"/>
      <c r="V2957" s="2079">
        <f t="shared" si="674"/>
        <v>0</v>
      </c>
      <c r="W2957" s="78">
        <f t="shared" si="675"/>
        <v>148.73949579831933</v>
      </c>
      <c r="X2957" s="1885" t="str">
        <f t="shared" si="673"/>
        <v>4.- C Lima Caucho 0150207-OT_000478  Transpl Banda   Con banda transplantada  en 15mm  [ 008022010 - 170 ]</v>
      </c>
      <c r="Y2957" s="473"/>
      <c r="Z2957" s="474" t="str">
        <f t="shared" si="681"/>
        <v>ReencaucheAMC Llantas</v>
      </c>
      <c r="AA2957" s="463"/>
      <c r="AB2957" s="463"/>
      <c r="AC2957" s="463"/>
    </row>
    <row r="2958" spans="1:29" ht="14.25" outlineLevel="1">
      <c r="A2958" s="463"/>
      <c r="B2958" s="3252"/>
      <c r="C2958" s="2">
        <f>1+C2960</f>
        <v>282</v>
      </c>
      <c r="D2958" s="3">
        <f>1+D2960</f>
        <v>26</v>
      </c>
      <c r="E2958" s="66">
        <v>5</v>
      </c>
      <c r="F2958" s="123" t="s">
        <v>732</v>
      </c>
      <c r="G2958" s="556" t="s">
        <v>757</v>
      </c>
      <c r="H2958" s="557" t="s">
        <v>2108</v>
      </c>
      <c r="I2958" s="498" t="s">
        <v>726</v>
      </c>
      <c r="J2958" s="558" t="s">
        <v>1961</v>
      </c>
      <c r="K2958" s="71" t="s">
        <v>2231</v>
      </c>
      <c r="L2958" s="559">
        <v>40445</v>
      </c>
      <c r="M2958" s="468" t="s">
        <v>729</v>
      </c>
      <c r="N2958" s="560">
        <v>40449</v>
      </c>
      <c r="O2958" s="470">
        <f t="shared" si="682"/>
        <v>40449</v>
      </c>
      <c r="P2958" s="2809"/>
      <c r="Q2958" s="2983"/>
      <c r="R2958" s="502">
        <f>310/(1.19)</f>
        <v>260.50420168067228</v>
      </c>
      <c r="S2958" s="1973" t="s">
        <v>731</v>
      </c>
      <c r="T2958" s="561" t="s">
        <v>2234</v>
      </c>
      <c r="U2958" s="1900"/>
      <c r="V2958" s="2079">
        <f t="shared" si="674"/>
        <v>0</v>
      </c>
      <c r="W2958" s="78">
        <f t="shared" si="675"/>
        <v>307.39495798319325</v>
      </c>
      <c r="X2958" s="1885" t="str">
        <f t="shared" si="673"/>
        <v>5.- C Goodyear 018072003-OT_000478  Reencauche  llanta soplada, al 14/02/2011 banda en 17mm</v>
      </c>
      <c r="Y2958" s="473"/>
      <c r="Z2958" s="474" t="str">
        <f t="shared" si="681"/>
        <v>ReencaucheAMC Llantas</v>
      </c>
      <c r="AA2958" s="463"/>
      <c r="AB2958" s="463"/>
      <c r="AC2958" s="463"/>
    </row>
    <row r="2959" spans="1:29" ht="14.25" outlineLevel="1">
      <c r="A2959" s="463"/>
      <c r="B2959" s="3252"/>
      <c r="E2959" s="66">
        <v>6</v>
      </c>
      <c r="F2959" s="67" t="s">
        <v>732</v>
      </c>
      <c r="G2959" s="483" t="s">
        <v>737</v>
      </c>
      <c r="H2959" s="484" t="s">
        <v>2178</v>
      </c>
      <c r="I2959" s="483"/>
      <c r="J2959" s="407" t="s">
        <v>1961</v>
      </c>
      <c r="K2959" s="292" t="s">
        <v>2231</v>
      </c>
      <c r="L2959" s="485">
        <v>40445</v>
      </c>
      <c r="M2959" s="486" t="s">
        <v>1815</v>
      </c>
      <c r="N2959" s="487">
        <v>40449</v>
      </c>
      <c r="O2959" s="488">
        <f t="shared" si="682"/>
        <v>40449</v>
      </c>
      <c r="P2959" s="2811"/>
      <c r="Q2959" s="2985"/>
      <c r="R2959" s="489">
        <v>0</v>
      </c>
      <c r="S2959" s="1975" t="s">
        <v>731</v>
      </c>
      <c r="T2959" s="274" t="s">
        <v>1617</v>
      </c>
      <c r="U2959" s="1895"/>
      <c r="V2959" s="2079">
        <f t="shared" si="674"/>
        <v>0</v>
      </c>
      <c r="W2959" s="78">
        <f t="shared" si="675"/>
        <v>0</v>
      </c>
      <c r="X2959" s="1885" t="str">
        <f t="shared" si="673"/>
        <v>6.- C Vikrant 0950705-OT_000478     Llanta Rechazada, no se facturo</v>
      </c>
      <c r="Y2959" s="473"/>
      <c r="Z2959" s="474" t="str">
        <f t="shared" si="681"/>
        <v>ReencaucheAMC Llantas</v>
      </c>
      <c r="AA2959" s="463"/>
      <c r="AB2959" s="463"/>
      <c r="AC2959" s="463"/>
    </row>
    <row r="2960" spans="1:29" ht="14.25" outlineLevel="1">
      <c r="A2960" s="463"/>
      <c r="B2960" s="3252"/>
      <c r="C2960" s="2">
        <f t="shared" ref="C2960:D2962" si="683">1+C2961</f>
        <v>281</v>
      </c>
      <c r="D2960" s="3">
        <f t="shared" si="683"/>
        <v>25</v>
      </c>
      <c r="E2960" s="66">
        <v>7</v>
      </c>
      <c r="F2960" s="67" t="s">
        <v>732</v>
      </c>
      <c r="G2960" s="439" t="s">
        <v>737</v>
      </c>
      <c r="H2960" s="464" t="s">
        <v>2235</v>
      </c>
      <c r="I2960" s="439" t="s">
        <v>726</v>
      </c>
      <c r="J2960" s="431" t="s">
        <v>1961</v>
      </c>
      <c r="K2960" s="71" t="s">
        <v>2231</v>
      </c>
      <c r="L2960" s="467">
        <v>40445</v>
      </c>
      <c r="M2960" s="468" t="s">
        <v>729</v>
      </c>
      <c r="N2960" s="469">
        <v>40449</v>
      </c>
      <c r="O2960" s="470">
        <f t="shared" si="682"/>
        <v>40449</v>
      </c>
      <c r="P2960" s="2809"/>
      <c r="Q2960" s="2983"/>
      <c r="R2960" s="471">
        <f>310/(1.19)</f>
        <v>260.50420168067228</v>
      </c>
      <c r="S2960" s="1973" t="s">
        <v>731</v>
      </c>
      <c r="T2960" s="472"/>
      <c r="U2960" s="1901"/>
      <c r="V2960" s="2079">
        <f t="shared" si="674"/>
        <v>0</v>
      </c>
      <c r="W2960" s="78">
        <f t="shared" si="675"/>
        <v>307.39495798319325</v>
      </c>
      <c r="X2960" s="1885" t="str">
        <f t="shared" si="673"/>
        <v xml:space="preserve">7.- C Vikrant 1220805-OT_000478  Reencauche  </v>
      </c>
      <c r="Y2960" s="473"/>
      <c r="Z2960" s="474" t="str">
        <f t="shared" si="681"/>
        <v>ReencaucheAMC Llantas</v>
      </c>
      <c r="AA2960" s="463"/>
      <c r="AB2960" s="463"/>
      <c r="AC2960" s="463"/>
    </row>
    <row r="2961" spans="1:29" ht="14.25" outlineLevel="1">
      <c r="A2961" s="463"/>
      <c r="B2961" s="3252"/>
      <c r="C2961" s="2">
        <f t="shared" si="683"/>
        <v>280</v>
      </c>
      <c r="D2961" s="3">
        <f t="shared" si="683"/>
        <v>24</v>
      </c>
      <c r="E2961" s="66">
        <v>8</v>
      </c>
      <c r="F2961" s="67" t="s">
        <v>732</v>
      </c>
      <c r="G2961" s="439" t="s">
        <v>757</v>
      </c>
      <c r="H2961" s="464" t="s">
        <v>1498</v>
      </c>
      <c r="I2961" s="439" t="s">
        <v>726</v>
      </c>
      <c r="J2961" s="431" t="s">
        <v>1961</v>
      </c>
      <c r="K2961" s="71" t="s">
        <v>2231</v>
      </c>
      <c r="L2961" s="467">
        <v>40445</v>
      </c>
      <c r="M2961" s="468" t="s">
        <v>729</v>
      </c>
      <c r="N2961" s="469">
        <v>40449</v>
      </c>
      <c r="O2961" s="470">
        <f t="shared" si="682"/>
        <v>40449</v>
      </c>
      <c r="P2961" s="2809"/>
      <c r="Q2961" s="2983"/>
      <c r="R2961" s="471">
        <f>310/(1.19)</f>
        <v>260.50420168067228</v>
      </c>
      <c r="S2961" s="1973" t="s">
        <v>731</v>
      </c>
      <c r="T2961" s="472"/>
      <c r="U2961" s="1901"/>
      <c r="V2961" s="2079">
        <f t="shared" si="674"/>
        <v>0</v>
      </c>
      <c r="W2961" s="78">
        <f t="shared" si="675"/>
        <v>307.39495798319325</v>
      </c>
      <c r="X2961" s="1885" t="str">
        <f t="shared" si="673"/>
        <v xml:space="preserve">8.- C Goodyear 066112002-OT_000478  Reencauche  </v>
      </c>
      <c r="Y2961" s="473"/>
      <c r="Z2961" s="474" t="str">
        <f t="shared" si="681"/>
        <v>Sacar_BandaAMC Llantas</v>
      </c>
      <c r="AA2961" s="463"/>
      <c r="AB2961" s="463"/>
      <c r="AC2961" s="463"/>
    </row>
    <row r="2962" spans="1:29" ht="14.25" outlineLevel="1">
      <c r="A2962" s="463"/>
      <c r="B2962" s="3252"/>
      <c r="C2962" s="2">
        <f t="shared" si="683"/>
        <v>279</v>
      </c>
      <c r="D2962" s="3">
        <f t="shared" si="683"/>
        <v>23</v>
      </c>
      <c r="E2962" s="66">
        <v>9</v>
      </c>
      <c r="F2962" s="67" t="s">
        <v>732</v>
      </c>
      <c r="G2962" s="439" t="s">
        <v>1233</v>
      </c>
      <c r="H2962" s="464" t="s">
        <v>1670</v>
      </c>
      <c r="I2962" s="439" t="s">
        <v>726</v>
      </c>
      <c r="J2962" s="431" t="s">
        <v>1961</v>
      </c>
      <c r="K2962" s="71" t="s">
        <v>2231</v>
      </c>
      <c r="L2962" s="467">
        <v>40445</v>
      </c>
      <c r="M2962" s="468" t="s">
        <v>729</v>
      </c>
      <c r="N2962" s="469">
        <v>40449</v>
      </c>
      <c r="O2962" s="470">
        <f t="shared" si="682"/>
        <v>40449</v>
      </c>
      <c r="P2962" s="2809"/>
      <c r="Q2962" s="2983"/>
      <c r="R2962" s="471">
        <f>310/(1.19)</f>
        <v>260.50420168067228</v>
      </c>
      <c r="S2962" s="1973" t="s">
        <v>731</v>
      </c>
      <c r="T2962" s="472"/>
      <c r="U2962" s="1901"/>
      <c r="V2962" s="2079">
        <f t="shared" si="674"/>
        <v>0</v>
      </c>
      <c r="W2962" s="78">
        <f t="shared" si="675"/>
        <v>307.39495798319325</v>
      </c>
      <c r="X2962" s="1885" t="str">
        <f t="shared" si="673"/>
        <v xml:space="preserve">9.- C Saratoga 0350506-OT_000478  Reencauche  </v>
      </c>
      <c r="Y2962" s="473"/>
      <c r="Z2962" s="474" t="str">
        <f t="shared" si="681"/>
        <v>ReencaucheReencauchadora Espinoza</v>
      </c>
      <c r="AA2962" s="463"/>
      <c r="AB2962" s="463"/>
      <c r="AC2962" s="463"/>
    </row>
    <row r="2963" spans="1:29" ht="14.25" outlineLevel="1">
      <c r="A2963" s="463"/>
      <c r="B2963" s="3252"/>
      <c r="C2963" s="562">
        <f>1+C2965</f>
        <v>278</v>
      </c>
      <c r="D2963" s="3">
        <f>1+D2965</f>
        <v>22</v>
      </c>
      <c r="E2963" s="66">
        <v>10</v>
      </c>
      <c r="F2963" s="67" t="s">
        <v>732</v>
      </c>
      <c r="G2963" s="439" t="s">
        <v>733</v>
      </c>
      <c r="H2963" s="464" t="s">
        <v>2236</v>
      </c>
      <c r="I2963" s="439" t="s">
        <v>726</v>
      </c>
      <c r="J2963" s="431" t="s">
        <v>1961</v>
      </c>
      <c r="K2963" s="71" t="s">
        <v>2231</v>
      </c>
      <c r="L2963" s="467">
        <v>40445</v>
      </c>
      <c r="M2963" s="468" t="s">
        <v>729</v>
      </c>
      <c r="N2963" s="469">
        <v>40449</v>
      </c>
      <c r="O2963" s="470">
        <f t="shared" si="682"/>
        <v>40449</v>
      </c>
      <c r="P2963" s="2809"/>
      <c r="Q2963" s="2983"/>
      <c r="R2963" s="471">
        <f>310/(1.19)</f>
        <v>260.50420168067228</v>
      </c>
      <c r="S2963" s="1973" t="s">
        <v>731</v>
      </c>
      <c r="T2963" s="472"/>
      <c r="U2963" s="1901"/>
      <c r="V2963" s="2079">
        <f t="shared" si="674"/>
        <v>0</v>
      </c>
      <c r="W2963" s="78">
        <f t="shared" si="675"/>
        <v>307.39495798319325</v>
      </c>
      <c r="X2963" s="1885" t="str">
        <f t="shared" si="673"/>
        <v xml:space="preserve">10.- C Lima Caucho 1201107-OT_000478  Reencauche  </v>
      </c>
      <c r="Y2963" s="473"/>
      <c r="Z2963" s="474" t="str">
        <f t="shared" si="681"/>
        <v>REPARACIONReencauchadora Espinoza</v>
      </c>
      <c r="AA2963" s="463"/>
      <c r="AB2963" s="463"/>
      <c r="AC2963" s="463"/>
    </row>
    <row r="2964" spans="1:29" ht="14.25" outlineLevel="1">
      <c r="A2964" s="463"/>
      <c r="B2964" s="3252"/>
      <c r="E2964" s="349">
        <v>11</v>
      </c>
      <c r="F2964" s="80" t="s">
        <v>732</v>
      </c>
      <c r="G2964" s="475" t="s">
        <v>737</v>
      </c>
      <c r="H2964" s="476" t="s">
        <v>2237</v>
      </c>
      <c r="I2964" s="443" t="s">
        <v>744</v>
      </c>
      <c r="J2964" s="412" t="s">
        <v>1961</v>
      </c>
      <c r="K2964" s="350" t="s">
        <v>2231</v>
      </c>
      <c r="L2964" s="478">
        <v>40445</v>
      </c>
      <c r="M2964" s="479"/>
      <c r="N2964" s="480">
        <v>40449</v>
      </c>
      <c r="O2964" s="481">
        <f t="shared" si="682"/>
        <v>40449</v>
      </c>
      <c r="P2964" s="2810"/>
      <c r="Q2964" s="2984"/>
      <c r="R2964" s="482">
        <v>0</v>
      </c>
      <c r="S2964" s="1974" t="s">
        <v>731</v>
      </c>
      <c r="T2964" s="460" t="s">
        <v>2238</v>
      </c>
      <c r="U2964" s="1900"/>
      <c r="V2964" s="2079">
        <f t="shared" si="674"/>
        <v>0</v>
      </c>
      <c r="W2964" s="78">
        <f t="shared" si="675"/>
        <v>0</v>
      </c>
      <c r="X2964" s="1885" t="str">
        <f t="shared" si="673"/>
        <v>11.- C Vikrant 008022010-OT_000478  Sacar_Banda  Casco dañado-voladura(170), banda 15Mm, desechada</v>
      </c>
      <c r="Y2964" s="473"/>
      <c r="Z2964" s="474" t="str">
        <f t="shared" si="681"/>
        <v>ReencaucheReencauchadora RENOVA</v>
      </c>
      <c r="AA2964" s="463"/>
      <c r="AB2964" s="463"/>
      <c r="AC2964" s="463"/>
    </row>
    <row r="2965" spans="1:29" ht="14.25" outlineLevel="1">
      <c r="A2965" s="463"/>
      <c r="B2965" s="3252"/>
      <c r="C2965" s="2">
        <f t="shared" ref="C2965:C2984" si="684">1+C2966</f>
        <v>277</v>
      </c>
      <c r="D2965" s="3">
        <f t="shared" ref="D2965:D2984" si="685">1+D2966</f>
        <v>21</v>
      </c>
      <c r="E2965" s="66">
        <v>1</v>
      </c>
      <c r="F2965" s="67" t="s">
        <v>732</v>
      </c>
      <c r="G2965" s="439" t="s">
        <v>757</v>
      </c>
      <c r="H2965" s="464" t="s">
        <v>2239</v>
      </c>
      <c r="I2965" s="439" t="s">
        <v>726</v>
      </c>
      <c r="J2965" s="429" t="s">
        <v>1543</v>
      </c>
      <c r="K2965" s="71" t="s">
        <v>2240</v>
      </c>
      <c r="L2965" s="467">
        <v>40436</v>
      </c>
      <c r="M2965" s="468" t="s">
        <v>729</v>
      </c>
      <c r="N2965" s="469">
        <v>40441</v>
      </c>
      <c r="O2965" s="470">
        <f t="shared" si="682"/>
        <v>40441</v>
      </c>
      <c r="P2965" s="2809"/>
      <c r="Q2965" s="2983"/>
      <c r="R2965" s="471">
        <f>300/(1.19)</f>
        <v>252.10084033613447</v>
      </c>
      <c r="S2965" s="1973" t="s">
        <v>731</v>
      </c>
      <c r="T2965" s="472"/>
      <c r="U2965" s="1901"/>
      <c r="V2965" s="2079">
        <f t="shared" si="674"/>
        <v>0</v>
      </c>
      <c r="W2965" s="78">
        <f t="shared" si="675"/>
        <v>297.47899159663865</v>
      </c>
      <c r="X2965" s="1885" t="str">
        <f t="shared" si="673"/>
        <v xml:space="preserve">1.- C Goodyear 010032003-OT_000365  Reencauche  </v>
      </c>
      <c r="Y2965" s="473"/>
      <c r="Z2965" s="474" t="str">
        <f t="shared" si="681"/>
        <v>ReencaucheReencauchadora RENOVA</v>
      </c>
      <c r="AA2965" s="463"/>
      <c r="AB2965" s="463"/>
      <c r="AC2965" s="463"/>
    </row>
    <row r="2966" spans="1:29" ht="14.25" outlineLevel="1">
      <c r="A2966" s="463"/>
      <c r="B2966" s="3252"/>
      <c r="C2966" s="2">
        <f t="shared" si="684"/>
        <v>276</v>
      </c>
      <c r="D2966" s="3">
        <f t="shared" si="685"/>
        <v>20</v>
      </c>
      <c r="E2966" s="79">
        <v>2</v>
      </c>
      <c r="F2966" s="80" t="s">
        <v>732</v>
      </c>
      <c r="G2966" s="475" t="s">
        <v>757</v>
      </c>
      <c r="H2966" s="476" t="s">
        <v>2070</v>
      </c>
      <c r="I2966" s="443" t="s">
        <v>2241</v>
      </c>
      <c r="J2966" s="412" t="s">
        <v>1543</v>
      </c>
      <c r="K2966" s="350" t="s">
        <v>2240</v>
      </c>
      <c r="L2966" s="478">
        <v>40436</v>
      </c>
      <c r="M2966" s="479" t="s">
        <v>729</v>
      </c>
      <c r="N2966" s="480">
        <v>40441</v>
      </c>
      <c r="O2966" s="481">
        <f t="shared" si="682"/>
        <v>40441</v>
      </c>
      <c r="P2966" s="2810"/>
      <c r="Q2966" s="2984"/>
      <c r="R2966" s="482">
        <f>100/(1.19)</f>
        <v>84.033613445378151</v>
      </c>
      <c r="S2966" s="1974" t="s">
        <v>731</v>
      </c>
      <c r="T2966" s="472"/>
      <c r="U2966" s="1901"/>
      <c r="V2966" s="2079">
        <f t="shared" si="674"/>
        <v>0</v>
      </c>
      <c r="W2966" s="78">
        <f t="shared" si="675"/>
        <v>99.159663865546207</v>
      </c>
      <c r="X2966" s="1885" t="str">
        <f t="shared" si="673"/>
        <v xml:space="preserve">2.- C Goodyear 0900520-OT_000365  REPARACION  </v>
      </c>
      <c r="Y2966" s="473"/>
      <c r="Z2966" s="474" t="str">
        <f t="shared" si="681"/>
        <v>ReencaucheReencauchadora RENOVA</v>
      </c>
      <c r="AA2966" s="463"/>
      <c r="AB2966" s="463"/>
      <c r="AC2966" s="463"/>
    </row>
    <row r="2967" spans="1:29" ht="14.25" outlineLevel="1">
      <c r="A2967" s="463"/>
      <c r="B2967" s="3252"/>
      <c r="C2967" s="2">
        <f t="shared" si="684"/>
        <v>275</v>
      </c>
      <c r="D2967" s="3">
        <f t="shared" si="685"/>
        <v>19</v>
      </c>
      <c r="E2967" s="66">
        <v>1</v>
      </c>
      <c r="F2967" s="67" t="s">
        <v>732</v>
      </c>
      <c r="G2967" s="439" t="s">
        <v>737</v>
      </c>
      <c r="H2967" s="464" t="s">
        <v>1111</v>
      </c>
      <c r="I2967" s="439" t="s">
        <v>726</v>
      </c>
      <c r="J2967" s="431" t="s">
        <v>760</v>
      </c>
      <c r="K2967" s="71" t="s">
        <v>2242</v>
      </c>
      <c r="L2967" s="467">
        <v>40425</v>
      </c>
      <c r="M2967" s="468" t="s">
        <v>729</v>
      </c>
      <c r="N2967" s="469">
        <v>40435</v>
      </c>
      <c r="O2967" s="470">
        <f t="shared" si="682"/>
        <v>40435</v>
      </c>
      <c r="P2967" s="2809"/>
      <c r="Q2967" s="2983">
        <v>94.63</v>
      </c>
      <c r="R2967" s="471"/>
      <c r="S2967" s="1973" t="s">
        <v>731</v>
      </c>
      <c r="T2967" s="472"/>
      <c r="U2967" s="1901"/>
      <c r="V2967" s="2079">
        <f t="shared" si="674"/>
        <v>111.6634</v>
      </c>
      <c r="W2967" s="78">
        <f t="shared" si="675"/>
        <v>0</v>
      </c>
      <c r="X2967" s="1885" t="str">
        <f t="shared" si="673"/>
        <v xml:space="preserve">1.- C Vikrant 0660906-OT_138476  Reencauche  </v>
      </c>
      <c r="Y2967" s="473"/>
      <c r="Z2967" s="474" t="str">
        <f t="shared" si="681"/>
        <v>ReencaucheReencauchadora RENOVA</v>
      </c>
      <c r="AA2967" s="463"/>
      <c r="AB2967" s="463"/>
      <c r="AC2967" s="463"/>
    </row>
    <row r="2968" spans="1:29" ht="14.25" outlineLevel="1">
      <c r="A2968" s="463"/>
      <c r="B2968" s="3252"/>
      <c r="C2968" s="2">
        <f t="shared" si="684"/>
        <v>274</v>
      </c>
      <c r="D2968" s="3">
        <f t="shared" si="685"/>
        <v>18</v>
      </c>
      <c r="E2968" s="66">
        <v>2</v>
      </c>
      <c r="F2968" s="67" t="s">
        <v>732</v>
      </c>
      <c r="G2968" s="439" t="s">
        <v>737</v>
      </c>
      <c r="H2968" s="464" t="s">
        <v>1003</v>
      </c>
      <c r="I2968" s="439" t="s">
        <v>726</v>
      </c>
      <c r="J2968" s="431" t="s">
        <v>760</v>
      </c>
      <c r="K2968" s="71" t="s">
        <v>2242</v>
      </c>
      <c r="L2968" s="467">
        <v>40425</v>
      </c>
      <c r="M2968" s="468" t="s">
        <v>729</v>
      </c>
      <c r="N2968" s="469">
        <v>40435</v>
      </c>
      <c r="O2968" s="470">
        <f t="shared" si="682"/>
        <v>40435</v>
      </c>
      <c r="P2968" s="2809"/>
      <c r="Q2968" s="2983">
        <v>94.63</v>
      </c>
      <c r="R2968" s="471"/>
      <c r="S2968" s="1973" t="s">
        <v>731</v>
      </c>
      <c r="T2968" s="472"/>
      <c r="U2968" s="1901"/>
      <c r="V2968" s="2079">
        <f t="shared" si="674"/>
        <v>111.6634</v>
      </c>
      <c r="W2968" s="78">
        <f t="shared" si="675"/>
        <v>0</v>
      </c>
      <c r="X2968" s="1885" t="str">
        <f t="shared" si="673"/>
        <v xml:space="preserve">2.- C Vikrant 1451105-OT_138476  Reencauche  </v>
      </c>
      <c r="Y2968" s="473"/>
      <c r="Z2968" s="474" t="str">
        <f t="shared" si="681"/>
        <v>ReencaucheReencauchadora RENOVA</v>
      </c>
      <c r="AA2968" s="463"/>
      <c r="AB2968" s="463"/>
      <c r="AC2968" s="463"/>
    </row>
    <row r="2969" spans="1:29" ht="14.25" outlineLevel="1">
      <c r="A2969" s="463"/>
      <c r="B2969" s="3252"/>
      <c r="C2969" s="2">
        <f t="shared" si="684"/>
        <v>273</v>
      </c>
      <c r="D2969" s="3">
        <f t="shared" si="685"/>
        <v>17</v>
      </c>
      <c r="E2969" s="66">
        <v>3</v>
      </c>
      <c r="F2969" s="67" t="s">
        <v>732</v>
      </c>
      <c r="G2969" s="439" t="s">
        <v>737</v>
      </c>
      <c r="H2969" s="464" t="s">
        <v>2243</v>
      </c>
      <c r="I2969" s="439" t="s">
        <v>726</v>
      </c>
      <c r="J2969" s="431" t="s">
        <v>760</v>
      </c>
      <c r="K2969" s="71" t="s">
        <v>2242</v>
      </c>
      <c r="L2969" s="467">
        <v>40425</v>
      </c>
      <c r="M2969" s="468" t="s">
        <v>729</v>
      </c>
      <c r="N2969" s="469">
        <v>40435</v>
      </c>
      <c r="O2969" s="470">
        <f t="shared" si="682"/>
        <v>40435</v>
      </c>
      <c r="P2969" s="2809"/>
      <c r="Q2969" s="2983">
        <v>94.63</v>
      </c>
      <c r="R2969" s="471"/>
      <c r="S2969" s="1973" t="s">
        <v>731</v>
      </c>
      <c r="T2969" s="472"/>
      <c r="U2969" s="1901"/>
      <c r="V2969" s="2079">
        <f t="shared" si="674"/>
        <v>111.6634</v>
      </c>
      <c r="W2969" s="78">
        <f t="shared" si="675"/>
        <v>0</v>
      </c>
      <c r="X2969" s="1885" t="str">
        <f t="shared" si="673"/>
        <v xml:space="preserve">3.- C Vikrant 0841009-OT_138476  Reencauche  </v>
      </c>
      <c r="Y2969" s="473"/>
      <c r="Z2969" s="474" t="str">
        <f t="shared" si="681"/>
        <v>ReencaucheReencauchadora RENOVA</v>
      </c>
      <c r="AA2969" s="463"/>
      <c r="AB2969" s="463"/>
      <c r="AC2969" s="463"/>
    </row>
    <row r="2970" spans="1:29" ht="14.25" outlineLevel="1">
      <c r="A2970" s="463"/>
      <c r="B2970" s="3252"/>
      <c r="C2970" s="2">
        <f t="shared" si="684"/>
        <v>272</v>
      </c>
      <c r="D2970" s="3">
        <f t="shared" si="685"/>
        <v>16</v>
      </c>
      <c r="E2970" s="66">
        <v>4</v>
      </c>
      <c r="F2970" s="67" t="s">
        <v>732</v>
      </c>
      <c r="G2970" s="439" t="s">
        <v>737</v>
      </c>
      <c r="H2970" s="464" t="s">
        <v>1261</v>
      </c>
      <c r="I2970" s="439" t="s">
        <v>726</v>
      </c>
      <c r="J2970" s="431" t="s">
        <v>760</v>
      </c>
      <c r="K2970" s="71" t="s">
        <v>2242</v>
      </c>
      <c r="L2970" s="467">
        <v>40425</v>
      </c>
      <c r="M2970" s="468" t="s">
        <v>729</v>
      </c>
      <c r="N2970" s="469">
        <v>40435</v>
      </c>
      <c r="O2970" s="470">
        <f t="shared" si="682"/>
        <v>40435</v>
      </c>
      <c r="P2970" s="2809"/>
      <c r="Q2970" s="2983">
        <v>94.63</v>
      </c>
      <c r="R2970" s="471"/>
      <c r="S2970" s="1973" t="s">
        <v>731</v>
      </c>
      <c r="T2970" s="472"/>
      <c r="U2970" s="1901"/>
      <c r="V2970" s="2079">
        <f t="shared" si="674"/>
        <v>111.6634</v>
      </c>
      <c r="W2970" s="78">
        <f t="shared" si="675"/>
        <v>0</v>
      </c>
      <c r="X2970" s="1885" t="str">
        <f t="shared" si="673"/>
        <v xml:space="preserve">4.- C Vikrant 0730906-OT_138476  Reencauche  </v>
      </c>
      <c r="Y2970" s="473"/>
      <c r="Z2970" s="474" t="str">
        <f t="shared" si="681"/>
        <v>ReencaucheReencauchadora RENOVA</v>
      </c>
      <c r="AA2970" s="463"/>
      <c r="AB2970" s="463"/>
      <c r="AC2970" s="463"/>
    </row>
    <row r="2971" spans="1:29" ht="14.25" outlineLevel="1">
      <c r="A2971" s="463"/>
      <c r="B2971" s="3252"/>
      <c r="C2971" s="2">
        <f t="shared" si="684"/>
        <v>271</v>
      </c>
      <c r="D2971" s="3">
        <f t="shared" si="685"/>
        <v>15</v>
      </c>
      <c r="E2971" s="66">
        <v>5</v>
      </c>
      <c r="F2971" s="67" t="s">
        <v>732</v>
      </c>
      <c r="G2971" s="439" t="s">
        <v>737</v>
      </c>
      <c r="H2971" s="464" t="s">
        <v>1487</v>
      </c>
      <c r="I2971" s="439" t="s">
        <v>726</v>
      </c>
      <c r="J2971" s="431" t="s">
        <v>760</v>
      </c>
      <c r="K2971" s="71" t="s">
        <v>2242</v>
      </c>
      <c r="L2971" s="467">
        <v>40425</v>
      </c>
      <c r="M2971" s="468" t="s">
        <v>729</v>
      </c>
      <c r="N2971" s="469">
        <v>40435</v>
      </c>
      <c r="O2971" s="470">
        <f t="shared" si="682"/>
        <v>40435</v>
      </c>
      <c r="P2971" s="2809"/>
      <c r="Q2971" s="2983">
        <v>94.63</v>
      </c>
      <c r="R2971" s="471"/>
      <c r="S2971" s="1973" t="s">
        <v>731</v>
      </c>
      <c r="T2971" s="472"/>
      <c r="U2971" s="1901"/>
      <c r="V2971" s="2079">
        <f t="shared" si="674"/>
        <v>111.6634</v>
      </c>
      <c r="W2971" s="78">
        <f t="shared" si="675"/>
        <v>0</v>
      </c>
      <c r="X2971" s="1885" t="str">
        <f t="shared" si="673"/>
        <v xml:space="preserve">5.- C Vikrant 1571105-OT_138476  Reencauche  </v>
      </c>
      <c r="Y2971" s="473"/>
      <c r="Z2971" s="474" t="str">
        <f t="shared" si="681"/>
        <v>ReencaucheReencauchadora RENOVA</v>
      </c>
      <c r="AA2971" s="463"/>
      <c r="AB2971" s="463"/>
      <c r="AC2971" s="463"/>
    </row>
    <row r="2972" spans="1:29" ht="14.25" outlineLevel="1">
      <c r="A2972" s="463"/>
      <c r="B2972" s="3252"/>
      <c r="C2972" s="2">
        <f t="shared" si="684"/>
        <v>270</v>
      </c>
      <c r="D2972" s="3">
        <f t="shared" si="685"/>
        <v>14</v>
      </c>
      <c r="E2972" s="66">
        <v>6</v>
      </c>
      <c r="F2972" s="67" t="s">
        <v>732</v>
      </c>
      <c r="G2972" s="439" t="s">
        <v>737</v>
      </c>
      <c r="H2972" s="464" t="s">
        <v>959</v>
      </c>
      <c r="I2972" s="439" t="s">
        <v>726</v>
      </c>
      <c r="J2972" s="431" t="s">
        <v>760</v>
      </c>
      <c r="K2972" s="71" t="s">
        <v>2242</v>
      </c>
      <c r="L2972" s="467">
        <v>40425</v>
      </c>
      <c r="M2972" s="468" t="s">
        <v>729</v>
      </c>
      <c r="N2972" s="469">
        <v>40435</v>
      </c>
      <c r="O2972" s="470">
        <f t="shared" si="682"/>
        <v>40435</v>
      </c>
      <c r="P2972" s="2809"/>
      <c r="Q2972" s="2983">
        <v>94.63</v>
      </c>
      <c r="R2972" s="471"/>
      <c r="S2972" s="1973" t="s">
        <v>731</v>
      </c>
      <c r="T2972" s="472"/>
      <c r="U2972" s="1901"/>
      <c r="V2972" s="2079">
        <f t="shared" si="674"/>
        <v>111.6634</v>
      </c>
      <c r="W2972" s="78">
        <f t="shared" si="675"/>
        <v>0</v>
      </c>
      <c r="X2972" s="1885" t="str">
        <f t="shared" si="673"/>
        <v xml:space="preserve">6.- C Vikrant 1060705-OT_138476  Reencauche  </v>
      </c>
      <c r="Y2972" s="473"/>
      <c r="Z2972" s="474" t="str">
        <f t="shared" si="681"/>
        <v>ReencaucheReencauchadora RENOVA</v>
      </c>
      <c r="AA2972" s="463"/>
      <c r="AB2972" s="463"/>
      <c r="AC2972" s="463"/>
    </row>
    <row r="2973" spans="1:29" ht="14.25" outlineLevel="1">
      <c r="A2973" s="463"/>
      <c r="B2973" s="3252"/>
      <c r="C2973" s="2">
        <f t="shared" si="684"/>
        <v>269</v>
      </c>
      <c r="D2973" s="3">
        <f t="shared" si="685"/>
        <v>13</v>
      </c>
      <c r="E2973" s="66">
        <v>7</v>
      </c>
      <c r="F2973" s="67" t="s">
        <v>732</v>
      </c>
      <c r="G2973" s="439" t="s">
        <v>737</v>
      </c>
      <c r="H2973" s="464" t="s">
        <v>1367</v>
      </c>
      <c r="I2973" s="439" t="s">
        <v>726</v>
      </c>
      <c r="J2973" s="431" t="s">
        <v>760</v>
      </c>
      <c r="K2973" s="71" t="s">
        <v>2242</v>
      </c>
      <c r="L2973" s="467">
        <v>40425</v>
      </c>
      <c r="M2973" s="468" t="s">
        <v>729</v>
      </c>
      <c r="N2973" s="469">
        <v>40435</v>
      </c>
      <c r="O2973" s="470">
        <f t="shared" si="682"/>
        <v>40435</v>
      </c>
      <c r="P2973" s="2809"/>
      <c r="Q2973" s="2983">
        <v>94.63</v>
      </c>
      <c r="R2973" s="471"/>
      <c r="S2973" s="1973" t="s">
        <v>731</v>
      </c>
      <c r="T2973" s="472"/>
      <c r="U2973" s="1901"/>
      <c r="V2973" s="2079">
        <f t="shared" si="674"/>
        <v>111.6634</v>
      </c>
      <c r="W2973" s="78">
        <f t="shared" si="675"/>
        <v>0</v>
      </c>
      <c r="X2973" s="1885" t="str">
        <f t="shared" si="673"/>
        <v xml:space="preserve">7.- C Vikrant 0480506-OT_138476  Reencauche  </v>
      </c>
      <c r="Y2973" s="473"/>
      <c r="Z2973" s="474" t="str">
        <f t="shared" si="681"/>
        <v>ReencaucheReencauchadora RENOVA</v>
      </c>
      <c r="AA2973" s="463"/>
      <c r="AB2973" s="463"/>
      <c r="AC2973" s="463"/>
    </row>
    <row r="2974" spans="1:29" ht="14.25" outlineLevel="1">
      <c r="A2974" s="463"/>
      <c r="B2974" s="3252"/>
      <c r="C2974" s="2">
        <f t="shared" si="684"/>
        <v>268</v>
      </c>
      <c r="D2974" s="3">
        <f t="shared" si="685"/>
        <v>12</v>
      </c>
      <c r="E2974" s="66">
        <v>8</v>
      </c>
      <c r="F2974" s="67" t="s">
        <v>732</v>
      </c>
      <c r="G2974" s="439" t="s">
        <v>737</v>
      </c>
      <c r="H2974" s="464" t="s">
        <v>894</v>
      </c>
      <c r="I2974" s="439" t="s">
        <v>726</v>
      </c>
      <c r="J2974" s="431" t="s">
        <v>760</v>
      </c>
      <c r="K2974" s="71" t="s">
        <v>2242</v>
      </c>
      <c r="L2974" s="467">
        <v>40425</v>
      </c>
      <c r="M2974" s="468" t="s">
        <v>729</v>
      </c>
      <c r="N2974" s="469">
        <v>40435</v>
      </c>
      <c r="O2974" s="470">
        <f t="shared" si="682"/>
        <v>40435</v>
      </c>
      <c r="P2974" s="2809"/>
      <c r="Q2974" s="2983">
        <v>94.63</v>
      </c>
      <c r="R2974" s="471"/>
      <c r="S2974" s="1973" t="s">
        <v>731</v>
      </c>
      <c r="T2974" s="472"/>
      <c r="U2974" s="1901"/>
      <c r="V2974" s="2079">
        <f t="shared" si="674"/>
        <v>111.6634</v>
      </c>
      <c r="W2974" s="78">
        <f t="shared" si="675"/>
        <v>0</v>
      </c>
      <c r="X2974" s="1885" t="str">
        <f t="shared" si="673"/>
        <v xml:space="preserve">8.- C Vikrant 0470506-OT_138476  Reencauche  </v>
      </c>
      <c r="Y2974" s="473"/>
      <c r="Z2974" s="474" t="str">
        <f t="shared" si="681"/>
        <v>ReencaucheReencauchadora RENOVA</v>
      </c>
      <c r="AA2974" s="463"/>
      <c r="AB2974" s="463"/>
      <c r="AC2974" s="463"/>
    </row>
    <row r="2975" spans="1:29" ht="14.25" outlineLevel="1">
      <c r="A2975" s="463"/>
      <c r="B2975" s="3252"/>
      <c r="C2975" s="2">
        <f t="shared" si="684"/>
        <v>267</v>
      </c>
      <c r="D2975" s="3">
        <f t="shared" si="685"/>
        <v>11</v>
      </c>
      <c r="E2975" s="66">
        <v>9</v>
      </c>
      <c r="F2975" s="67" t="s">
        <v>732</v>
      </c>
      <c r="G2975" s="439" t="s">
        <v>831</v>
      </c>
      <c r="H2975" s="464" t="s">
        <v>1573</v>
      </c>
      <c r="I2975" s="439" t="s">
        <v>726</v>
      </c>
      <c r="J2975" s="431" t="s">
        <v>760</v>
      </c>
      <c r="K2975" s="71" t="s">
        <v>2242</v>
      </c>
      <c r="L2975" s="467">
        <v>40425</v>
      </c>
      <c r="M2975" s="468" t="s">
        <v>729</v>
      </c>
      <c r="N2975" s="469">
        <v>40435</v>
      </c>
      <c r="O2975" s="470">
        <f t="shared" si="682"/>
        <v>40435</v>
      </c>
      <c r="P2975" s="2809"/>
      <c r="Q2975" s="2983">
        <v>94.63</v>
      </c>
      <c r="R2975" s="471"/>
      <c r="S2975" s="1973" t="s">
        <v>731</v>
      </c>
      <c r="T2975" s="472"/>
      <c r="U2975" s="1901"/>
      <c r="V2975" s="2079">
        <f t="shared" si="674"/>
        <v>111.6634</v>
      </c>
      <c r="W2975" s="78">
        <f t="shared" si="675"/>
        <v>0</v>
      </c>
      <c r="X2975" s="1885" t="str">
        <f t="shared" si="673"/>
        <v xml:space="preserve">9.- C Kumho 0560305-OT_138476  Reencauche  </v>
      </c>
      <c r="Y2975" s="473"/>
      <c r="Z2975" s="474" t="str">
        <f t="shared" si="681"/>
        <v>ReencaucheReencauchadora RENOVA</v>
      </c>
      <c r="AA2975" s="463"/>
      <c r="AB2975" s="463"/>
      <c r="AC2975" s="463"/>
    </row>
    <row r="2976" spans="1:29" ht="14.25" outlineLevel="1">
      <c r="A2976" s="463"/>
      <c r="B2976" s="3252"/>
      <c r="C2976" s="2">
        <f t="shared" si="684"/>
        <v>266</v>
      </c>
      <c r="D2976" s="3">
        <f t="shared" si="685"/>
        <v>10</v>
      </c>
      <c r="E2976" s="66">
        <v>10</v>
      </c>
      <c r="F2976" s="67" t="s">
        <v>732</v>
      </c>
      <c r="G2976" s="439" t="s">
        <v>814</v>
      </c>
      <c r="H2976" s="464" t="s">
        <v>1500</v>
      </c>
      <c r="I2976" s="439" t="s">
        <v>726</v>
      </c>
      <c r="J2976" s="431" t="s">
        <v>760</v>
      </c>
      <c r="K2976" s="71" t="s">
        <v>2242</v>
      </c>
      <c r="L2976" s="467">
        <v>40425</v>
      </c>
      <c r="M2976" s="468" t="s">
        <v>729</v>
      </c>
      <c r="N2976" s="469">
        <v>40435</v>
      </c>
      <c r="O2976" s="470">
        <f t="shared" si="682"/>
        <v>40435</v>
      </c>
      <c r="P2976" s="2809"/>
      <c r="Q2976" s="2983">
        <v>94.63</v>
      </c>
      <c r="R2976" s="471"/>
      <c r="S2976" s="1973" t="s">
        <v>731</v>
      </c>
      <c r="T2976" s="472"/>
      <c r="U2976" s="1901"/>
      <c r="V2976" s="2079">
        <f t="shared" si="674"/>
        <v>111.6634</v>
      </c>
      <c r="W2976" s="78">
        <f t="shared" si="675"/>
        <v>0</v>
      </c>
      <c r="X2976" s="1885" t="str">
        <f t="shared" si="673"/>
        <v xml:space="preserve">10.- C Birla 0630806-OT_138476  Reencauche  </v>
      </c>
      <c r="Y2976" s="473"/>
      <c r="Z2976" s="474" t="str">
        <f t="shared" si="681"/>
        <v>ReencaucheReencauchadora RENOVA</v>
      </c>
      <c r="AA2976" s="463"/>
      <c r="AB2976" s="463"/>
      <c r="AC2976" s="463"/>
    </row>
    <row r="2977" spans="1:29" ht="14.25" outlineLevel="1">
      <c r="A2977" s="463"/>
      <c r="B2977" s="3252"/>
      <c r="C2977" s="2">
        <f t="shared" si="684"/>
        <v>265</v>
      </c>
      <c r="D2977" s="3">
        <f t="shared" si="685"/>
        <v>9</v>
      </c>
      <c r="E2977" s="66">
        <v>11</v>
      </c>
      <c r="F2977" s="67" t="s">
        <v>732</v>
      </c>
      <c r="G2977" s="439" t="s">
        <v>757</v>
      </c>
      <c r="H2977" s="464" t="s">
        <v>2244</v>
      </c>
      <c r="I2977" s="439" t="s">
        <v>726</v>
      </c>
      <c r="J2977" s="431" t="s">
        <v>760</v>
      </c>
      <c r="K2977" s="71" t="s">
        <v>2245</v>
      </c>
      <c r="L2977" s="467">
        <v>40425</v>
      </c>
      <c r="M2977" s="468" t="s">
        <v>729</v>
      </c>
      <c r="N2977" s="469">
        <v>40435</v>
      </c>
      <c r="O2977" s="470">
        <f t="shared" si="682"/>
        <v>40435</v>
      </c>
      <c r="P2977" s="2809"/>
      <c r="Q2977" s="2983">
        <v>94.63</v>
      </c>
      <c r="R2977" s="471"/>
      <c r="S2977" s="1973" t="s">
        <v>731</v>
      </c>
      <c r="T2977" s="472"/>
      <c r="U2977" s="1901"/>
      <c r="V2977" s="2079">
        <f t="shared" si="674"/>
        <v>111.6634</v>
      </c>
      <c r="W2977" s="78">
        <f t="shared" si="675"/>
        <v>0</v>
      </c>
      <c r="X2977" s="1885" t="str">
        <f t="shared" si="673"/>
        <v xml:space="preserve">11.- C Goodyear 1710920-OT_138477  Reencauche  </v>
      </c>
      <c r="Y2977" s="473"/>
      <c r="Z2977" s="474" t="str">
        <f t="shared" si="681"/>
        <v>ReencaucheReencauchadora RENOVA</v>
      </c>
      <c r="AA2977" s="463"/>
      <c r="AB2977" s="463"/>
      <c r="AC2977" s="463"/>
    </row>
    <row r="2978" spans="1:29" ht="14.25" outlineLevel="1">
      <c r="A2978" s="463"/>
      <c r="B2978" s="3252"/>
      <c r="C2978" s="2">
        <f t="shared" si="684"/>
        <v>264</v>
      </c>
      <c r="D2978" s="3">
        <f t="shared" si="685"/>
        <v>8</v>
      </c>
      <c r="E2978" s="66">
        <v>12</v>
      </c>
      <c r="F2978" s="67" t="s">
        <v>732</v>
      </c>
      <c r="G2978" s="439" t="s">
        <v>757</v>
      </c>
      <c r="H2978" s="464" t="s">
        <v>1161</v>
      </c>
      <c r="I2978" s="439" t="s">
        <v>726</v>
      </c>
      <c r="J2978" s="431" t="s">
        <v>760</v>
      </c>
      <c r="K2978" s="71" t="s">
        <v>2245</v>
      </c>
      <c r="L2978" s="467">
        <v>40425</v>
      </c>
      <c r="M2978" s="468" t="s">
        <v>729</v>
      </c>
      <c r="N2978" s="469">
        <v>40435</v>
      </c>
      <c r="O2978" s="470">
        <f t="shared" si="682"/>
        <v>40435</v>
      </c>
      <c r="P2978" s="2809"/>
      <c r="Q2978" s="2983">
        <v>94.63</v>
      </c>
      <c r="R2978" s="471"/>
      <c r="S2978" s="1973" t="s">
        <v>731</v>
      </c>
      <c r="T2978" s="472"/>
      <c r="U2978" s="1901"/>
      <c r="V2978" s="2079">
        <f t="shared" si="674"/>
        <v>111.6634</v>
      </c>
      <c r="W2978" s="78">
        <f t="shared" si="675"/>
        <v>0</v>
      </c>
      <c r="X2978" s="1885" t="str">
        <f t="shared" ref="X2978:X3041" si="686">CONCATENATE(E2978,".- ",F2978," ",G2978," ",H2978,"-OT_",K2978," "," ",I2978," ",P2978," ",T2978)</f>
        <v xml:space="preserve">12.- C Goodyear 1110704-OT_138477  Reencauche  </v>
      </c>
      <c r="Y2978" s="473"/>
      <c r="Z2978" s="474" t="str">
        <f t="shared" si="681"/>
        <v>ReencaucheReencauchadora RENOVA</v>
      </c>
      <c r="AA2978" s="463"/>
      <c r="AB2978" s="463"/>
      <c r="AC2978" s="463"/>
    </row>
    <row r="2979" spans="1:29" ht="14.25" outlineLevel="1">
      <c r="A2979" s="463"/>
      <c r="B2979" s="3252"/>
      <c r="C2979" s="2">
        <f t="shared" si="684"/>
        <v>263</v>
      </c>
      <c r="D2979" s="3">
        <f t="shared" si="685"/>
        <v>7</v>
      </c>
      <c r="E2979" s="66">
        <v>13</v>
      </c>
      <c r="F2979" s="67" t="s">
        <v>732</v>
      </c>
      <c r="G2979" s="439" t="s">
        <v>757</v>
      </c>
      <c r="H2979" s="464" t="s">
        <v>2246</v>
      </c>
      <c r="I2979" s="439" t="s">
        <v>726</v>
      </c>
      <c r="J2979" s="431" t="s">
        <v>760</v>
      </c>
      <c r="K2979" s="71" t="s">
        <v>2245</v>
      </c>
      <c r="L2979" s="467">
        <v>40425</v>
      </c>
      <c r="M2979" s="468" t="s">
        <v>729</v>
      </c>
      <c r="N2979" s="469">
        <v>40435</v>
      </c>
      <c r="O2979" s="470">
        <f t="shared" si="682"/>
        <v>40435</v>
      </c>
      <c r="P2979" s="2809"/>
      <c r="Q2979" s="2983">
        <v>94.63</v>
      </c>
      <c r="R2979" s="471"/>
      <c r="S2979" s="1973" t="s">
        <v>731</v>
      </c>
      <c r="T2979" s="472"/>
      <c r="U2979" s="1901"/>
      <c r="V2979" s="2079">
        <f t="shared" ref="V2979:V3042" si="687">+Q2979*(1.18)</f>
        <v>111.6634</v>
      </c>
      <c r="W2979" s="78">
        <f t="shared" ref="W2979:W3042" si="688">+R2979*(1.18)</f>
        <v>0</v>
      </c>
      <c r="X2979" s="1885" t="str">
        <f t="shared" si="686"/>
        <v xml:space="preserve">13.- C Goodyear 6723-OT_138477  Reencauche  </v>
      </c>
      <c r="Y2979" s="473"/>
      <c r="Z2979" s="474" t="str">
        <f t="shared" si="681"/>
        <v>ReencaucheReencauchadora RENOVA</v>
      </c>
      <c r="AA2979" s="463"/>
      <c r="AB2979" s="463"/>
      <c r="AC2979" s="463"/>
    </row>
    <row r="2980" spans="1:29" ht="14.25" outlineLevel="1">
      <c r="A2980" s="463"/>
      <c r="B2980" s="3252"/>
      <c r="C2980" s="2">
        <f t="shared" si="684"/>
        <v>262</v>
      </c>
      <c r="D2980" s="3">
        <f t="shared" si="685"/>
        <v>6</v>
      </c>
      <c r="E2980" s="66">
        <v>14</v>
      </c>
      <c r="F2980" s="67" t="s">
        <v>732</v>
      </c>
      <c r="G2980" s="439" t="s">
        <v>757</v>
      </c>
      <c r="H2980" s="464" t="s">
        <v>1679</v>
      </c>
      <c r="I2980" s="439" t="s">
        <v>726</v>
      </c>
      <c r="J2980" s="431" t="s">
        <v>760</v>
      </c>
      <c r="K2980" s="71" t="s">
        <v>2245</v>
      </c>
      <c r="L2980" s="467">
        <v>40425</v>
      </c>
      <c r="M2980" s="468" t="s">
        <v>729</v>
      </c>
      <c r="N2980" s="469">
        <v>40435</v>
      </c>
      <c r="O2980" s="470">
        <f t="shared" si="682"/>
        <v>40435</v>
      </c>
      <c r="P2980" s="2809"/>
      <c r="Q2980" s="2983">
        <v>94.63</v>
      </c>
      <c r="R2980" s="471"/>
      <c r="S2980" s="1973" t="s">
        <v>731</v>
      </c>
      <c r="T2980" s="472"/>
      <c r="U2980" s="1901"/>
      <c r="V2980" s="2079">
        <f t="shared" si="687"/>
        <v>111.6634</v>
      </c>
      <c r="W2980" s="78">
        <f t="shared" si="688"/>
        <v>0</v>
      </c>
      <c r="X2980" s="1885" t="str">
        <f t="shared" si="686"/>
        <v xml:space="preserve">14.- C Goodyear 0260302-OT_138477  Reencauche  </v>
      </c>
      <c r="Y2980" s="473"/>
      <c r="Z2980" s="474" t="str">
        <f t="shared" si="681"/>
        <v>ReencaucheReencauchadora RENOVA</v>
      </c>
      <c r="AA2980" s="463"/>
      <c r="AB2980" s="463"/>
      <c r="AC2980" s="463"/>
    </row>
    <row r="2981" spans="1:29" ht="14.25" outlineLevel="1">
      <c r="A2981" s="463"/>
      <c r="B2981" s="3252"/>
      <c r="C2981" s="2">
        <f t="shared" si="684"/>
        <v>261</v>
      </c>
      <c r="D2981" s="3">
        <f t="shared" si="685"/>
        <v>5</v>
      </c>
      <c r="E2981" s="66">
        <v>15</v>
      </c>
      <c r="F2981" s="67" t="s">
        <v>732</v>
      </c>
      <c r="G2981" s="439" t="s">
        <v>757</v>
      </c>
      <c r="H2981" s="464" t="s">
        <v>1535</v>
      </c>
      <c r="I2981" s="439" t="s">
        <v>726</v>
      </c>
      <c r="J2981" s="431" t="s">
        <v>760</v>
      </c>
      <c r="K2981" s="71" t="s">
        <v>2245</v>
      </c>
      <c r="L2981" s="467">
        <v>40425</v>
      </c>
      <c r="M2981" s="468" t="s">
        <v>729</v>
      </c>
      <c r="N2981" s="469">
        <v>40435</v>
      </c>
      <c r="O2981" s="470">
        <f t="shared" si="682"/>
        <v>40435</v>
      </c>
      <c r="P2981" s="2809"/>
      <c r="Q2981" s="2983">
        <v>94.63</v>
      </c>
      <c r="R2981" s="471"/>
      <c r="S2981" s="1973" t="s">
        <v>731</v>
      </c>
      <c r="T2981" s="472"/>
      <c r="U2981" s="1901"/>
      <c r="V2981" s="2079">
        <f t="shared" si="687"/>
        <v>111.6634</v>
      </c>
      <c r="W2981" s="78">
        <f t="shared" si="688"/>
        <v>0</v>
      </c>
      <c r="X2981" s="1885" t="str">
        <f t="shared" si="686"/>
        <v xml:space="preserve">15.- C Goodyear 002032003-OT_138477  Reencauche  </v>
      </c>
      <c r="Y2981" s="473"/>
      <c r="Z2981" s="474" t="str">
        <f t="shared" si="681"/>
        <v>ReencaucheReencauchadora RENOVA</v>
      </c>
      <c r="AA2981" s="463"/>
      <c r="AB2981" s="463"/>
      <c r="AC2981" s="463"/>
    </row>
    <row r="2982" spans="1:29" ht="14.25" outlineLevel="1">
      <c r="A2982" s="463"/>
      <c r="B2982" s="3252"/>
      <c r="C2982" s="2">
        <f t="shared" si="684"/>
        <v>260</v>
      </c>
      <c r="D2982" s="3">
        <f t="shared" si="685"/>
        <v>4</v>
      </c>
      <c r="E2982" s="66">
        <v>16</v>
      </c>
      <c r="F2982" s="67" t="s">
        <v>732</v>
      </c>
      <c r="G2982" s="439" t="s">
        <v>757</v>
      </c>
      <c r="H2982" s="464" t="s">
        <v>2247</v>
      </c>
      <c r="I2982" s="439" t="s">
        <v>726</v>
      </c>
      <c r="J2982" s="431" t="s">
        <v>760</v>
      </c>
      <c r="K2982" s="71" t="s">
        <v>2245</v>
      </c>
      <c r="L2982" s="467">
        <v>40425</v>
      </c>
      <c r="M2982" s="468" t="s">
        <v>729</v>
      </c>
      <c r="N2982" s="469">
        <v>40435</v>
      </c>
      <c r="O2982" s="470">
        <f t="shared" si="682"/>
        <v>40435</v>
      </c>
      <c r="P2982" s="2809"/>
      <c r="Q2982" s="2983">
        <v>94.63</v>
      </c>
      <c r="R2982" s="471"/>
      <c r="S2982" s="1973" t="s">
        <v>731</v>
      </c>
      <c r="T2982" s="472"/>
      <c r="U2982" s="1901"/>
      <c r="V2982" s="2079">
        <f t="shared" si="687"/>
        <v>111.6634</v>
      </c>
      <c r="W2982" s="78">
        <f t="shared" si="688"/>
        <v>0</v>
      </c>
      <c r="X2982" s="1885" t="str">
        <f t="shared" si="686"/>
        <v xml:space="preserve">16.- C Goodyear 0050102-OT_138477  Reencauche  </v>
      </c>
      <c r="Y2982" s="473"/>
      <c r="Z2982" s="474" t="str">
        <f t="shared" si="681"/>
        <v>ReencaucheReencauchadora RENOVA</v>
      </c>
      <c r="AA2982" s="463"/>
      <c r="AB2982" s="463"/>
      <c r="AC2982" s="463"/>
    </row>
    <row r="2983" spans="1:29" ht="14.25">
      <c r="A2983" s="463"/>
      <c r="B2983" s="3252"/>
      <c r="C2983" s="2">
        <f t="shared" si="684"/>
        <v>259</v>
      </c>
      <c r="D2983" s="3">
        <f t="shared" si="685"/>
        <v>3</v>
      </c>
      <c r="E2983" s="66">
        <v>17</v>
      </c>
      <c r="F2983" s="67" t="s">
        <v>732</v>
      </c>
      <c r="G2983" s="439" t="s">
        <v>733</v>
      </c>
      <c r="H2983" s="464" t="s">
        <v>1971</v>
      </c>
      <c r="I2983" s="439" t="s">
        <v>726</v>
      </c>
      <c r="J2983" s="431" t="s">
        <v>760</v>
      </c>
      <c r="K2983" s="71" t="s">
        <v>2245</v>
      </c>
      <c r="L2983" s="467">
        <v>40425</v>
      </c>
      <c r="M2983" s="468" t="s">
        <v>729</v>
      </c>
      <c r="N2983" s="469">
        <v>40435</v>
      </c>
      <c r="O2983" s="470">
        <f t="shared" si="682"/>
        <v>40435</v>
      </c>
      <c r="P2983" s="2809"/>
      <c r="Q2983" s="2983">
        <v>94.63</v>
      </c>
      <c r="R2983" s="471"/>
      <c r="S2983" s="1973" t="s">
        <v>731</v>
      </c>
      <c r="T2983" s="472"/>
      <c r="U2983" s="1901"/>
      <c r="V2983" s="2079">
        <f t="shared" si="687"/>
        <v>111.6634</v>
      </c>
      <c r="W2983" s="78">
        <f t="shared" si="688"/>
        <v>0</v>
      </c>
      <c r="X2983" s="1885" t="str">
        <f t="shared" si="686"/>
        <v xml:space="preserve">17.- C Lima Caucho 0230207-OT_138477  Reencauche  </v>
      </c>
      <c r="Y2983" s="473"/>
      <c r="Z2983" s="474"/>
      <c r="AA2983" s="463"/>
      <c r="AB2983" s="463"/>
      <c r="AC2983" s="463"/>
    </row>
    <row r="2984" spans="1:29" ht="14.25" outlineLevel="1">
      <c r="A2984" s="463"/>
      <c r="B2984" s="3252"/>
      <c r="C2984" s="2">
        <f t="shared" si="684"/>
        <v>258</v>
      </c>
      <c r="D2984" s="3">
        <f t="shared" si="685"/>
        <v>2</v>
      </c>
      <c r="E2984" s="66">
        <v>18</v>
      </c>
      <c r="F2984" s="67" t="s">
        <v>732</v>
      </c>
      <c r="G2984" s="439" t="s">
        <v>733</v>
      </c>
      <c r="H2984" s="464" t="s">
        <v>1150</v>
      </c>
      <c r="I2984" s="439" t="s">
        <v>726</v>
      </c>
      <c r="J2984" s="431" t="s">
        <v>760</v>
      </c>
      <c r="K2984" s="71" t="s">
        <v>2245</v>
      </c>
      <c r="L2984" s="467">
        <v>40425</v>
      </c>
      <c r="M2984" s="468" t="s">
        <v>729</v>
      </c>
      <c r="N2984" s="469">
        <v>40435</v>
      </c>
      <c r="O2984" s="470">
        <f t="shared" si="682"/>
        <v>40435</v>
      </c>
      <c r="P2984" s="2809"/>
      <c r="Q2984" s="2983">
        <v>94.63</v>
      </c>
      <c r="R2984" s="471"/>
      <c r="S2984" s="1973" t="s">
        <v>731</v>
      </c>
      <c r="T2984" s="472"/>
      <c r="U2984" s="1901"/>
      <c r="V2984" s="2079">
        <f t="shared" si="687"/>
        <v>111.6634</v>
      </c>
      <c r="W2984" s="78">
        <f t="shared" si="688"/>
        <v>0</v>
      </c>
      <c r="X2984" s="1885" t="str">
        <f t="shared" si="686"/>
        <v xml:space="preserve">18.- C Lima Caucho 0590807-OT_138477  Reencauche  </v>
      </c>
      <c r="Y2984" s="473"/>
      <c r="Z2984" s="474" t="str">
        <f t="shared" ref="Z2984:Z3022" si="689">CONCATENATE(I2987,J2987)</f>
        <v>ReencaucheAMC Llantas</v>
      </c>
      <c r="AA2984" s="463"/>
      <c r="AB2984" s="463"/>
      <c r="AC2984" s="463"/>
    </row>
    <row r="2985" spans="1:29" outlineLevel="1" thickBot="1">
      <c r="A2985" s="463"/>
      <c r="B2985" s="3253"/>
      <c r="C2985" s="420">
        <f>1+C2987</f>
        <v>257</v>
      </c>
      <c r="D2985" s="421">
        <v>1</v>
      </c>
      <c r="E2985" s="307">
        <v>19</v>
      </c>
      <c r="F2985" s="328" t="s">
        <v>732</v>
      </c>
      <c r="G2985" s="490" t="s">
        <v>733</v>
      </c>
      <c r="H2985" s="491" t="s">
        <v>2248</v>
      </c>
      <c r="I2985" s="490" t="s">
        <v>726</v>
      </c>
      <c r="J2985" s="563" t="s">
        <v>760</v>
      </c>
      <c r="K2985" s="333" t="s">
        <v>2245</v>
      </c>
      <c r="L2985" s="493">
        <v>40425</v>
      </c>
      <c r="M2985" s="494" t="s">
        <v>729</v>
      </c>
      <c r="N2985" s="495">
        <v>40435</v>
      </c>
      <c r="O2985" s="496">
        <f t="shared" si="682"/>
        <v>40435</v>
      </c>
      <c r="P2985" s="2812"/>
      <c r="Q2985" s="2986">
        <v>94.63</v>
      </c>
      <c r="R2985" s="497"/>
      <c r="S2985" s="1976" t="s">
        <v>731</v>
      </c>
      <c r="T2985" s="472"/>
      <c r="U2985" s="1901"/>
      <c r="V2985" s="2079">
        <f t="shared" si="687"/>
        <v>111.6634</v>
      </c>
      <c r="W2985" s="78">
        <f t="shared" si="688"/>
        <v>0</v>
      </c>
      <c r="X2985" s="1885" t="str">
        <f t="shared" si="686"/>
        <v xml:space="preserve">19.- C Lima Caucho 0140207-OT_138477  Reencauche  </v>
      </c>
      <c r="Y2985" s="473"/>
      <c r="Z2985" s="474" t="str">
        <f t="shared" si="689"/>
        <v>ReencaucheAMC Llantas</v>
      </c>
      <c r="AA2985" s="463"/>
      <c r="AB2985" s="463"/>
      <c r="AC2985" s="463"/>
    </row>
    <row r="2986" spans="1:29" ht="15.75" outlineLevel="1" thickBot="1">
      <c r="A2986" s="463"/>
      <c r="B2986" s="1">
        <f>+B2987</f>
        <v>40391</v>
      </c>
      <c r="C2986" s="1"/>
      <c r="D2986" s="173">
        <f>+D2987</f>
        <v>32</v>
      </c>
      <c r="E2986" s="66"/>
      <c r="F2986" s="67"/>
      <c r="G2986" s="439"/>
      <c r="H2986" s="464"/>
      <c r="I2986" s="439"/>
      <c r="J2986" s="431"/>
      <c r="K2986" s="71"/>
      <c r="L2986" s="467"/>
      <c r="M2986" s="468"/>
      <c r="N2986" s="469"/>
      <c r="O2986" s="470"/>
      <c r="P2986" s="2809"/>
      <c r="Q2986" s="2983"/>
      <c r="R2986" s="471"/>
      <c r="S2986" s="1973"/>
      <c r="T2986" s="472"/>
      <c r="U2986" s="1901"/>
      <c r="V2986" s="2079">
        <f t="shared" si="687"/>
        <v>0</v>
      </c>
      <c r="W2986" s="78">
        <f t="shared" si="688"/>
        <v>0</v>
      </c>
      <c r="X2986" s="1885" t="str">
        <f t="shared" si="686"/>
        <v xml:space="preserve">.-   -OT_    </v>
      </c>
      <c r="Y2986" s="473"/>
      <c r="Z2986" s="474" t="str">
        <f t="shared" si="689"/>
        <v>ReencaucheAMC Llantas</v>
      </c>
      <c r="AA2986" s="463"/>
      <c r="AB2986" s="463"/>
      <c r="AC2986" s="463"/>
    </row>
    <row r="2987" spans="1:29" outlineLevel="1">
      <c r="A2987" s="463"/>
      <c r="B2987" s="3251">
        <v>40391</v>
      </c>
      <c r="C2987" s="2">
        <f t="shared" ref="C2987:D2992" si="690">1+C2988</f>
        <v>256</v>
      </c>
      <c r="D2987" s="306">
        <f t="shared" si="690"/>
        <v>32</v>
      </c>
      <c r="E2987" s="66">
        <v>1</v>
      </c>
      <c r="F2987" s="67" t="s">
        <v>732</v>
      </c>
      <c r="G2987" s="439" t="s">
        <v>733</v>
      </c>
      <c r="H2987" s="464" t="s">
        <v>1309</v>
      </c>
      <c r="I2987" s="439" t="s">
        <v>726</v>
      </c>
      <c r="J2987" s="431" t="s">
        <v>1961</v>
      </c>
      <c r="K2987" s="71" t="s">
        <v>2249</v>
      </c>
      <c r="L2987" s="467">
        <v>40413</v>
      </c>
      <c r="M2987" s="468" t="s">
        <v>729</v>
      </c>
      <c r="N2987" s="469">
        <v>40418</v>
      </c>
      <c r="O2987" s="470">
        <f t="shared" ref="O2987:O3025" si="691">+N2987</f>
        <v>40418</v>
      </c>
      <c r="P2987" s="2809"/>
      <c r="Q2987" s="2983"/>
      <c r="R2987" s="471">
        <f t="shared" ref="R2987:R2993" si="692">310/(1.19)</f>
        <v>260.50420168067228</v>
      </c>
      <c r="S2987" s="1973" t="s">
        <v>731</v>
      </c>
      <c r="T2987" s="472"/>
      <c r="U2987" s="1901"/>
      <c r="V2987" s="2079">
        <f t="shared" si="687"/>
        <v>0</v>
      </c>
      <c r="W2987" s="78">
        <f t="shared" si="688"/>
        <v>307.39495798319325</v>
      </c>
      <c r="X2987" s="1885" t="str">
        <f t="shared" si="686"/>
        <v xml:space="preserve">1.- C Lima Caucho 1061106-OT_000461  Reencauche  </v>
      </c>
      <c r="Y2987" s="473"/>
      <c r="Z2987" s="474" t="str">
        <f t="shared" si="689"/>
        <v>ReencaucheAMC Llantas</v>
      </c>
      <c r="AA2987" s="463"/>
      <c r="AB2987" s="463"/>
      <c r="AC2987" s="463"/>
    </row>
    <row r="2988" spans="1:29" ht="14.25" outlineLevel="1">
      <c r="A2988" s="463"/>
      <c r="B2988" s="3252"/>
      <c r="C2988" s="2">
        <f t="shared" si="690"/>
        <v>255</v>
      </c>
      <c r="D2988" s="3">
        <f t="shared" si="690"/>
        <v>31</v>
      </c>
      <c r="E2988" s="66">
        <v>2</v>
      </c>
      <c r="F2988" s="67" t="s">
        <v>732</v>
      </c>
      <c r="G2988" s="439" t="s">
        <v>733</v>
      </c>
      <c r="H2988" s="464" t="s">
        <v>993</v>
      </c>
      <c r="I2988" s="439" t="s">
        <v>726</v>
      </c>
      <c r="J2988" s="431" t="s">
        <v>1961</v>
      </c>
      <c r="K2988" s="71" t="s">
        <v>2249</v>
      </c>
      <c r="L2988" s="467">
        <v>40413</v>
      </c>
      <c r="M2988" s="468" t="s">
        <v>729</v>
      </c>
      <c r="N2988" s="469">
        <v>40418</v>
      </c>
      <c r="O2988" s="470">
        <f t="shared" si="691"/>
        <v>40418</v>
      </c>
      <c r="P2988" s="2809"/>
      <c r="Q2988" s="2983"/>
      <c r="R2988" s="471">
        <f t="shared" si="692"/>
        <v>260.50420168067228</v>
      </c>
      <c r="S2988" s="1973" t="s">
        <v>731</v>
      </c>
      <c r="T2988" s="472"/>
      <c r="U2988" s="1901"/>
      <c r="V2988" s="2079">
        <f t="shared" si="687"/>
        <v>0</v>
      </c>
      <c r="W2988" s="78">
        <f t="shared" si="688"/>
        <v>307.39495798319325</v>
      </c>
      <c r="X2988" s="1885" t="str">
        <f t="shared" si="686"/>
        <v xml:space="preserve">2.- C Lima Caucho 0260508-OT_000461  Reencauche  </v>
      </c>
      <c r="Y2988" s="473"/>
      <c r="Z2988" s="474" t="str">
        <f t="shared" si="689"/>
        <v>ReencaucheAMC Llantas</v>
      </c>
      <c r="AA2988" s="463"/>
      <c r="AB2988" s="463"/>
      <c r="AC2988" s="463"/>
    </row>
    <row r="2989" spans="1:29" ht="14.25" outlineLevel="1">
      <c r="A2989" s="463"/>
      <c r="B2989" s="3252"/>
      <c r="C2989" s="2">
        <f t="shared" si="690"/>
        <v>254</v>
      </c>
      <c r="D2989" s="3">
        <f t="shared" si="690"/>
        <v>30</v>
      </c>
      <c r="E2989" s="66">
        <v>3</v>
      </c>
      <c r="F2989" s="67" t="s">
        <v>732</v>
      </c>
      <c r="G2989" s="439" t="s">
        <v>733</v>
      </c>
      <c r="H2989" s="464" t="s">
        <v>741</v>
      </c>
      <c r="I2989" s="439" t="s">
        <v>726</v>
      </c>
      <c r="J2989" s="431" t="s">
        <v>1961</v>
      </c>
      <c r="K2989" s="71" t="s">
        <v>2249</v>
      </c>
      <c r="L2989" s="467">
        <v>40413</v>
      </c>
      <c r="M2989" s="468" t="s">
        <v>729</v>
      </c>
      <c r="N2989" s="469">
        <v>40418</v>
      </c>
      <c r="O2989" s="470">
        <f t="shared" si="691"/>
        <v>40418</v>
      </c>
      <c r="P2989" s="2809"/>
      <c r="Q2989" s="2983"/>
      <c r="R2989" s="471">
        <f t="shared" si="692"/>
        <v>260.50420168067228</v>
      </c>
      <c r="S2989" s="1973" t="s">
        <v>731</v>
      </c>
      <c r="T2989" s="472"/>
      <c r="U2989" s="1901"/>
      <c r="V2989" s="2079">
        <f t="shared" si="687"/>
        <v>0</v>
      </c>
      <c r="W2989" s="78">
        <f t="shared" si="688"/>
        <v>307.39495798319325</v>
      </c>
      <c r="X2989" s="1885" t="str">
        <f t="shared" si="686"/>
        <v xml:space="preserve">3.- C Lima Caucho 0560708-OT_000461  Reencauche  </v>
      </c>
      <c r="Y2989" s="473"/>
      <c r="Z2989" s="474" t="str">
        <f t="shared" si="689"/>
        <v>ReencaucheAMC Llantas</v>
      </c>
      <c r="AA2989" s="463"/>
      <c r="AB2989" s="463"/>
      <c r="AC2989" s="463"/>
    </row>
    <row r="2990" spans="1:29" ht="14.25" outlineLevel="1">
      <c r="A2990" s="463"/>
      <c r="B2990" s="3252"/>
      <c r="C2990" s="2">
        <f t="shared" si="690"/>
        <v>253</v>
      </c>
      <c r="D2990" s="3">
        <f t="shared" si="690"/>
        <v>29</v>
      </c>
      <c r="E2990" s="66">
        <v>4</v>
      </c>
      <c r="F2990" s="67" t="s">
        <v>732</v>
      </c>
      <c r="G2990" s="439" t="s">
        <v>733</v>
      </c>
      <c r="H2990" s="464" t="s">
        <v>2250</v>
      </c>
      <c r="I2990" s="439" t="s">
        <v>726</v>
      </c>
      <c r="J2990" s="431" t="s">
        <v>1961</v>
      </c>
      <c r="K2990" s="71" t="s">
        <v>2249</v>
      </c>
      <c r="L2990" s="467">
        <v>40413</v>
      </c>
      <c r="M2990" s="468" t="s">
        <v>729</v>
      </c>
      <c r="N2990" s="469">
        <v>40418</v>
      </c>
      <c r="O2990" s="470">
        <f t="shared" si="691"/>
        <v>40418</v>
      </c>
      <c r="P2990" s="2809"/>
      <c r="Q2990" s="2983"/>
      <c r="R2990" s="471">
        <f t="shared" si="692"/>
        <v>260.50420168067228</v>
      </c>
      <c r="S2990" s="1973" t="s">
        <v>731</v>
      </c>
      <c r="T2990" s="472"/>
      <c r="U2990" s="1901"/>
      <c r="V2990" s="2079">
        <f t="shared" si="687"/>
        <v>0</v>
      </c>
      <c r="W2990" s="78">
        <f t="shared" si="688"/>
        <v>307.39495798319325</v>
      </c>
      <c r="X2990" s="1885" t="str">
        <f t="shared" si="686"/>
        <v xml:space="preserve">4.- C Lima Caucho 1401207-OT_000461  Reencauche  </v>
      </c>
      <c r="Y2990" s="473"/>
      <c r="Z2990" s="474" t="str">
        <f t="shared" si="689"/>
        <v>ReencaucheAMC Llantas</v>
      </c>
      <c r="AA2990" s="463"/>
      <c r="AB2990" s="463"/>
      <c r="AC2990" s="463"/>
    </row>
    <row r="2991" spans="1:29" ht="14.25" outlineLevel="1">
      <c r="A2991" s="463"/>
      <c r="B2991" s="3252"/>
      <c r="C2991" s="2">
        <f t="shared" si="690"/>
        <v>252</v>
      </c>
      <c r="D2991" s="3">
        <f t="shared" si="690"/>
        <v>28</v>
      </c>
      <c r="E2991" s="66">
        <v>5</v>
      </c>
      <c r="F2991" s="67" t="s">
        <v>732</v>
      </c>
      <c r="G2991" s="439" t="s">
        <v>733</v>
      </c>
      <c r="H2991" s="464" t="s">
        <v>986</v>
      </c>
      <c r="I2991" s="439" t="s">
        <v>726</v>
      </c>
      <c r="J2991" s="431" t="s">
        <v>1961</v>
      </c>
      <c r="K2991" s="71" t="s">
        <v>2249</v>
      </c>
      <c r="L2991" s="467">
        <v>40413</v>
      </c>
      <c r="M2991" s="468" t="s">
        <v>729</v>
      </c>
      <c r="N2991" s="469">
        <v>40418</v>
      </c>
      <c r="O2991" s="470">
        <f t="shared" si="691"/>
        <v>40418</v>
      </c>
      <c r="P2991" s="2809"/>
      <c r="Q2991" s="2983"/>
      <c r="R2991" s="471">
        <f t="shared" si="692"/>
        <v>260.50420168067228</v>
      </c>
      <c r="S2991" s="1973" t="s">
        <v>731</v>
      </c>
      <c r="T2991" s="472"/>
      <c r="U2991" s="1901"/>
      <c r="V2991" s="2079">
        <f t="shared" si="687"/>
        <v>0</v>
      </c>
      <c r="W2991" s="78">
        <f t="shared" si="688"/>
        <v>307.39495798319325</v>
      </c>
      <c r="X2991" s="1885" t="str">
        <f t="shared" si="686"/>
        <v xml:space="preserve">5.- C Lima Caucho 1181107-OT_000461  Reencauche  </v>
      </c>
      <c r="Y2991" s="473"/>
      <c r="Z2991" s="474" t="str">
        <f t="shared" si="689"/>
        <v>AMC Llantas</v>
      </c>
      <c r="AA2991" s="463"/>
      <c r="AB2991" s="463"/>
      <c r="AC2991" s="463"/>
    </row>
    <row r="2992" spans="1:29" ht="14.25" outlineLevel="1">
      <c r="A2992" s="463"/>
      <c r="B2992" s="3252"/>
      <c r="C2992" s="2">
        <f t="shared" si="690"/>
        <v>251</v>
      </c>
      <c r="D2992" s="3">
        <f t="shared" si="690"/>
        <v>27</v>
      </c>
      <c r="E2992" s="66">
        <v>6</v>
      </c>
      <c r="F2992" s="67" t="s">
        <v>732</v>
      </c>
      <c r="G2992" s="439" t="s">
        <v>733</v>
      </c>
      <c r="H2992" s="464" t="s">
        <v>2251</v>
      </c>
      <c r="I2992" s="439" t="s">
        <v>726</v>
      </c>
      <c r="J2992" s="431" t="s">
        <v>1961</v>
      </c>
      <c r="K2992" s="71" t="s">
        <v>2249</v>
      </c>
      <c r="L2992" s="467">
        <v>40413</v>
      </c>
      <c r="M2992" s="468" t="s">
        <v>729</v>
      </c>
      <c r="N2992" s="469">
        <v>40418</v>
      </c>
      <c r="O2992" s="470">
        <f t="shared" si="691"/>
        <v>40418</v>
      </c>
      <c r="P2992" s="2809"/>
      <c r="Q2992" s="2983"/>
      <c r="R2992" s="471">
        <f t="shared" si="692"/>
        <v>260.50420168067228</v>
      </c>
      <c r="S2992" s="1973" t="s">
        <v>731</v>
      </c>
      <c r="T2992" s="472"/>
      <c r="U2992" s="1901"/>
      <c r="V2992" s="2079">
        <f t="shared" si="687"/>
        <v>0</v>
      </c>
      <c r="W2992" s="78">
        <f t="shared" si="688"/>
        <v>307.39495798319325</v>
      </c>
      <c r="X2992" s="1885" t="str">
        <f t="shared" si="686"/>
        <v xml:space="preserve">6.- C Lima Caucho 0910908-OT_000461  Reencauche  </v>
      </c>
      <c r="Y2992" s="473"/>
      <c r="Z2992" s="474" t="str">
        <f t="shared" si="689"/>
        <v>ReencaucheAMC Llantas</v>
      </c>
      <c r="AA2992" s="463"/>
      <c r="AB2992" s="463"/>
      <c r="AC2992" s="463"/>
    </row>
    <row r="2993" spans="1:29" ht="14.25" outlineLevel="1">
      <c r="A2993" s="463"/>
      <c r="B2993" s="3252"/>
      <c r="C2993" s="2">
        <f>1+C2995</f>
        <v>250</v>
      </c>
      <c r="D2993" s="3">
        <f>1+D2995</f>
        <v>26</v>
      </c>
      <c r="E2993" s="66">
        <v>7</v>
      </c>
      <c r="F2993" s="67" t="s">
        <v>732</v>
      </c>
      <c r="G2993" s="439" t="s">
        <v>757</v>
      </c>
      <c r="H2993" s="464" t="s">
        <v>1667</v>
      </c>
      <c r="I2993" s="439" t="s">
        <v>726</v>
      </c>
      <c r="J2993" s="431" t="s">
        <v>1961</v>
      </c>
      <c r="K2993" s="71" t="s">
        <v>2249</v>
      </c>
      <c r="L2993" s="467">
        <v>40413</v>
      </c>
      <c r="M2993" s="468" t="s">
        <v>729</v>
      </c>
      <c r="N2993" s="469">
        <v>40418</v>
      </c>
      <c r="O2993" s="470">
        <f t="shared" si="691"/>
        <v>40418</v>
      </c>
      <c r="P2993" s="2809"/>
      <c r="Q2993" s="2983"/>
      <c r="R2993" s="471">
        <f t="shared" si="692"/>
        <v>260.50420168067228</v>
      </c>
      <c r="S2993" s="1973" t="s">
        <v>731</v>
      </c>
      <c r="T2993" s="472"/>
      <c r="U2993" s="1901"/>
      <c r="V2993" s="2079">
        <f t="shared" si="687"/>
        <v>0</v>
      </c>
      <c r="W2993" s="78">
        <f t="shared" si="688"/>
        <v>307.39495798319325</v>
      </c>
      <c r="X2993" s="1885" t="str">
        <f t="shared" si="686"/>
        <v xml:space="preserve">7.- C Goodyear 022072003-OT_000461  Reencauche  </v>
      </c>
      <c r="Y2993" s="473"/>
      <c r="Z2993" s="474" t="str">
        <f t="shared" si="689"/>
        <v>ReencaucheAMC Llantas</v>
      </c>
      <c r="AA2993" s="463"/>
      <c r="AB2993" s="463"/>
      <c r="AC2993" s="463"/>
    </row>
    <row r="2994" spans="1:29" ht="14.25" outlineLevel="1">
      <c r="A2994" s="463"/>
      <c r="B2994" s="3252"/>
      <c r="E2994" s="66">
        <v>8</v>
      </c>
      <c r="F2994" s="67" t="s">
        <v>732</v>
      </c>
      <c r="G2994" s="483" t="s">
        <v>831</v>
      </c>
      <c r="H2994" s="484" t="s">
        <v>1573</v>
      </c>
      <c r="I2994" s="483"/>
      <c r="J2994" s="407" t="s">
        <v>1961</v>
      </c>
      <c r="K2994" s="292" t="s">
        <v>2249</v>
      </c>
      <c r="L2994" s="485">
        <v>40413</v>
      </c>
      <c r="M2994" s="486" t="s">
        <v>1815</v>
      </c>
      <c r="N2994" s="487">
        <v>40418</v>
      </c>
      <c r="O2994" s="488">
        <f t="shared" si="691"/>
        <v>40418</v>
      </c>
      <c r="P2994" s="2811"/>
      <c r="Q2994" s="2985"/>
      <c r="R2994" s="489">
        <v>0</v>
      </c>
      <c r="S2994" s="1975" t="s">
        <v>731</v>
      </c>
      <c r="T2994" s="274" t="s">
        <v>1617</v>
      </c>
      <c r="U2994" s="1895"/>
      <c r="V2994" s="2079">
        <f t="shared" si="687"/>
        <v>0</v>
      </c>
      <c r="W2994" s="78">
        <f t="shared" si="688"/>
        <v>0</v>
      </c>
      <c r="X2994" s="1885" t="str">
        <f t="shared" si="686"/>
        <v>8.- C Kumho 0560305-OT_000461     Llanta Rechazada, no se facturo</v>
      </c>
      <c r="Y2994" s="473"/>
      <c r="Z2994" s="474" t="str">
        <f t="shared" si="689"/>
        <v>Fab_ProtectorReencauchadora Espinoza</v>
      </c>
      <c r="AA2994" s="463"/>
      <c r="AB2994" s="463"/>
      <c r="AC2994" s="463"/>
    </row>
    <row r="2995" spans="1:29" ht="14.25" outlineLevel="1">
      <c r="A2995" s="463"/>
      <c r="B2995" s="3252"/>
      <c r="C2995" s="2">
        <f>1+C2996</f>
        <v>249</v>
      </c>
      <c r="D2995" s="3">
        <f>1+D2996</f>
        <v>25</v>
      </c>
      <c r="E2995" s="66">
        <v>9</v>
      </c>
      <c r="F2995" s="67" t="s">
        <v>732</v>
      </c>
      <c r="G2995" s="439" t="s">
        <v>733</v>
      </c>
      <c r="H2995" s="464" t="s">
        <v>1777</v>
      </c>
      <c r="I2995" s="439" t="s">
        <v>726</v>
      </c>
      <c r="J2995" s="431" t="s">
        <v>1961</v>
      </c>
      <c r="K2995" s="71" t="s">
        <v>2249</v>
      </c>
      <c r="L2995" s="467">
        <v>40413</v>
      </c>
      <c r="M2995" s="468" t="s">
        <v>729</v>
      </c>
      <c r="N2995" s="469">
        <v>40418</v>
      </c>
      <c r="O2995" s="470">
        <f t="shared" si="691"/>
        <v>40418</v>
      </c>
      <c r="P2995" s="2809"/>
      <c r="Q2995" s="2983"/>
      <c r="R2995" s="471">
        <f>310/(1.19)</f>
        <v>260.50420168067228</v>
      </c>
      <c r="S2995" s="1973" t="s">
        <v>731</v>
      </c>
      <c r="T2995" s="472"/>
      <c r="U2995" s="1901"/>
      <c r="V2995" s="2079">
        <f t="shared" si="687"/>
        <v>0</v>
      </c>
      <c r="W2995" s="78">
        <f t="shared" si="688"/>
        <v>307.39495798319325</v>
      </c>
      <c r="X2995" s="1885" t="str">
        <f t="shared" si="686"/>
        <v xml:space="preserve">9.- C Lima Caucho 0530708-OT_000461  Reencauche  </v>
      </c>
      <c r="Y2995" s="473"/>
      <c r="Z2995" s="474" t="str">
        <f t="shared" si="689"/>
        <v>Sacar_BandaReencauchadora Espinoza</v>
      </c>
      <c r="AA2995" s="463"/>
      <c r="AB2995" s="463"/>
      <c r="AC2995" s="463"/>
    </row>
    <row r="2996" spans="1:29" ht="14.25" outlineLevel="1">
      <c r="A2996" s="463"/>
      <c r="B2996" s="3252"/>
      <c r="C2996" s="2">
        <f>1+C3000</f>
        <v>248</v>
      </c>
      <c r="D2996" s="3">
        <f>1+D3000</f>
        <v>24</v>
      </c>
      <c r="E2996" s="79">
        <v>10</v>
      </c>
      <c r="F2996" s="80" t="s">
        <v>732</v>
      </c>
      <c r="G2996" s="518" t="s">
        <v>733</v>
      </c>
      <c r="H2996" s="519" t="s">
        <v>1461</v>
      </c>
      <c r="I2996" s="518" t="s">
        <v>726</v>
      </c>
      <c r="J2996" s="444" t="s">
        <v>1961</v>
      </c>
      <c r="K2996" s="84" t="s">
        <v>2249</v>
      </c>
      <c r="L2996" s="521">
        <v>40413</v>
      </c>
      <c r="M2996" s="522" t="s">
        <v>729</v>
      </c>
      <c r="N2996" s="480">
        <v>40418</v>
      </c>
      <c r="O2996" s="481">
        <f t="shared" si="691"/>
        <v>40418</v>
      </c>
      <c r="P2996" s="2816"/>
      <c r="Q2996" s="2984"/>
      <c r="R2996" s="523">
        <f>310/(1.19)</f>
        <v>260.50420168067228</v>
      </c>
      <c r="S2996" s="1980" t="s">
        <v>731</v>
      </c>
      <c r="T2996" s="472"/>
      <c r="U2996" s="1901"/>
      <c r="V2996" s="2079">
        <f t="shared" si="687"/>
        <v>0</v>
      </c>
      <c r="W2996" s="78">
        <f t="shared" si="688"/>
        <v>307.39495798319325</v>
      </c>
      <c r="X2996" s="1885" t="str">
        <f t="shared" si="686"/>
        <v xml:space="preserve">10.- C Lima Caucho 0420707-OT_000461  Reencauche  </v>
      </c>
      <c r="Y2996" s="473"/>
      <c r="Z2996" s="474" t="str">
        <f t="shared" si="689"/>
        <v>Sacar_BandaReencauchadora Espinoza</v>
      </c>
      <c r="AA2996" s="463"/>
      <c r="AB2996" s="463"/>
      <c r="AC2996" s="463" t="s">
        <v>2260</v>
      </c>
    </row>
    <row r="2997" spans="1:29" ht="14.25" outlineLevel="1">
      <c r="A2997" s="463"/>
      <c r="B2997" s="3252"/>
      <c r="E2997" s="66">
        <v>1</v>
      </c>
      <c r="F2997" s="67" t="s">
        <v>732</v>
      </c>
      <c r="G2997" s="439" t="s">
        <v>1108</v>
      </c>
      <c r="H2997" s="464" t="s">
        <v>2252</v>
      </c>
      <c r="I2997" s="439" t="s">
        <v>2253</v>
      </c>
      <c r="J2997" s="429" t="s">
        <v>1543</v>
      </c>
      <c r="K2997" s="71" t="s">
        <v>2254</v>
      </c>
      <c r="L2997" s="467">
        <v>40406</v>
      </c>
      <c r="M2997" s="468" t="s">
        <v>729</v>
      </c>
      <c r="N2997" s="469">
        <v>40417</v>
      </c>
      <c r="O2997" s="470">
        <f t="shared" si="691"/>
        <v>40417</v>
      </c>
      <c r="P2997" s="2809"/>
      <c r="Q2997" s="2983"/>
      <c r="R2997" s="471">
        <f>15/(1.19)</f>
        <v>12.605042016806724</v>
      </c>
      <c r="S2997" s="1973" t="s">
        <v>731</v>
      </c>
      <c r="T2997" s="460" t="s">
        <v>2255</v>
      </c>
      <c r="U2997" s="1900"/>
      <c r="V2997" s="2079">
        <f t="shared" si="687"/>
        <v>0</v>
      </c>
      <c r="W2997" s="78">
        <f t="shared" si="688"/>
        <v>14.873949579831933</v>
      </c>
      <c r="X2997" s="1885" t="str">
        <f t="shared" si="686"/>
        <v>1.- C Hankook 0340305-OT_000063  Fab_Protector  Casco dañado-soplado, banda 02Mm, desechada antiguo</v>
      </c>
      <c r="Y2997" s="473"/>
      <c r="Z2997" s="474" t="str">
        <f t="shared" si="689"/>
        <v>ReencaucheReencauchadora Espinoza</v>
      </c>
      <c r="AA2997" s="463"/>
      <c r="AB2997" s="463"/>
      <c r="AC2997" s="463"/>
    </row>
    <row r="2998" spans="1:29" ht="14.25" outlineLevel="1">
      <c r="A2998" s="463"/>
      <c r="B2998" s="3252"/>
      <c r="E2998" s="66">
        <v>2</v>
      </c>
      <c r="F2998" s="67" t="s">
        <v>732</v>
      </c>
      <c r="G2998" s="498" t="s">
        <v>733</v>
      </c>
      <c r="H2998" s="499" t="s">
        <v>2256</v>
      </c>
      <c r="I2998" s="498" t="s">
        <v>744</v>
      </c>
      <c r="J2998" s="441" t="s">
        <v>1543</v>
      </c>
      <c r="K2998" s="243" t="s">
        <v>2254</v>
      </c>
      <c r="L2998" s="500">
        <v>40406</v>
      </c>
      <c r="M2998" s="501" t="s">
        <v>729</v>
      </c>
      <c r="N2998" s="469">
        <v>40417</v>
      </c>
      <c r="O2998" s="470">
        <f t="shared" si="691"/>
        <v>40417</v>
      </c>
      <c r="P2998" s="2813"/>
      <c r="Q2998" s="2983"/>
      <c r="R2998" s="502">
        <v>0</v>
      </c>
      <c r="S2998" s="1977" t="s">
        <v>731</v>
      </c>
      <c r="T2998" s="460" t="s">
        <v>2257</v>
      </c>
      <c r="U2998" s="1900"/>
      <c r="V2998" s="2079">
        <f t="shared" si="687"/>
        <v>0</v>
      </c>
      <c r="W2998" s="78">
        <f t="shared" si="688"/>
        <v>0</v>
      </c>
      <c r="X2998" s="1885" t="str">
        <f t="shared" si="686"/>
        <v>2.- C Lima Caucho 0640808-OT_000063  Sacar_Banda  Casco dañado-voladura(164), banda 12Mm, desechada</v>
      </c>
      <c r="Y2998" s="473"/>
      <c r="Z2998" s="474" t="str">
        <f t="shared" si="689"/>
        <v>Reencauchadora Espinoza</v>
      </c>
      <c r="AA2998" s="463"/>
      <c r="AB2998" s="463"/>
      <c r="AC2998" s="463"/>
    </row>
    <row r="2999" spans="1:29" outlineLevel="1">
      <c r="A2999" s="463"/>
      <c r="B2999" s="3252"/>
      <c r="E2999" s="66">
        <v>3</v>
      </c>
      <c r="F2999" s="67" t="s">
        <v>732</v>
      </c>
      <c r="G2999" s="564" t="s">
        <v>769</v>
      </c>
      <c r="H2999" s="565" t="s">
        <v>2258</v>
      </c>
      <c r="I2999" s="440" t="s">
        <v>744</v>
      </c>
      <c r="J2999" s="441" t="s">
        <v>1543</v>
      </c>
      <c r="K2999" s="566" t="s">
        <v>2254</v>
      </c>
      <c r="L2999" s="567">
        <v>40406</v>
      </c>
      <c r="M2999" s="568" t="s">
        <v>729</v>
      </c>
      <c r="N2999" s="569">
        <v>40490</v>
      </c>
      <c r="O2999" s="570">
        <f t="shared" si="691"/>
        <v>40490</v>
      </c>
      <c r="P2999" s="2821"/>
      <c r="Q2999" s="2989"/>
      <c r="R2999" s="571">
        <v>0</v>
      </c>
      <c r="S2999" s="1985" t="s">
        <v>731</v>
      </c>
      <c r="T2999" s="460" t="s">
        <v>2259</v>
      </c>
      <c r="U2999" s="1900"/>
      <c r="V2999" s="2079">
        <f t="shared" si="687"/>
        <v>0</v>
      </c>
      <c r="W2999" s="78">
        <f t="shared" si="688"/>
        <v>0</v>
      </c>
      <c r="X2999" s="1885" t="str">
        <f t="shared" si="686"/>
        <v>3.- C Lu He 0160209-OT_000063  Sacar_Banda  Casco dañado-soplado, banda 13Mm, desechada</v>
      </c>
      <c r="Y2999" s="473"/>
      <c r="Z2999" s="474" t="str">
        <f t="shared" si="689"/>
        <v>ReencaucheReencauchadora Espinoza</v>
      </c>
      <c r="AA2999" s="463"/>
      <c r="AB2999" s="463"/>
      <c r="AC2999" s="463"/>
    </row>
    <row r="3000" spans="1:29" ht="14.25" outlineLevel="1">
      <c r="A3000" s="463"/>
      <c r="B3000" s="3252"/>
      <c r="C3000" s="2">
        <f>1+C3002</f>
        <v>247</v>
      </c>
      <c r="D3000" s="3">
        <f>1+D3002</f>
        <v>23</v>
      </c>
      <c r="E3000" s="66">
        <v>4</v>
      </c>
      <c r="F3000" s="67" t="s">
        <v>732</v>
      </c>
      <c r="G3000" s="439" t="s">
        <v>769</v>
      </c>
      <c r="H3000" s="464" t="s">
        <v>1781</v>
      </c>
      <c r="I3000" s="439" t="s">
        <v>726</v>
      </c>
      <c r="J3000" s="429" t="s">
        <v>1543</v>
      </c>
      <c r="K3000" s="71" t="s">
        <v>2254</v>
      </c>
      <c r="L3000" s="467">
        <v>40406</v>
      </c>
      <c r="M3000" s="468" t="s">
        <v>729</v>
      </c>
      <c r="N3000" s="469">
        <v>40417</v>
      </c>
      <c r="O3000" s="470">
        <f t="shared" si="691"/>
        <v>40417</v>
      </c>
      <c r="P3000" s="2809"/>
      <c r="Q3000" s="2983"/>
      <c r="R3000" s="471">
        <f>300/(1.19)</f>
        <v>252.10084033613447</v>
      </c>
      <c r="S3000" s="1973" t="s">
        <v>731</v>
      </c>
      <c r="T3000" s="472"/>
      <c r="U3000" s="1901"/>
      <c r="V3000" s="2079">
        <f t="shared" si="687"/>
        <v>0</v>
      </c>
      <c r="W3000" s="78">
        <f t="shared" si="688"/>
        <v>297.47899159663865</v>
      </c>
      <c r="X3000" s="1885" t="str">
        <f t="shared" si="686"/>
        <v xml:space="preserve">4.- C Lu He 0220209-OT_000063  Reencauche  </v>
      </c>
      <c r="Y3000" s="473"/>
      <c r="Z3000" s="474" t="str">
        <f t="shared" si="689"/>
        <v>Transpl BandaReencauchadora Espinoza</v>
      </c>
      <c r="AA3000" s="463"/>
      <c r="AB3000" s="463"/>
      <c r="AC3000" s="463"/>
    </row>
    <row r="3001" spans="1:29" ht="14.25" outlineLevel="1">
      <c r="A3001" s="463"/>
      <c r="B3001" s="3252"/>
      <c r="E3001" s="572">
        <v>5</v>
      </c>
      <c r="F3001" s="573" t="s">
        <v>732</v>
      </c>
      <c r="G3001" s="483" t="s">
        <v>757</v>
      </c>
      <c r="H3001" s="484" t="s">
        <v>2261</v>
      </c>
      <c r="I3001" s="483"/>
      <c r="J3001" s="407" t="s">
        <v>1543</v>
      </c>
      <c r="K3001" s="292" t="s">
        <v>2254</v>
      </c>
      <c r="L3001" s="485">
        <v>40406</v>
      </c>
      <c r="M3001" s="486" t="s">
        <v>1815</v>
      </c>
      <c r="N3001" s="487">
        <v>40417</v>
      </c>
      <c r="O3001" s="488">
        <f t="shared" si="691"/>
        <v>40417</v>
      </c>
      <c r="P3001" s="2811"/>
      <c r="Q3001" s="2985"/>
      <c r="R3001" s="489">
        <v>0</v>
      </c>
      <c r="S3001" s="1975" t="s">
        <v>731</v>
      </c>
      <c r="T3001" s="274" t="s">
        <v>2262</v>
      </c>
      <c r="U3001" s="1895"/>
      <c r="V3001" s="2079">
        <f t="shared" si="687"/>
        <v>0</v>
      </c>
      <c r="W3001" s="78">
        <f t="shared" si="688"/>
        <v>0</v>
      </c>
      <c r="X3001" s="1885" t="str">
        <f t="shared" si="686"/>
        <v>5.- C Goodyear 0180102-OT_000063     Llanta Rechazada, no se facturo, pasa a desecho</v>
      </c>
      <c r="Y3001" s="473"/>
      <c r="Z3001" s="474" t="str">
        <f t="shared" si="689"/>
        <v>Transpl BandaReencauchadora Espinoza</v>
      </c>
      <c r="AA3001" s="463"/>
      <c r="AB3001" s="463"/>
      <c r="AC3001" s="463"/>
    </row>
    <row r="3002" spans="1:29" ht="14.25" outlineLevel="1">
      <c r="A3002" s="463"/>
      <c r="B3002" s="3252"/>
      <c r="C3002" s="2">
        <f t="shared" ref="C3002:C3014" si="693">1+C3003</f>
        <v>246</v>
      </c>
      <c r="D3002" s="3">
        <f t="shared" ref="D3002:D3014" si="694">1+D3003</f>
        <v>22</v>
      </c>
      <c r="E3002" s="66">
        <v>6</v>
      </c>
      <c r="F3002" s="67" t="s">
        <v>732</v>
      </c>
      <c r="G3002" s="439" t="s">
        <v>757</v>
      </c>
      <c r="H3002" s="464" t="s">
        <v>1970</v>
      </c>
      <c r="I3002" s="439" t="s">
        <v>726</v>
      </c>
      <c r="J3002" s="429" t="s">
        <v>1543</v>
      </c>
      <c r="K3002" s="71" t="s">
        <v>2263</v>
      </c>
      <c r="L3002" s="467">
        <v>40406</v>
      </c>
      <c r="M3002" s="468" t="s">
        <v>729</v>
      </c>
      <c r="N3002" s="469">
        <v>40417</v>
      </c>
      <c r="O3002" s="470">
        <f t="shared" si="691"/>
        <v>40417</v>
      </c>
      <c r="P3002" s="2809"/>
      <c r="Q3002" s="2983"/>
      <c r="R3002" s="471">
        <f>300/(1.19)</f>
        <v>252.10084033613447</v>
      </c>
      <c r="S3002" s="1973" t="s">
        <v>731</v>
      </c>
      <c r="T3002" s="472"/>
      <c r="U3002" s="1901"/>
      <c r="V3002" s="2079">
        <f t="shared" si="687"/>
        <v>0</v>
      </c>
      <c r="W3002" s="78">
        <f t="shared" si="688"/>
        <v>297.47899159663865</v>
      </c>
      <c r="X3002" s="1885" t="str">
        <f t="shared" si="686"/>
        <v xml:space="preserve">6.- C Goodyear 1641004-OT_000064  Reencauche  </v>
      </c>
      <c r="Y3002" s="473"/>
      <c r="Z3002" s="474" t="str">
        <f t="shared" si="689"/>
        <v>ReencaucheReencauchadora RENOVA</v>
      </c>
      <c r="AA3002" s="463"/>
      <c r="AB3002" s="463"/>
      <c r="AC3002" s="463"/>
    </row>
    <row r="3003" spans="1:29" ht="14.25" outlineLevel="1">
      <c r="A3003" s="463"/>
      <c r="B3003" s="3252"/>
      <c r="C3003" s="2">
        <f t="shared" si="693"/>
        <v>245</v>
      </c>
      <c r="D3003" s="3">
        <f t="shared" si="694"/>
        <v>21</v>
      </c>
      <c r="E3003" s="66">
        <v>7</v>
      </c>
      <c r="F3003" s="67" t="s">
        <v>732</v>
      </c>
      <c r="G3003" s="574" t="s">
        <v>733</v>
      </c>
      <c r="H3003" s="575" t="s">
        <v>1965</v>
      </c>
      <c r="I3003" s="576" t="s">
        <v>740</v>
      </c>
      <c r="J3003" s="577" t="s">
        <v>1543</v>
      </c>
      <c r="K3003" s="578" t="s">
        <v>2263</v>
      </c>
      <c r="L3003" s="579">
        <v>40406</v>
      </c>
      <c r="M3003" s="580" t="s">
        <v>729</v>
      </c>
      <c r="N3003" s="487">
        <v>40417</v>
      </c>
      <c r="O3003" s="488">
        <f t="shared" si="691"/>
        <v>40417</v>
      </c>
      <c r="P3003" s="2822"/>
      <c r="Q3003" s="2985"/>
      <c r="R3003" s="581">
        <f>150/(1.19)</f>
        <v>126.05042016806723</v>
      </c>
      <c r="S3003" s="1986" t="s">
        <v>731</v>
      </c>
      <c r="T3003" s="555" t="s">
        <v>2264</v>
      </c>
      <c r="U3003" s="1934"/>
      <c r="V3003" s="2079">
        <f t="shared" si="687"/>
        <v>0</v>
      </c>
      <c r="W3003" s="78">
        <f t="shared" si="688"/>
        <v>148.73949579831933</v>
      </c>
      <c r="X3003" s="1885" t="str">
        <f t="shared" si="686"/>
        <v>7.- C Lima Caucho 0830908-OT_000064  Transpl Banda   Con banda transplantada  en 13mm</v>
      </c>
      <c r="Y3003" s="473"/>
      <c r="Z3003" s="474" t="str">
        <f t="shared" si="689"/>
        <v>ReencaucheReencauchadora RENOVA</v>
      </c>
      <c r="AA3003" s="463"/>
      <c r="AB3003" s="463"/>
      <c r="AC3003" s="463"/>
    </row>
    <row r="3004" spans="1:29" ht="14.25" outlineLevel="1">
      <c r="A3004" s="463"/>
      <c r="B3004" s="3252"/>
      <c r="C3004" s="2">
        <f t="shared" si="693"/>
        <v>244</v>
      </c>
      <c r="D3004" s="3">
        <f t="shared" si="694"/>
        <v>20</v>
      </c>
      <c r="E3004" s="79">
        <v>8</v>
      </c>
      <c r="F3004" s="80" t="s">
        <v>732</v>
      </c>
      <c r="G3004" s="582" t="s">
        <v>737</v>
      </c>
      <c r="H3004" s="583" t="s">
        <v>2161</v>
      </c>
      <c r="I3004" s="584" t="s">
        <v>740</v>
      </c>
      <c r="J3004" s="585" t="s">
        <v>1543</v>
      </c>
      <c r="K3004" s="586" t="s">
        <v>2254</v>
      </c>
      <c r="L3004" s="587">
        <v>40406</v>
      </c>
      <c r="M3004" s="588" t="s">
        <v>729</v>
      </c>
      <c r="N3004" s="589">
        <v>40417</v>
      </c>
      <c r="O3004" s="590">
        <f t="shared" si="691"/>
        <v>40417</v>
      </c>
      <c r="P3004" s="2823"/>
      <c r="Q3004" s="2990"/>
      <c r="R3004" s="591">
        <f>150/(1.19)</f>
        <v>126.05042016806723</v>
      </c>
      <c r="S3004" s="1987" t="s">
        <v>731</v>
      </c>
      <c r="T3004" s="555" t="s">
        <v>2264</v>
      </c>
      <c r="U3004" s="1934"/>
      <c r="V3004" s="2079">
        <f t="shared" si="687"/>
        <v>0</v>
      </c>
      <c r="W3004" s="78">
        <f t="shared" si="688"/>
        <v>148.73949579831933</v>
      </c>
      <c r="X3004" s="1885" t="str">
        <f t="shared" si="686"/>
        <v>8.- C Vikrant 0951206-OT_000063  Transpl Banda   Con banda transplantada  en 13mm</v>
      </c>
      <c r="Y3004" s="473"/>
      <c r="Z3004" s="474" t="str">
        <f t="shared" si="689"/>
        <v>ReencaucheReencauchadora RENOVA</v>
      </c>
      <c r="AA3004" s="463"/>
      <c r="AB3004" s="463"/>
      <c r="AC3004" s="463"/>
    </row>
    <row r="3005" spans="1:29" ht="14.25" outlineLevel="1">
      <c r="A3005" s="463"/>
      <c r="B3005" s="3252"/>
      <c r="C3005" s="2">
        <f t="shared" si="693"/>
        <v>243</v>
      </c>
      <c r="D3005" s="3">
        <f t="shared" si="694"/>
        <v>19</v>
      </c>
      <c r="E3005" s="66">
        <v>1</v>
      </c>
      <c r="F3005" s="67" t="s">
        <v>732</v>
      </c>
      <c r="G3005" s="439" t="s">
        <v>733</v>
      </c>
      <c r="H3005" s="464" t="s">
        <v>1921</v>
      </c>
      <c r="I3005" s="439" t="s">
        <v>726</v>
      </c>
      <c r="J3005" s="431" t="s">
        <v>760</v>
      </c>
      <c r="K3005" s="71" t="s">
        <v>2265</v>
      </c>
      <c r="L3005" s="467">
        <v>40406</v>
      </c>
      <c r="M3005" s="468" t="s">
        <v>729</v>
      </c>
      <c r="N3005" s="469">
        <v>40415</v>
      </c>
      <c r="O3005" s="470">
        <f t="shared" si="691"/>
        <v>40415</v>
      </c>
      <c r="P3005" s="2809"/>
      <c r="Q3005" s="2983">
        <v>94.63</v>
      </c>
      <c r="R3005" s="471"/>
      <c r="S3005" s="1973" t="s">
        <v>731</v>
      </c>
      <c r="T3005" s="472"/>
      <c r="U3005" s="1901"/>
      <c r="V3005" s="2079">
        <f t="shared" si="687"/>
        <v>111.6634</v>
      </c>
      <c r="W3005" s="78">
        <f t="shared" si="688"/>
        <v>0</v>
      </c>
      <c r="X3005" s="1885" t="str">
        <f t="shared" si="686"/>
        <v xml:space="preserve">1.- C Lima Caucho 0360507-OT_138162  Reencauche  </v>
      </c>
      <c r="Y3005" s="473"/>
      <c r="Z3005" s="474" t="str">
        <f t="shared" si="689"/>
        <v>ReencaucheReencauchadora RENOVA</v>
      </c>
      <c r="AA3005" s="463"/>
      <c r="AB3005" s="463"/>
      <c r="AC3005" s="463"/>
    </row>
    <row r="3006" spans="1:29" ht="14.25" outlineLevel="1">
      <c r="A3006" s="463"/>
      <c r="B3006" s="3252"/>
      <c r="C3006" s="2">
        <f t="shared" si="693"/>
        <v>242</v>
      </c>
      <c r="D3006" s="3">
        <f t="shared" si="694"/>
        <v>18</v>
      </c>
      <c r="E3006" s="66">
        <v>2</v>
      </c>
      <c r="F3006" s="67" t="s">
        <v>732</v>
      </c>
      <c r="G3006" s="592" t="s">
        <v>733</v>
      </c>
      <c r="H3006" s="593" t="s">
        <v>1455</v>
      </c>
      <c r="I3006" s="592" t="s">
        <v>726</v>
      </c>
      <c r="J3006" s="594" t="s">
        <v>760</v>
      </c>
      <c r="K3006" s="418" t="s">
        <v>2265</v>
      </c>
      <c r="L3006" s="595">
        <v>40406</v>
      </c>
      <c r="M3006" s="468" t="s">
        <v>729</v>
      </c>
      <c r="N3006" s="469">
        <v>40415</v>
      </c>
      <c r="O3006" s="470">
        <f t="shared" si="691"/>
        <v>40415</v>
      </c>
      <c r="P3006" s="2809"/>
      <c r="Q3006" s="2983">
        <v>94.63</v>
      </c>
      <c r="R3006" s="471"/>
      <c r="S3006" s="1973" t="s">
        <v>731</v>
      </c>
      <c r="T3006" s="472"/>
      <c r="U3006" s="1901"/>
      <c r="V3006" s="2079">
        <f t="shared" si="687"/>
        <v>111.6634</v>
      </c>
      <c r="W3006" s="78">
        <f t="shared" si="688"/>
        <v>0</v>
      </c>
      <c r="X3006" s="1885" t="str">
        <f t="shared" si="686"/>
        <v xml:space="preserve">2.- C Lima Caucho 0010107-OT_138162  Reencauche  </v>
      </c>
      <c r="Y3006" s="473"/>
      <c r="Z3006" s="474" t="str">
        <f t="shared" si="689"/>
        <v>ReencaucheReencauchadora RENOVA</v>
      </c>
      <c r="AA3006" s="463"/>
      <c r="AB3006" s="463"/>
      <c r="AC3006" s="463"/>
    </row>
    <row r="3007" spans="1:29" ht="14.25" outlineLevel="1">
      <c r="A3007" s="463"/>
      <c r="B3007" s="3252"/>
      <c r="C3007" s="2">
        <f t="shared" si="693"/>
        <v>241</v>
      </c>
      <c r="D3007" s="3">
        <f t="shared" si="694"/>
        <v>17</v>
      </c>
      <c r="E3007" s="66">
        <v>3</v>
      </c>
      <c r="F3007" s="67" t="s">
        <v>732</v>
      </c>
      <c r="G3007" s="439" t="s">
        <v>733</v>
      </c>
      <c r="H3007" s="464" t="s">
        <v>1944</v>
      </c>
      <c r="I3007" s="439" t="s">
        <v>726</v>
      </c>
      <c r="J3007" s="431" t="s">
        <v>760</v>
      </c>
      <c r="K3007" s="71" t="s">
        <v>2265</v>
      </c>
      <c r="L3007" s="467">
        <v>40406</v>
      </c>
      <c r="M3007" s="468" t="s">
        <v>729</v>
      </c>
      <c r="N3007" s="469">
        <v>40415</v>
      </c>
      <c r="O3007" s="470">
        <f t="shared" si="691"/>
        <v>40415</v>
      </c>
      <c r="P3007" s="2809"/>
      <c r="Q3007" s="2983">
        <v>94.63</v>
      </c>
      <c r="R3007" s="471"/>
      <c r="S3007" s="1973" t="s">
        <v>731</v>
      </c>
      <c r="T3007" s="472"/>
      <c r="U3007" s="1901"/>
      <c r="V3007" s="2079">
        <f t="shared" si="687"/>
        <v>111.6634</v>
      </c>
      <c r="W3007" s="78">
        <f t="shared" si="688"/>
        <v>0</v>
      </c>
      <c r="X3007" s="1885" t="str">
        <f t="shared" si="686"/>
        <v xml:space="preserve">3.- C Lima Caucho 0030107-OT_138162  Reencauche  </v>
      </c>
      <c r="Y3007" s="473"/>
      <c r="Z3007" s="474" t="str">
        <f t="shared" si="689"/>
        <v>ReencaucheReencauchadora RENOVA</v>
      </c>
      <c r="AA3007" s="463"/>
      <c r="AB3007" s="463"/>
      <c r="AC3007" s="463"/>
    </row>
    <row r="3008" spans="1:29" ht="14.25" outlineLevel="1">
      <c r="A3008" s="463"/>
      <c r="B3008" s="3252"/>
      <c r="C3008" s="2">
        <f t="shared" si="693"/>
        <v>240</v>
      </c>
      <c r="D3008" s="3">
        <f t="shared" si="694"/>
        <v>16</v>
      </c>
      <c r="E3008" s="66">
        <v>4</v>
      </c>
      <c r="F3008" s="67" t="s">
        <v>732</v>
      </c>
      <c r="G3008" s="439" t="s">
        <v>733</v>
      </c>
      <c r="H3008" s="464" t="s">
        <v>1885</v>
      </c>
      <c r="I3008" s="439" t="s">
        <v>726</v>
      </c>
      <c r="J3008" s="431" t="s">
        <v>760</v>
      </c>
      <c r="K3008" s="71" t="s">
        <v>2265</v>
      </c>
      <c r="L3008" s="467">
        <v>40406</v>
      </c>
      <c r="M3008" s="468" t="s">
        <v>729</v>
      </c>
      <c r="N3008" s="469">
        <v>40415</v>
      </c>
      <c r="O3008" s="470">
        <f t="shared" si="691"/>
        <v>40415</v>
      </c>
      <c r="P3008" s="2809"/>
      <c r="Q3008" s="2983">
        <v>94.63</v>
      </c>
      <c r="R3008" s="471"/>
      <c r="S3008" s="1973" t="s">
        <v>731</v>
      </c>
      <c r="T3008" s="472"/>
      <c r="U3008" s="1901"/>
      <c r="V3008" s="2079">
        <f t="shared" si="687"/>
        <v>111.6634</v>
      </c>
      <c r="W3008" s="78">
        <f t="shared" si="688"/>
        <v>0</v>
      </c>
      <c r="X3008" s="1885" t="str">
        <f t="shared" si="686"/>
        <v xml:space="preserve">4.- C Lima Caucho 0320507-OT_138162  Reencauche  </v>
      </c>
      <c r="Y3008" s="473"/>
      <c r="Z3008" s="474" t="str">
        <f t="shared" si="689"/>
        <v>ReencaucheReencauchadora RENOVA</v>
      </c>
      <c r="AA3008" s="463"/>
      <c r="AB3008" s="463"/>
      <c r="AC3008" s="463"/>
    </row>
    <row r="3009" spans="1:29" ht="14.25" outlineLevel="1">
      <c r="A3009" s="463"/>
      <c r="B3009" s="3252"/>
      <c r="C3009" s="2">
        <f t="shared" si="693"/>
        <v>239</v>
      </c>
      <c r="D3009" s="3">
        <f t="shared" si="694"/>
        <v>15</v>
      </c>
      <c r="E3009" s="66">
        <v>5</v>
      </c>
      <c r="F3009" s="67" t="s">
        <v>732</v>
      </c>
      <c r="G3009" s="439" t="s">
        <v>733</v>
      </c>
      <c r="H3009" s="464" t="s">
        <v>1446</v>
      </c>
      <c r="I3009" s="439" t="s">
        <v>726</v>
      </c>
      <c r="J3009" s="431" t="s">
        <v>760</v>
      </c>
      <c r="K3009" s="71" t="s">
        <v>2265</v>
      </c>
      <c r="L3009" s="467">
        <v>40406</v>
      </c>
      <c r="M3009" s="468" t="s">
        <v>729</v>
      </c>
      <c r="N3009" s="469">
        <v>40415</v>
      </c>
      <c r="O3009" s="470">
        <f t="shared" si="691"/>
        <v>40415</v>
      </c>
      <c r="P3009" s="2809"/>
      <c r="Q3009" s="2983">
        <v>94.63</v>
      </c>
      <c r="R3009" s="471"/>
      <c r="S3009" s="1973" t="s">
        <v>731</v>
      </c>
      <c r="T3009" s="472"/>
      <c r="U3009" s="1901"/>
      <c r="V3009" s="2079">
        <f t="shared" si="687"/>
        <v>111.6634</v>
      </c>
      <c r="W3009" s="78">
        <f t="shared" si="688"/>
        <v>0</v>
      </c>
      <c r="X3009" s="1885" t="str">
        <f t="shared" si="686"/>
        <v xml:space="preserve">5.- C Lima Caucho 1231207-OT_138162  Reencauche  </v>
      </c>
      <c r="Y3009" s="473"/>
      <c r="Z3009" s="474" t="str">
        <f t="shared" si="689"/>
        <v>ReencaucheReencauchadora RENOVA</v>
      </c>
      <c r="AA3009" s="463"/>
      <c r="AB3009" s="463"/>
      <c r="AC3009" s="463"/>
    </row>
    <row r="3010" spans="1:29" ht="14.25" outlineLevel="1">
      <c r="A3010" s="463"/>
      <c r="B3010" s="3252"/>
      <c r="C3010" s="2">
        <f t="shared" si="693"/>
        <v>238</v>
      </c>
      <c r="D3010" s="3">
        <f t="shared" si="694"/>
        <v>14</v>
      </c>
      <c r="E3010" s="66">
        <v>6</v>
      </c>
      <c r="F3010" s="67" t="s">
        <v>732</v>
      </c>
      <c r="G3010" s="439" t="s">
        <v>757</v>
      </c>
      <c r="H3010" s="464" t="s">
        <v>2266</v>
      </c>
      <c r="I3010" s="439" t="s">
        <v>726</v>
      </c>
      <c r="J3010" s="431" t="s">
        <v>760</v>
      </c>
      <c r="K3010" s="71" t="s">
        <v>2265</v>
      </c>
      <c r="L3010" s="467">
        <v>40406</v>
      </c>
      <c r="M3010" s="468" t="s">
        <v>729</v>
      </c>
      <c r="N3010" s="469">
        <v>40415</v>
      </c>
      <c r="O3010" s="470">
        <f t="shared" si="691"/>
        <v>40415</v>
      </c>
      <c r="P3010" s="2809"/>
      <c r="Q3010" s="2983">
        <v>94.63</v>
      </c>
      <c r="R3010" s="471"/>
      <c r="S3010" s="1973" t="s">
        <v>731</v>
      </c>
      <c r="T3010" s="472"/>
      <c r="U3010" s="1901"/>
      <c r="V3010" s="2079">
        <f t="shared" si="687"/>
        <v>111.6634</v>
      </c>
      <c r="W3010" s="78">
        <f t="shared" si="688"/>
        <v>0</v>
      </c>
      <c r="X3010" s="1885" t="str">
        <f t="shared" si="686"/>
        <v xml:space="preserve">6.- C Goodyear 0980520-OT_138162  Reencauche  </v>
      </c>
      <c r="Y3010" s="473"/>
      <c r="Z3010" s="474" t="str">
        <f t="shared" si="689"/>
        <v>ReencaucheReencauchadora RENOVA</v>
      </c>
      <c r="AA3010" s="463"/>
      <c r="AB3010" s="463"/>
      <c r="AC3010" s="463"/>
    </row>
    <row r="3011" spans="1:29" ht="14.25" outlineLevel="1">
      <c r="A3011" s="463"/>
      <c r="B3011" s="3252"/>
      <c r="C3011" s="2">
        <f t="shared" si="693"/>
        <v>237</v>
      </c>
      <c r="D3011" s="3">
        <f t="shared" si="694"/>
        <v>13</v>
      </c>
      <c r="E3011" s="66">
        <v>7</v>
      </c>
      <c r="F3011" s="67" t="s">
        <v>732</v>
      </c>
      <c r="G3011" s="439" t="s">
        <v>737</v>
      </c>
      <c r="H3011" s="464" t="s">
        <v>2267</v>
      </c>
      <c r="I3011" s="439" t="s">
        <v>726</v>
      </c>
      <c r="J3011" s="431" t="s">
        <v>760</v>
      </c>
      <c r="K3011" s="71" t="s">
        <v>2265</v>
      </c>
      <c r="L3011" s="467">
        <v>40406</v>
      </c>
      <c r="M3011" s="468" t="s">
        <v>729</v>
      </c>
      <c r="N3011" s="469">
        <v>40415</v>
      </c>
      <c r="O3011" s="470">
        <f t="shared" si="691"/>
        <v>40415</v>
      </c>
      <c r="P3011" s="2809"/>
      <c r="Q3011" s="2983">
        <v>94.63</v>
      </c>
      <c r="R3011" s="471"/>
      <c r="S3011" s="1973" t="s">
        <v>731</v>
      </c>
      <c r="T3011" s="472"/>
      <c r="U3011" s="1901"/>
      <c r="V3011" s="2079">
        <f t="shared" si="687"/>
        <v>111.6634</v>
      </c>
      <c r="W3011" s="78">
        <f t="shared" si="688"/>
        <v>0</v>
      </c>
      <c r="X3011" s="1885" t="str">
        <f t="shared" si="686"/>
        <v xml:space="preserve">7.- C Vikrant 0860505-OT_138162  Reencauche  </v>
      </c>
      <c r="Y3011" s="473"/>
      <c r="Z3011" s="474" t="str">
        <f t="shared" si="689"/>
        <v>ReencaucheReencauchadora RENOVA</v>
      </c>
      <c r="AA3011" s="463"/>
      <c r="AB3011" s="463"/>
      <c r="AC3011" s="463"/>
    </row>
    <row r="3012" spans="1:29" ht="14.25" outlineLevel="1">
      <c r="A3012" s="463"/>
      <c r="B3012" s="3252"/>
      <c r="C3012" s="2">
        <f t="shared" si="693"/>
        <v>236</v>
      </c>
      <c r="D3012" s="3">
        <f t="shared" si="694"/>
        <v>12</v>
      </c>
      <c r="E3012" s="66">
        <v>8</v>
      </c>
      <c r="F3012" s="67" t="s">
        <v>732</v>
      </c>
      <c r="G3012" s="439" t="s">
        <v>737</v>
      </c>
      <c r="H3012" s="464" t="s">
        <v>1902</v>
      </c>
      <c r="I3012" s="439" t="s">
        <v>726</v>
      </c>
      <c r="J3012" s="431" t="s">
        <v>760</v>
      </c>
      <c r="K3012" s="71" t="s">
        <v>2265</v>
      </c>
      <c r="L3012" s="467">
        <v>40406</v>
      </c>
      <c r="M3012" s="468" t="s">
        <v>729</v>
      </c>
      <c r="N3012" s="469">
        <v>40415</v>
      </c>
      <c r="O3012" s="470">
        <f t="shared" si="691"/>
        <v>40415</v>
      </c>
      <c r="P3012" s="2809"/>
      <c r="Q3012" s="2983">
        <v>94.63</v>
      </c>
      <c r="R3012" s="471"/>
      <c r="S3012" s="1973" t="s">
        <v>731</v>
      </c>
      <c r="T3012" s="472"/>
      <c r="U3012" s="1901"/>
      <c r="V3012" s="2079">
        <f t="shared" si="687"/>
        <v>111.6634</v>
      </c>
      <c r="W3012" s="78">
        <f t="shared" si="688"/>
        <v>0</v>
      </c>
      <c r="X3012" s="1885" t="str">
        <f t="shared" si="686"/>
        <v xml:space="preserve">8.- C Vikrant 1551105-OT_138162  Reencauche  </v>
      </c>
      <c r="Y3012" s="473"/>
      <c r="Z3012" s="474" t="str">
        <f t="shared" si="689"/>
        <v>ReencaucheReencauchadora RENOVA</v>
      </c>
      <c r="AA3012" s="463"/>
      <c r="AB3012" s="463"/>
      <c r="AC3012" s="463"/>
    </row>
    <row r="3013" spans="1:29" ht="14.25" outlineLevel="1">
      <c r="A3013" s="463"/>
      <c r="B3013" s="3252"/>
      <c r="C3013" s="2">
        <f t="shared" si="693"/>
        <v>235</v>
      </c>
      <c r="D3013" s="3">
        <f t="shared" si="694"/>
        <v>11</v>
      </c>
      <c r="E3013" s="66">
        <v>9</v>
      </c>
      <c r="F3013" s="67" t="s">
        <v>732</v>
      </c>
      <c r="G3013" s="439" t="s">
        <v>757</v>
      </c>
      <c r="H3013" s="464" t="s">
        <v>1205</v>
      </c>
      <c r="I3013" s="439" t="s">
        <v>726</v>
      </c>
      <c r="J3013" s="431" t="s">
        <v>760</v>
      </c>
      <c r="K3013" s="71" t="s">
        <v>2265</v>
      </c>
      <c r="L3013" s="467">
        <v>40406</v>
      </c>
      <c r="M3013" s="468" t="s">
        <v>729</v>
      </c>
      <c r="N3013" s="469">
        <v>40415</v>
      </c>
      <c r="O3013" s="470">
        <f t="shared" si="691"/>
        <v>40415</v>
      </c>
      <c r="P3013" s="2809"/>
      <c r="Q3013" s="2983">
        <v>94.63</v>
      </c>
      <c r="R3013" s="471"/>
      <c r="S3013" s="1973" t="s">
        <v>731</v>
      </c>
      <c r="T3013" s="472"/>
      <c r="U3013" s="1901"/>
      <c r="V3013" s="2079">
        <f t="shared" si="687"/>
        <v>111.6634</v>
      </c>
      <c r="W3013" s="78">
        <f t="shared" si="688"/>
        <v>0</v>
      </c>
      <c r="X3013" s="1885" t="str">
        <f t="shared" si="686"/>
        <v xml:space="preserve">9.- C Goodyear 1120704-OT_138162  Reencauche  </v>
      </c>
      <c r="Y3013" s="473"/>
      <c r="Z3013" s="474" t="str">
        <f t="shared" si="689"/>
        <v>AMC Llantas</v>
      </c>
      <c r="AA3013" s="463"/>
      <c r="AB3013" s="463"/>
      <c r="AC3013" s="463"/>
    </row>
    <row r="3014" spans="1:29" ht="14.25" outlineLevel="1">
      <c r="A3014" s="463"/>
      <c r="B3014" s="3252"/>
      <c r="C3014" s="2">
        <f t="shared" si="693"/>
        <v>234</v>
      </c>
      <c r="D3014" s="3">
        <f t="shared" si="694"/>
        <v>10</v>
      </c>
      <c r="E3014" s="66">
        <v>10</v>
      </c>
      <c r="F3014" s="67" t="s">
        <v>732</v>
      </c>
      <c r="G3014" s="439" t="s">
        <v>757</v>
      </c>
      <c r="H3014" s="464" t="s">
        <v>1930</v>
      </c>
      <c r="I3014" s="439" t="s">
        <v>726</v>
      </c>
      <c r="J3014" s="431" t="s">
        <v>760</v>
      </c>
      <c r="K3014" s="71" t="s">
        <v>2265</v>
      </c>
      <c r="L3014" s="467">
        <v>40406</v>
      </c>
      <c r="M3014" s="468" t="s">
        <v>729</v>
      </c>
      <c r="N3014" s="469">
        <v>40415</v>
      </c>
      <c r="O3014" s="470">
        <f t="shared" si="691"/>
        <v>40415</v>
      </c>
      <c r="P3014" s="2809"/>
      <c r="Q3014" s="2983">
        <v>94.63</v>
      </c>
      <c r="R3014" s="471"/>
      <c r="S3014" s="1973" t="s">
        <v>731</v>
      </c>
      <c r="T3014" s="472"/>
      <c r="U3014" s="1901"/>
      <c r="V3014" s="2079">
        <f t="shared" si="687"/>
        <v>111.6634</v>
      </c>
      <c r="W3014" s="78">
        <f t="shared" si="688"/>
        <v>0</v>
      </c>
      <c r="X3014" s="1885" t="str">
        <f t="shared" si="686"/>
        <v xml:space="preserve">10.- C Goodyear 0110205-OT_138162  Reencauche  </v>
      </c>
      <c r="Y3014" s="473"/>
      <c r="Z3014" s="474" t="str">
        <f t="shared" si="689"/>
        <v>AMC Llantas</v>
      </c>
      <c r="AA3014" s="463"/>
      <c r="AB3014" s="463"/>
      <c r="AC3014" s="463"/>
    </row>
    <row r="3015" spans="1:29" ht="14.25" outlineLevel="1">
      <c r="A3015" s="463"/>
      <c r="B3015" s="3252"/>
      <c r="C3015" s="2">
        <f>1+C3018</f>
        <v>233</v>
      </c>
      <c r="D3015" s="3">
        <f>1+D3018</f>
        <v>9</v>
      </c>
      <c r="E3015" s="79">
        <v>11</v>
      </c>
      <c r="F3015" s="80" t="s">
        <v>732</v>
      </c>
      <c r="G3015" s="518" t="s">
        <v>757</v>
      </c>
      <c r="H3015" s="519" t="s">
        <v>917</v>
      </c>
      <c r="I3015" s="518" t="s">
        <v>726</v>
      </c>
      <c r="J3015" s="444" t="s">
        <v>760</v>
      </c>
      <c r="K3015" s="84" t="s">
        <v>2268</v>
      </c>
      <c r="L3015" s="521">
        <v>40406</v>
      </c>
      <c r="M3015" s="522" t="s">
        <v>729</v>
      </c>
      <c r="N3015" s="480">
        <v>40415</v>
      </c>
      <c r="O3015" s="481">
        <f t="shared" si="691"/>
        <v>40415</v>
      </c>
      <c r="P3015" s="2816"/>
      <c r="Q3015" s="2984">
        <v>94.63</v>
      </c>
      <c r="R3015" s="523"/>
      <c r="S3015" s="1980" t="s">
        <v>731</v>
      </c>
      <c r="T3015" s="472"/>
      <c r="U3015" s="1901"/>
      <c r="V3015" s="2079">
        <f t="shared" si="687"/>
        <v>111.6634</v>
      </c>
      <c r="W3015" s="78">
        <f t="shared" si="688"/>
        <v>0</v>
      </c>
      <c r="X3015" s="1885" t="str">
        <f t="shared" si="686"/>
        <v xml:space="preserve">11.- C Goodyear 0340302-OT_138163  Reencauche  </v>
      </c>
      <c r="Y3015" s="473"/>
      <c r="Z3015" s="474" t="str">
        <f t="shared" si="689"/>
        <v>ReencaucheAMC Llantas</v>
      </c>
      <c r="AA3015" s="463"/>
      <c r="AB3015" s="463"/>
      <c r="AC3015" s="463"/>
    </row>
    <row r="3016" spans="1:29" ht="14.25" outlineLevel="1">
      <c r="A3016" s="463"/>
      <c r="B3016" s="3252"/>
      <c r="E3016" s="572">
        <v>1</v>
      </c>
      <c r="F3016" s="573" t="s">
        <v>732</v>
      </c>
      <c r="G3016" s="483" t="s">
        <v>737</v>
      </c>
      <c r="H3016" s="484" t="s">
        <v>2161</v>
      </c>
      <c r="I3016" s="483"/>
      <c r="J3016" s="407" t="s">
        <v>1961</v>
      </c>
      <c r="K3016" s="292" t="s">
        <v>2269</v>
      </c>
      <c r="L3016" s="485">
        <v>40393</v>
      </c>
      <c r="M3016" s="486" t="s">
        <v>1815</v>
      </c>
      <c r="N3016" s="487">
        <v>40399</v>
      </c>
      <c r="O3016" s="488">
        <f t="shared" si="691"/>
        <v>40399</v>
      </c>
      <c r="P3016" s="2811"/>
      <c r="Q3016" s="2985"/>
      <c r="R3016" s="489">
        <v>0</v>
      </c>
      <c r="S3016" s="1975" t="s">
        <v>731</v>
      </c>
      <c r="T3016" s="274" t="s">
        <v>1617</v>
      </c>
      <c r="U3016" s="1895"/>
      <c r="V3016" s="2079">
        <f t="shared" si="687"/>
        <v>0</v>
      </c>
      <c r="W3016" s="78">
        <f t="shared" si="688"/>
        <v>0</v>
      </c>
      <c r="X3016" s="1885" t="str">
        <f t="shared" si="686"/>
        <v>1.- C Vikrant 0951206-OT_000450     Llanta Rechazada, no se facturo</v>
      </c>
      <c r="Y3016" s="473"/>
      <c r="Z3016" s="474" t="str">
        <f t="shared" si="689"/>
        <v>ReencaucheAMC Llantas</v>
      </c>
      <c r="AA3016" s="463"/>
      <c r="AB3016" s="463"/>
      <c r="AC3016" s="463"/>
    </row>
    <row r="3017" spans="1:29" ht="14.25" outlineLevel="1">
      <c r="A3017" s="463"/>
      <c r="B3017" s="3252"/>
      <c r="E3017" s="572">
        <v>2</v>
      </c>
      <c r="F3017" s="573" t="s">
        <v>732</v>
      </c>
      <c r="G3017" s="483" t="s">
        <v>769</v>
      </c>
      <c r="H3017" s="484" t="s">
        <v>1781</v>
      </c>
      <c r="I3017" s="483"/>
      <c r="J3017" s="407" t="s">
        <v>1961</v>
      </c>
      <c r="K3017" s="292" t="s">
        <v>2269</v>
      </c>
      <c r="L3017" s="485">
        <v>40393</v>
      </c>
      <c r="M3017" s="486" t="s">
        <v>1815</v>
      </c>
      <c r="N3017" s="487">
        <v>40399</v>
      </c>
      <c r="O3017" s="488">
        <f t="shared" si="691"/>
        <v>40399</v>
      </c>
      <c r="P3017" s="2811"/>
      <c r="Q3017" s="2985"/>
      <c r="R3017" s="489">
        <v>0</v>
      </c>
      <c r="S3017" s="1975" t="s">
        <v>731</v>
      </c>
      <c r="T3017" s="274" t="s">
        <v>1617</v>
      </c>
      <c r="U3017" s="1895"/>
      <c r="V3017" s="2079">
        <f t="shared" si="687"/>
        <v>0</v>
      </c>
      <c r="W3017" s="78">
        <f t="shared" si="688"/>
        <v>0</v>
      </c>
      <c r="X3017" s="1885" t="str">
        <f t="shared" si="686"/>
        <v>2.- C Lu He 0220209-OT_000450     Llanta Rechazada, no se facturo</v>
      </c>
      <c r="Y3017" s="473"/>
      <c r="Z3017" s="474" t="str">
        <f t="shared" si="689"/>
        <v>ReencaucheAMC Llantas</v>
      </c>
      <c r="AA3017" s="463"/>
      <c r="AB3017" s="463"/>
      <c r="AC3017" s="463"/>
    </row>
    <row r="3018" spans="1:29" ht="14.25" outlineLevel="1">
      <c r="A3018" s="463"/>
      <c r="B3018" s="3252"/>
      <c r="C3018" s="2">
        <f t="shared" ref="C3018:D3024" si="695">1+C3019</f>
        <v>232</v>
      </c>
      <c r="D3018" s="3">
        <f t="shared" si="695"/>
        <v>8</v>
      </c>
      <c r="E3018" s="66">
        <v>3</v>
      </c>
      <c r="F3018" s="67" t="s">
        <v>732</v>
      </c>
      <c r="G3018" s="439" t="s">
        <v>737</v>
      </c>
      <c r="H3018" s="464" t="s">
        <v>1107</v>
      </c>
      <c r="I3018" s="439" t="s">
        <v>726</v>
      </c>
      <c r="J3018" s="431" t="s">
        <v>1961</v>
      </c>
      <c r="K3018" s="71" t="s">
        <v>2269</v>
      </c>
      <c r="L3018" s="467">
        <v>40393</v>
      </c>
      <c r="M3018" s="468" t="s">
        <v>729</v>
      </c>
      <c r="N3018" s="469">
        <v>40399</v>
      </c>
      <c r="O3018" s="470">
        <f t="shared" si="691"/>
        <v>40399</v>
      </c>
      <c r="P3018" s="2809"/>
      <c r="Q3018" s="2983"/>
      <c r="R3018" s="471">
        <f t="shared" ref="R3018:R3025" si="696">310/(1.19)</f>
        <v>260.50420168067228</v>
      </c>
      <c r="S3018" s="1973" t="s">
        <v>731</v>
      </c>
      <c r="T3018" s="472"/>
      <c r="U3018" s="1901"/>
      <c r="V3018" s="2079">
        <f t="shared" si="687"/>
        <v>0</v>
      </c>
      <c r="W3018" s="78">
        <f t="shared" si="688"/>
        <v>307.39495798319325</v>
      </c>
      <c r="X3018" s="1885" t="str">
        <f t="shared" si="686"/>
        <v xml:space="preserve">3.- C Vikrant 0740505-OT_000450  Reencauche  </v>
      </c>
      <c r="Y3018" s="473"/>
      <c r="Z3018" s="474" t="str">
        <f t="shared" si="689"/>
        <v>ReencaucheAMC Llantas</v>
      </c>
      <c r="AA3018" s="463"/>
      <c r="AB3018" s="463"/>
      <c r="AC3018" s="463"/>
    </row>
    <row r="3019" spans="1:29" ht="14.25" outlineLevel="1">
      <c r="A3019" s="463"/>
      <c r="B3019" s="3252"/>
      <c r="C3019" s="2">
        <f t="shared" si="695"/>
        <v>231</v>
      </c>
      <c r="D3019" s="3">
        <f t="shared" si="695"/>
        <v>7</v>
      </c>
      <c r="E3019" s="66">
        <v>4</v>
      </c>
      <c r="F3019" s="67" t="s">
        <v>732</v>
      </c>
      <c r="G3019" s="439" t="s">
        <v>737</v>
      </c>
      <c r="H3019" s="464" t="s">
        <v>2270</v>
      </c>
      <c r="I3019" s="439" t="s">
        <v>726</v>
      </c>
      <c r="J3019" s="431" t="s">
        <v>1961</v>
      </c>
      <c r="K3019" s="71" t="s">
        <v>2269</v>
      </c>
      <c r="L3019" s="467">
        <v>40393</v>
      </c>
      <c r="M3019" s="468" t="s">
        <v>729</v>
      </c>
      <c r="N3019" s="469">
        <v>40399</v>
      </c>
      <c r="O3019" s="470">
        <f t="shared" si="691"/>
        <v>40399</v>
      </c>
      <c r="P3019" s="2809"/>
      <c r="Q3019" s="2983"/>
      <c r="R3019" s="471">
        <f t="shared" si="696"/>
        <v>260.50420168067228</v>
      </c>
      <c r="S3019" s="1973" t="s">
        <v>731</v>
      </c>
      <c r="T3019" s="472"/>
      <c r="U3019" s="1901"/>
      <c r="V3019" s="2079">
        <f t="shared" si="687"/>
        <v>0</v>
      </c>
      <c r="W3019" s="78">
        <f t="shared" si="688"/>
        <v>307.39495798319325</v>
      </c>
      <c r="X3019" s="1885" t="str">
        <f t="shared" si="686"/>
        <v xml:space="preserve">4.- C Vikrant 1030705-OT_000450  Reencauche  </v>
      </c>
      <c r="Y3019" s="473"/>
      <c r="Z3019" s="474" t="str">
        <f t="shared" si="689"/>
        <v>ReencaucheAMC Llantas</v>
      </c>
      <c r="AA3019" s="463"/>
      <c r="AB3019" s="463"/>
      <c r="AC3019" s="463"/>
    </row>
    <row r="3020" spans="1:29" ht="14.25" outlineLevel="1">
      <c r="A3020" s="463"/>
      <c r="B3020" s="3252"/>
      <c r="C3020" s="2">
        <f t="shared" si="695"/>
        <v>230</v>
      </c>
      <c r="D3020" s="3">
        <f t="shared" si="695"/>
        <v>6</v>
      </c>
      <c r="E3020" s="66">
        <v>5</v>
      </c>
      <c r="F3020" s="67" t="s">
        <v>732</v>
      </c>
      <c r="G3020" s="439" t="s">
        <v>757</v>
      </c>
      <c r="H3020" s="464" t="s">
        <v>1228</v>
      </c>
      <c r="I3020" s="439" t="s">
        <v>726</v>
      </c>
      <c r="J3020" s="431" t="s">
        <v>1961</v>
      </c>
      <c r="K3020" s="71" t="s">
        <v>2269</v>
      </c>
      <c r="L3020" s="467">
        <v>40393</v>
      </c>
      <c r="M3020" s="468" t="s">
        <v>729</v>
      </c>
      <c r="N3020" s="469">
        <v>40399</v>
      </c>
      <c r="O3020" s="470">
        <f t="shared" si="691"/>
        <v>40399</v>
      </c>
      <c r="P3020" s="2809"/>
      <c r="Q3020" s="2983"/>
      <c r="R3020" s="471">
        <f t="shared" si="696"/>
        <v>260.50420168067228</v>
      </c>
      <c r="S3020" s="1973" t="s">
        <v>731</v>
      </c>
      <c r="T3020" s="472"/>
      <c r="U3020" s="1901"/>
      <c r="V3020" s="2079">
        <f t="shared" si="687"/>
        <v>0</v>
      </c>
      <c r="W3020" s="78">
        <f t="shared" si="688"/>
        <v>307.39495798319325</v>
      </c>
      <c r="X3020" s="1885" t="str">
        <f t="shared" si="686"/>
        <v xml:space="preserve">5.- C Goodyear 0140205-OT_000450  Reencauche  </v>
      </c>
      <c r="Y3020" s="473"/>
      <c r="Z3020" s="474" t="str">
        <f t="shared" si="689"/>
        <v>ReencaucheAMC Llantas</v>
      </c>
      <c r="AA3020" s="463"/>
      <c r="AB3020" s="463"/>
      <c r="AC3020" s="463"/>
    </row>
    <row r="3021" spans="1:29" ht="14.25" outlineLevel="1">
      <c r="A3021" s="463"/>
      <c r="B3021" s="3252"/>
      <c r="C3021" s="2">
        <f t="shared" si="695"/>
        <v>229</v>
      </c>
      <c r="D3021" s="3">
        <f t="shared" si="695"/>
        <v>5</v>
      </c>
      <c r="E3021" s="66">
        <v>6</v>
      </c>
      <c r="F3021" s="67" t="s">
        <v>732</v>
      </c>
      <c r="G3021" s="439" t="s">
        <v>733</v>
      </c>
      <c r="H3021" s="464" t="s">
        <v>850</v>
      </c>
      <c r="I3021" s="439" t="s">
        <v>726</v>
      </c>
      <c r="J3021" s="431" t="s">
        <v>1961</v>
      </c>
      <c r="K3021" s="71" t="s">
        <v>2269</v>
      </c>
      <c r="L3021" s="467">
        <v>40393</v>
      </c>
      <c r="M3021" s="468" t="s">
        <v>729</v>
      </c>
      <c r="N3021" s="469">
        <v>40399</v>
      </c>
      <c r="O3021" s="470">
        <f t="shared" si="691"/>
        <v>40399</v>
      </c>
      <c r="P3021" s="2809"/>
      <c r="Q3021" s="2983"/>
      <c r="R3021" s="471">
        <f t="shared" si="696"/>
        <v>260.50420168067228</v>
      </c>
      <c r="S3021" s="1973" t="s">
        <v>731</v>
      </c>
      <c r="T3021" s="472"/>
      <c r="U3021" s="1901"/>
      <c r="V3021" s="2079">
        <f t="shared" si="687"/>
        <v>0</v>
      </c>
      <c r="W3021" s="78">
        <f t="shared" si="688"/>
        <v>307.39495798319325</v>
      </c>
      <c r="X3021" s="1885" t="str">
        <f t="shared" si="686"/>
        <v xml:space="preserve">6.- C Lima Caucho 0710808-OT_000450  Reencauche  </v>
      </c>
      <c r="Y3021" s="473"/>
      <c r="Z3021" s="474" t="str">
        <f t="shared" si="689"/>
        <v>ReencaucheAMC Llantas</v>
      </c>
      <c r="AA3021" s="463"/>
      <c r="AB3021" s="463"/>
      <c r="AC3021" s="463"/>
    </row>
    <row r="3022" spans="1:29" ht="14.25" outlineLevel="1">
      <c r="A3022" s="463"/>
      <c r="B3022" s="3252"/>
      <c r="C3022" s="2">
        <f t="shared" si="695"/>
        <v>228</v>
      </c>
      <c r="D3022" s="3">
        <f t="shared" si="695"/>
        <v>4</v>
      </c>
      <c r="E3022" s="66">
        <v>7</v>
      </c>
      <c r="F3022" s="67" t="s">
        <v>732</v>
      </c>
      <c r="G3022" s="439" t="s">
        <v>737</v>
      </c>
      <c r="H3022" s="464" t="s">
        <v>2271</v>
      </c>
      <c r="I3022" s="439" t="s">
        <v>726</v>
      </c>
      <c r="J3022" s="431" t="s">
        <v>1961</v>
      </c>
      <c r="K3022" s="71" t="s">
        <v>2269</v>
      </c>
      <c r="L3022" s="467">
        <v>40393</v>
      </c>
      <c r="M3022" s="468" t="s">
        <v>729</v>
      </c>
      <c r="N3022" s="469">
        <v>40399</v>
      </c>
      <c r="O3022" s="470">
        <f t="shared" si="691"/>
        <v>40399</v>
      </c>
      <c r="P3022" s="2809"/>
      <c r="Q3022" s="2983"/>
      <c r="R3022" s="471">
        <f t="shared" si="696"/>
        <v>260.50420168067228</v>
      </c>
      <c r="S3022" s="1973" t="s">
        <v>731</v>
      </c>
      <c r="T3022" s="472"/>
      <c r="U3022" s="1901"/>
      <c r="V3022" s="2079">
        <f t="shared" si="687"/>
        <v>0</v>
      </c>
      <c r="W3022" s="78">
        <f t="shared" si="688"/>
        <v>307.39495798319325</v>
      </c>
      <c r="X3022" s="1885" t="str">
        <f t="shared" si="686"/>
        <v xml:space="preserve">7.- C Vikrant 0680906-OT_000450  Reencauche  </v>
      </c>
      <c r="Y3022" s="473"/>
      <c r="Z3022" s="474" t="str">
        <f t="shared" si="689"/>
        <v>ReencaucheAMC Llantas</v>
      </c>
      <c r="AA3022" s="463"/>
      <c r="AB3022" s="463"/>
      <c r="AC3022" s="463"/>
    </row>
    <row r="3023" spans="1:29" ht="14.25">
      <c r="A3023" s="463"/>
      <c r="B3023" s="3252"/>
      <c r="C3023" s="2">
        <f t="shared" si="695"/>
        <v>227</v>
      </c>
      <c r="D3023" s="3">
        <f t="shared" si="695"/>
        <v>3</v>
      </c>
      <c r="E3023" s="66">
        <v>8</v>
      </c>
      <c r="F3023" s="67" t="s">
        <v>732</v>
      </c>
      <c r="G3023" s="439" t="s">
        <v>737</v>
      </c>
      <c r="H3023" s="464" t="s">
        <v>2272</v>
      </c>
      <c r="I3023" s="439" t="s">
        <v>726</v>
      </c>
      <c r="J3023" s="431" t="s">
        <v>1961</v>
      </c>
      <c r="K3023" s="71" t="s">
        <v>2269</v>
      </c>
      <c r="L3023" s="467">
        <v>40393</v>
      </c>
      <c r="M3023" s="468" t="s">
        <v>729</v>
      </c>
      <c r="N3023" s="469">
        <v>40399</v>
      </c>
      <c r="O3023" s="470">
        <f t="shared" si="691"/>
        <v>40399</v>
      </c>
      <c r="P3023" s="2809"/>
      <c r="Q3023" s="2983"/>
      <c r="R3023" s="471">
        <f t="shared" si="696"/>
        <v>260.50420168067228</v>
      </c>
      <c r="S3023" s="1973" t="s">
        <v>731</v>
      </c>
      <c r="T3023" s="472"/>
      <c r="U3023" s="1901"/>
      <c r="V3023" s="2079">
        <f t="shared" si="687"/>
        <v>0</v>
      </c>
      <c r="W3023" s="78">
        <f t="shared" si="688"/>
        <v>307.39495798319325</v>
      </c>
      <c r="X3023" s="1885" t="str">
        <f t="shared" si="686"/>
        <v xml:space="preserve">8.- C Vikrant 0891206-OT_000450  Reencauche  </v>
      </c>
      <c r="Y3023" s="473"/>
      <c r="Z3023" s="474"/>
      <c r="AA3023" s="463"/>
      <c r="AB3023" s="463"/>
      <c r="AC3023" s="463"/>
    </row>
    <row r="3024" spans="1:29" ht="14.25" outlineLevel="1">
      <c r="A3024" s="463"/>
      <c r="B3024" s="3252"/>
      <c r="C3024" s="2">
        <f t="shared" si="695"/>
        <v>226</v>
      </c>
      <c r="D3024" s="3">
        <f t="shared" si="695"/>
        <v>2</v>
      </c>
      <c r="E3024" s="66">
        <v>9</v>
      </c>
      <c r="F3024" s="67" t="s">
        <v>732</v>
      </c>
      <c r="G3024" s="439" t="s">
        <v>733</v>
      </c>
      <c r="H3024" s="464" t="s">
        <v>1810</v>
      </c>
      <c r="I3024" s="596" t="s">
        <v>726</v>
      </c>
      <c r="J3024" s="431" t="s">
        <v>1961</v>
      </c>
      <c r="K3024" s="71" t="s">
        <v>2269</v>
      </c>
      <c r="L3024" s="467">
        <v>40393</v>
      </c>
      <c r="M3024" s="468" t="s">
        <v>729</v>
      </c>
      <c r="N3024" s="469">
        <v>40399</v>
      </c>
      <c r="O3024" s="470">
        <f t="shared" si="691"/>
        <v>40399</v>
      </c>
      <c r="P3024" s="2809"/>
      <c r="Q3024" s="2983"/>
      <c r="R3024" s="471">
        <f t="shared" si="696"/>
        <v>260.50420168067228</v>
      </c>
      <c r="S3024" s="1973" t="s">
        <v>731</v>
      </c>
      <c r="T3024" s="472"/>
      <c r="U3024" s="1901"/>
      <c r="V3024" s="2079">
        <f t="shared" si="687"/>
        <v>0</v>
      </c>
      <c r="W3024" s="78">
        <f t="shared" si="688"/>
        <v>307.39495798319325</v>
      </c>
      <c r="X3024" s="1878" t="str">
        <f t="shared" si="686"/>
        <v xml:space="preserve">9.- C Lima Caucho 0390707-OT_000450  Reencauche  </v>
      </c>
      <c r="Z3024" s="19" t="str">
        <f t="shared" ref="Z3024:Z3059" si="697">CONCATENATE(I3027,J3027)</f>
        <v>ReencaucheReencauchadora RENOVA</v>
      </c>
    </row>
    <row r="3025" spans="1:26" outlineLevel="1" thickBot="1">
      <c r="A3025" s="463"/>
      <c r="B3025" s="3253"/>
      <c r="C3025" s="420">
        <f>1+C3027</f>
        <v>225</v>
      </c>
      <c r="D3025" s="428">
        <v>1</v>
      </c>
      <c r="E3025" s="307">
        <v>10</v>
      </c>
      <c r="F3025" s="308" t="s">
        <v>732</v>
      </c>
      <c r="G3025" s="597" t="s">
        <v>733</v>
      </c>
      <c r="H3025" s="491" t="s">
        <v>2271</v>
      </c>
      <c r="I3025" s="490" t="s">
        <v>726</v>
      </c>
      <c r="J3025" s="563" t="s">
        <v>1961</v>
      </c>
      <c r="K3025" s="333" t="s">
        <v>2269</v>
      </c>
      <c r="L3025" s="493">
        <v>40393</v>
      </c>
      <c r="M3025" s="494" t="s">
        <v>729</v>
      </c>
      <c r="N3025" s="495">
        <v>40399</v>
      </c>
      <c r="O3025" s="496">
        <f t="shared" si="691"/>
        <v>40399</v>
      </c>
      <c r="P3025" s="2812"/>
      <c r="Q3025" s="2986"/>
      <c r="R3025" s="497">
        <f t="shared" si="696"/>
        <v>260.50420168067228</v>
      </c>
      <c r="S3025" s="1976" t="s">
        <v>731</v>
      </c>
      <c r="T3025" s="472"/>
      <c r="U3025" s="1901"/>
      <c r="V3025" s="2079">
        <f t="shared" si="687"/>
        <v>0</v>
      </c>
      <c r="W3025" s="78">
        <f t="shared" si="688"/>
        <v>307.39495798319325</v>
      </c>
      <c r="X3025" s="1878" t="str">
        <f t="shared" si="686"/>
        <v xml:space="preserve">10.- C Lima Caucho 0680906-OT_000450  Reencauche  </v>
      </c>
      <c r="Z3025" s="19" t="str">
        <f t="shared" si="697"/>
        <v>ReencaucheReencauchadora RENOVA</v>
      </c>
    </row>
    <row r="3026" spans="1:26" ht="15.75" outlineLevel="1" thickBot="1">
      <c r="A3026" s="463"/>
      <c r="B3026" s="1">
        <f>+B3027</f>
        <v>40360</v>
      </c>
      <c r="C3026" s="1"/>
      <c r="D3026" s="173">
        <f>+D3027</f>
        <v>32</v>
      </c>
      <c r="E3026" s="66"/>
      <c r="F3026" s="67"/>
      <c r="G3026" s="439"/>
      <c r="H3026" s="464"/>
      <c r="I3026" s="439"/>
      <c r="J3026" s="431"/>
      <c r="K3026" s="71"/>
      <c r="L3026" s="467"/>
      <c r="M3026" s="468"/>
      <c r="N3026" s="469"/>
      <c r="O3026" s="470"/>
      <c r="P3026" s="2809"/>
      <c r="Q3026" s="2983"/>
      <c r="R3026" s="471"/>
      <c r="S3026" s="1973"/>
      <c r="T3026" s="472"/>
      <c r="U3026" s="1901"/>
      <c r="V3026" s="2079">
        <f t="shared" si="687"/>
        <v>0</v>
      </c>
      <c r="W3026" s="78">
        <f t="shared" si="688"/>
        <v>0</v>
      </c>
      <c r="X3026" s="1878" t="str">
        <f t="shared" si="686"/>
        <v xml:space="preserve">.-   -OT_    </v>
      </c>
      <c r="Z3026" s="19" t="str">
        <f t="shared" si="697"/>
        <v>ReencaucheReencauchadora RENOVA</v>
      </c>
    </row>
    <row r="3027" spans="1:26" outlineLevel="1">
      <c r="B3027" s="3251">
        <v>40360</v>
      </c>
      <c r="C3027" s="2">
        <f t="shared" ref="C3027:C3039" si="698">1+C3028</f>
        <v>224</v>
      </c>
      <c r="D3027" s="306">
        <f t="shared" ref="D3027:D3039" si="699">1+D3028</f>
        <v>32</v>
      </c>
      <c r="E3027" s="66">
        <v>1</v>
      </c>
      <c r="F3027" s="67" t="s">
        <v>732</v>
      </c>
      <c r="G3027" s="68" t="s">
        <v>737</v>
      </c>
      <c r="H3027" s="69" t="s">
        <v>1223</v>
      </c>
      <c r="I3027" s="299" t="s">
        <v>726</v>
      </c>
      <c r="J3027" s="301" t="s">
        <v>760</v>
      </c>
      <c r="K3027" s="71" t="s">
        <v>2273</v>
      </c>
      <c r="L3027" s="72">
        <v>40381</v>
      </c>
      <c r="M3027" s="73" t="s">
        <v>729</v>
      </c>
      <c r="N3027" s="74">
        <v>40399</v>
      </c>
      <c r="O3027" s="75">
        <f t="shared" ref="O3027:O3062" si="700">+N3027</f>
        <v>40399</v>
      </c>
      <c r="P3027" s="2765"/>
      <c r="Q3027" s="2959">
        <v>94.63</v>
      </c>
      <c r="R3027" s="76"/>
      <c r="S3027" s="1945" t="s">
        <v>731</v>
      </c>
      <c r="T3027" s="77"/>
      <c r="U3027" s="1893"/>
      <c r="V3027" s="2079">
        <f t="shared" si="687"/>
        <v>111.6634</v>
      </c>
      <c r="W3027" s="78">
        <f t="shared" si="688"/>
        <v>0</v>
      </c>
      <c r="X3027" s="1878" t="str">
        <f t="shared" si="686"/>
        <v xml:space="preserve">1.- C Vikrant 1340805-OT_136969  Reencauche  </v>
      </c>
      <c r="Z3027" s="19" t="str">
        <f t="shared" si="697"/>
        <v>ReencaucheReencauchadora RENOVA</v>
      </c>
    </row>
    <row r="3028" spans="1:26" outlineLevel="1">
      <c r="B3028" s="3252"/>
      <c r="C3028" s="2">
        <f t="shared" si="698"/>
        <v>223</v>
      </c>
      <c r="D3028" s="3">
        <f t="shared" si="699"/>
        <v>31</v>
      </c>
      <c r="E3028" s="66">
        <v>2</v>
      </c>
      <c r="F3028" s="67" t="s">
        <v>732</v>
      </c>
      <c r="G3028" s="68" t="s">
        <v>737</v>
      </c>
      <c r="H3028" s="69" t="s">
        <v>1243</v>
      </c>
      <c r="I3028" s="299" t="s">
        <v>726</v>
      </c>
      <c r="J3028" s="301" t="s">
        <v>760</v>
      </c>
      <c r="K3028" s="71" t="s">
        <v>2273</v>
      </c>
      <c r="L3028" s="72">
        <v>40381</v>
      </c>
      <c r="M3028" s="73" t="s">
        <v>729</v>
      </c>
      <c r="N3028" s="74">
        <v>40399</v>
      </c>
      <c r="O3028" s="75">
        <f t="shared" si="700"/>
        <v>40399</v>
      </c>
      <c r="P3028" s="2765"/>
      <c r="Q3028" s="2959">
        <v>94.63</v>
      </c>
      <c r="R3028" s="76"/>
      <c r="S3028" s="1945" t="s">
        <v>731</v>
      </c>
      <c r="T3028" s="77"/>
      <c r="U3028" s="1893"/>
      <c r="V3028" s="2079">
        <f t="shared" si="687"/>
        <v>111.6634</v>
      </c>
      <c r="W3028" s="78">
        <f t="shared" si="688"/>
        <v>0</v>
      </c>
      <c r="X3028" s="1878" t="str">
        <f t="shared" si="686"/>
        <v xml:space="preserve">2.- C Vikrant 1290805-OT_136969  Reencauche  </v>
      </c>
      <c r="Z3028" s="19" t="str">
        <f t="shared" si="697"/>
        <v>ReencaucheReencauchadora RENOVA</v>
      </c>
    </row>
    <row r="3029" spans="1:26" outlineLevel="1">
      <c r="B3029" s="3252"/>
      <c r="C3029" s="2">
        <f t="shared" si="698"/>
        <v>222</v>
      </c>
      <c r="D3029" s="3">
        <f t="shared" si="699"/>
        <v>30</v>
      </c>
      <c r="E3029" s="66">
        <v>3</v>
      </c>
      <c r="F3029" s="67" t="s">
        <v>732</v>
      </c>
      <c r="G3029" s="68" t="s">
        <v>769</v>
      </c>
      <c r="H3029" s="69" t="s">
        <v>2274</v>
      </c>
      <c r="I3029" s="299" t="s">
        <v>726</v>
      </c>
      <c r="J3029" s="301" t="s">
        <v>760</v>
      </c>
      <c r="K3029" s="71" t="s">
        <v>2273</v>
      </c>
      <c r="L3029" s="72">
        <v>40381</v>
      </c>
      <c r="M3029" s="73" t="s">
        <v>729</v>
      </c>
      <c r="N3029" s="74">
        <v>40399</v>
      </c>
      <c r="O3029" s="75">
        <f t="shared" si="700"/>
        <v>40399</v>
      </c>
      <c r="P3029" s="2765"/>
      <c r="Q3029" s="2959">
        <v>94.63</v>
      </c>
      <c r="R3029" s="76"/>
      <c r="S3029" s="1945" t="s">
        <v>731</v>
      </c>
      <c r="T3029" s="77"/>
      <c r="U3029" s="1893"/>
      <c r="V3029" s="2079">
        <f t="shared" si="687"/>
        <v>111.6634</v>
      </c>
      <c r="W3029" s="78">
        <f t="shared" si="688"/>
        <v>0</v>
      </c>
      <c r="X3029" s="1878" t="str">
        <f t="shared" si="686"/>
        <v xml:space="preserve">3.- C Lu He 0480509-OT_136969  Reencauche  </v>
      </c>
      <c r="Z3029" s="19" t="str">
        <f t="shared" si="697"/>
        <v>ReencaucheReencauchadora RENOVA</v>
      </c>
    </row>
    <row r="3030" spans="1:26" outlineLevel="1">
      <c r="B3030" s="3252"/>
      <c r="C3030" s="2">
        <f t="shared" si="698"/>
        <v>221</v>
      </c>
      <c r="D3030" s="3">
        <f t="shared" si="699"/>
        <v>29</v>
      </c>
      <c r="E3030" s="66">
        <v>4</v>
      </c>
      <c r="F3030" s="67" t="s">
        <v>732</v>
      </c>
      <c r="G3030" s="68" t="s">
        <v>769</v>
      </c>
      <c r="H3030" s="69" t="s">
        <v>2275</v>
      </c>
      <c r="I3030" s="299" t="s">
        <v>726</v>
      </c>
      <c r="J3030" s="301" t="s">
        <v>760</v>
      </c>
      <c r="K3030" s="71" t="s">
        <v>2273</v>
      </c>
      <c r="L3030" s="72">
        <v>40381</v>
      </c>
      <c r="M3030" s="73" t="s">
        <v>729</v>
      </c>
      <c r="N3030" s="74">
        <v>40399</v>
      </c>
      <c r="O3030" s="75">
        <f t="shared" si="700"/>
        <v>40399</v>
      </c>
      <c r="P3030" s="2765"/>
      <c r="Q3030" s="2959">
        <v>94.63</v>
      </c>
      <c r="R3030" s="76"/>
      <c r="S3030" s="1945" t="s">
        <v>731</v>
      </c>
      <c r="T3030" s="77"/>
      <c r="U3030" s="1893"/>
      <c r="V3030" s="2079">
        <f t="shared" si="687"/>
        <v>111.6634</v>
      </c>
      <c r="W3030" s="78">
        <f t="shared" si="688"/>
        <v>0</v>
      </c>
      <c r="X3030" s="1878" t="str">
        <f t="shared" si="686"/>
        <v xml:space="preserve">4.- C Lu He 0300209-OT_136969  Reencauche  </v>
      </c>
      <c r="Z3030" s="19" t="str">
        <f t="shared" si="697"/>
        <v>ReencaucheReencauchadora RENOVA</v>
      </c>
    </row>
    <row r="3031" spans="1:26" outlineLevel="1">
      <c r="B3031" s="3252"/>
      <c r="C3031" s="2">
        <f t="shared" si="698"/>
        <v>220</v>
      </c>
      <c r="D3031" s="3">
        <f t="shared" si="699"/>
        <v>28</v>
      </c>
      <c r="E3031" s="66">
        <v>5</v>
      </c>
      <c r="F3031" s="67" t="s">
        <v>732</v>
      </c>
      <c r="G3031" s="217" t="s">
        <v>733</v>
      </c>
      <c r="H3031" s="218" t="s">
        <v>1464</v>
      </c>
      <c r="I3031" s="275" t="s">
        <v>726</v>
      </c>
      <c r="J3031" s="277" t="s">
        <v>760</v>
      </c>
      <c r="K3031" s="220" t="s">
        <v>2273</v>
      </c>
      <c r="L3031" s="221">
        <v>40381</v>
      </c>
      <c r="M3031" s="222" t="s">
        <v>729</v>
      </c>
      <c r="N3031" s="74">
        <v>40399</v>
      </c>
      <c r="O3031" s="75">
        <f t="shared" si="700"/>
        <v>40399</v>
      </c>
      <c r="P3031" s="2765"/>
      <c r="Q3031" s="2959">
        <v>94.63</v>
      </c>
      <c r="R3031" s="223"/>
      <c r="S3031" s="1955" t="s">
        <v>731</v>
      </c>
      <c r="T3031" s="598" t="s">
        <v>2276</v>
      </c>
      <c r="U3031" s="1935"/>
      <c r="V3031" s="2079">
        <f t="shared" si="687"/>
        <v>111.6634</v>
      </c>
      <c r="W3031" s="78">
        <f t="shared" si="688"/>
        <v>0</v>
      </c>
      <c r="X3031" s="1878" t="str">
        <f t="shared" si="686"/>
        <v>5.- C Lima Caucho 0020107-OT_136969  Reencauche   Rch x AMC</v>
      </c>
      <c r="Z3031" s="19" t="str">
        <f t="shared" si="697"/>
        <v>ReencaucheReencauchadora RENOVA</v>
      </c>
    </row>
    <row r="3032" spans="1:26" outlineLevel="1">
      <c r="B3032" s="3252"/>
      <c r="C3032" s="2">
        <f t="shared" si="698"/>
        <v>219</v>
      </c>
      <c r="D3032" s="3">
        <f t="shared" si="699"/>
        <v>27</v>
      </c>
      <c r="E3032" s="66">
        <v>6</v>
      </c>
      <c r="F3032" s="67" t="s">
        <v>732</v>
      </c>
      <c r="G3032" s="217" t="s">
        <v>733</v>
      </c>
      <c r="H3032" s="218" t="s">
        <v>1839</v>
      </c>
      <c r="I3032" s="275" t="s">
        <v>726</v>
      </c>
      <c r="J3032" s="277" t="s">
        <v>760</v>
      </c>
      <c r="K3032" s="220" t="s">
        <v>2273</v>
      </c>
      <c r="L3032" s="221">
        <v>40381</v>
      </c>
      <c r="M3032" s="222" t="s">
        <v>729</v>
      </c>
      <c r="N3032" s="74">
        <v>40399</v>
      </c>
      <c r="O3032" s="75">
        <f t="shared" si="700"/>
        <v>40399</v>
      </c>
      <c r="P3032" s="2765"/>
      <c r="Q3032" s="2959">
        <v>94.63</v>
      </c>
      <c r="R3032" s="223"/>
      <c r="S3032" s="1955" t="s">
        <v>731</v>
      </c>
      <c r="T3032" s="598" t="s">
        <v>2276</v>
      </c>
      <c r="U3032" s="1935"/>
      <c r="V3032" s="2079">
        <f t="shared" si="687"/>
        <v>111.6634</v>
      </c>
      <c r="W3032" s="78">
        <f t="shared" si="688"/>
        <v>0</v>
      </c>
      <c r="X3032" s="1878" t="str">
        <f t="shared" si="686"/>
        <v>6.- C Lima Caucho 0270508-OT_136969  Reencauche   Rch x AMC</v>
      </c>
      <c r="Z3032" s="19" t="str">
        <f t="shared" si="697"/>
        <v>ReencaucheReencauchadora RENOVA</v>
      </c>
    </row>
    <row r="3033" spans="1:26" outlineLevel="1">
      <c r="B3033" s="3252"/>
      <c r="C3033" s="2">
        <f t="shared" si="698"/>
        <v>218</v>
      </c>
      <c r="D3033" s="3">
        <f t="shared" si="699"/>
        <v>26</v>
      </c>
      <c r="E3033" s="66">
        <v>7</v>
      </c>
      <c r="F3033" s="67" t="s">
        <v>732</v>
      </c>
      <c r="G3033" s="68" t="s">
        <v>733</v>
      </c>
      <c r="H3033" s="69" t="s">
        <v>1353</v>
      </c>
      <c r="I3033" s="299" t="s">
        <v>726</v>
      </c>
      <c r="J3033" s="301" t="s">
        <v>760</v>
      </c>
      <c r="K3033" s="71" t="s">
        <v>2273</v>
      </c>
      <c r="L3033" s="72">
        <v>40381</v>
      </c>
      <c r="M3033" s="73" t="s">
        <v>729</v>
      </c>
      <c r="N3033" s="74">
        <v>40399</v>
      </c>
      <c r="O3033" s="75">
        <f t="shared" si="700"/>
        <v>40399</v>
      </c>
      <c r="P3033" s="2765"/>
      <c r="Q3033" s="2959">
        <v>94.63</v>
      </c>
      <c r="R3033" s="76"/>
      <c r="S3033" s="1945" t="s">
        <v>731</v>
      </c>
      <c r="T3033" s="77"/>
      <c r="U3033" s="1893"/>
      <c r="V3033" s="2079">
        <f t="shared" si="687"/>
        <v>111.6634</v>
      </c>
      <c r="W3033" s="78">
        <f t="shared" si="688"/>
        <v>0</v>
      </c>
      <c r="X3033" s="1878" t="str">
        <f t="shared" si="686"/>
        <v xml:space="preserve">7.- C Lima Caucho 0570708-OT_136969  Reencauche  </v>
      </c>
      <c r="Z3033" s="19" t="str">
        <f t="shared" si="697"/>
        <v>ReencaucheReencauchadora RENOVA</v>
      </c>
    </row>
    <row r="3034" spans="1:26" outlineLevel="1">
      <c r="B3034" s="3252"/>
      <c r="C3034" s="2">
        <f t="shared" si="698"/>
        <v>217</v>
      </c>
      <c r="D3034" s="3">
        <f t="shared" si="699"/>
        <v>25</v>
      </c>
      <c r="E3034" s="66">
        <v>8</v>
      </c>
      <c r="F3034" s="67" t="s">
        <v>732</v>
      </c>
      <c r="G3034" s="68" t="s">
        <v>733</v>
      </c>
      <c r="H3034" s="69" t="s">
        <v>990</v>
      </c>
      <c r="I3034" s="299" t="s">
        <v>726</v>
      </c>
      <c r="J3034" s="301" t="s">
        <v>760</v>
      </c>
      <c r="K3034" s="71" t="s">
        <v>2273</v>
      </c>
      <c r="L3034" s="72">
        <v>40381</v>
      </c>
      <c r="M3034" s="73" t="s">
        <v>729</v>
      </c>
      <c r="N3034" s="74">
        <v>40399</v>
      </c>
      <c r="O3034" s="75">
        <f t="shared" si="700"/>
        <v>40399</v>
      </c>
      <c r="P3034" s="2765"/>
      <c r="Q3034" s="2959">
        <v>94.63</v>
      </c>
      <c r="R3034" s="76"/>
      <c r="S3034" s="1945" t="s">
        <v>731</v>
      </c>
      <c r="T3034" s="77"/>
      <c r="U3034" s="1893"/>
      <c r="V3034" s="2079">
        <f t="shared" si="687"/>
        <v>111.6634</v>
      </c>
      <c r="W3034" s="78">
        <f t="shared" si="688"/>
        <v>0</v>
      </c>
      <c r="X3034" s="1878" t="str">
        <f t="shared" si="686"/>
        <v xml:space="preserve">8.- C Lima Caucho 0220207-OT_136969  Reencauche  </v>
      </c>
      <c r="Z3034" s="19" t="str">
        <f t="shared" si="697"/>
        <v>ReencaucheReencauchadora RENOVA</v>
      </c>
    </row>
    <row r="3035" spans="1:26" outlineLevel="1">
      <c r="B3035" s="3252"/>
      <c r="C3035" s="2">
        <f t="shared" si="698"/>
        <v>216</v>
      </c>
      <c r="D3035" s="3">
        <f t="shared" si="699"/>
        <v>24</v>
      </c>
      <c r="E3035" s="66">
        <v>9</v>
      </c>
      <c r="F3035" s="67" t="s">
        <v>732</v>
      </c>
      <c r="G3035" s="68" t="s">
        <v>733</v>
      </c>
      <c r="H3035" s="69" t="s">
        <v>1654</v>
      </c>
      <c r="I3035" s="299" t="s">
        <v>726</v>
      </c>
      <c r="J3035" s="301" t="s">
        <v>760</v>
      </c>
      <c r="K3035" s="71" t="s">
        <v>2273</v>
      </c>
      <c r="L3035" s="72">
        <v>40381</v>
      </c>
      <c r="M3035" s="73" t="s">
        <v>729</v>
      </c>
      <c r="N3035" s="74">
        <v>40399</v>
      </c>
      <c r="O3035" s="75">
        <f t="shared" si="700"/>
        <v>40399</v>
      </c>
      <c r="P3035" s="2765"/>
      <c r="Q3035" s="2959">
        <v>94.63</v>
      </c>
      <c r="R3035" s="76"/>
      <c r="S3035" s="1945" t="s">
        <v>731</v>
      </c>
      <c r="T3035" s="77"/>
      <c r="U3035" s="1893"/>
      <c r="V3035" s="2079">
        <f t="shared" si="687"/>
        <v>111.6634</v>
      </c>
      <c r="W3035" s="78">
        <f t="shared" si="688"/>
        <v>0</v>
      </c>
      <c r="X3035" s="1878" t="str">
        <f t="shared" si="686"/>
        <v xml:space="preserve">9.- C Lima Caucho 0490807-OT_136969  Reencauche  </v>
      </c>
      <c r="Z3035" s="19" t="str">
        <f t="shared" si="697"/>
        <v>ReencaucheReencauchadora RENOVA</v>
      </c>
    </row>
    <row r="3036" spans="1:26" outlineLevel="1">
      <c r="B3036" s="3252"/>
      <c r="C3036" s="2">
        <f t="shared" si="698"/>
        <v>215</v>
      </c>
      <c r="D3036" s="3">
        <f t="shared" si="699"/>
        <v>23</v>
      </c>
      <c r="E3036" s="66">
        <v>10</v>
      </c>
      <c r="F3036" s="123" t="s">
        <v>732</v>
      </c>
      <c r="G3036" s="599" t="s">
        <v>733</v>
      </c>
      <c r="H3036" s="69" t="s">
        <v>810</v>
      </c>
      <c r="I3036" s="299" t="s">
        <v>726</v>
      </c>
      <c r="J3036" s="301" t="s">
        <v>760</v>
      </c>
      <c r="K3036" s="71" t="s">
        <v>2273</v>
      </c>
      <c r="L3036" s="72">
        <v>40381</v>
      </c>
      <c r="M3036" s="73" t="s">
        <v>729</v>
      </c>
      <c r="N3036" s="74">
        <v>40399</v>
      </c>
      <c r="O3036" s="75">
        <f t="shared" si="700"/>
        <v>40399</v>
      </c>
      <c r="P3036" s="2765"/>
      <c r="Q3036" s="2959">
        <v>94.63</v>
      </c>
      <c r="R3036" s="76"/>
      <c r="S3036" s="1945" t="s">
        <v>731</v>
      </c>
      <c r="T3036" s="77"/>
      <c r="U3036" s="1893"/>
      <c r="V3036" s="2079">
        <f t="shared" si="687"/>
        <v>111.6634</v>
      </c>
      <c r="W3036" s="78">
        <f t="shared" si="688"/>
        <v>0</v>
      </c>
      <c r="X3036" s="1878" t="str">
        <f t="shared" si="686"/>
        <v xml:space="preserve">10.- C Lima Caucho 0260507-OT_136969  Reencauche  </v>
      </c>
      <c r="Z3036" s="19" t="str">
        <f t="shared" si="697"/>
        <v>ReencaucheReencauchadora RENOVA</v>
      </c>
    </row>
    <row r="3037" spans="1:26" outlineLevel="1">
      <c r="B3037" s="3252"/>
      <c r="C3037" s="2">
        <f t="shared" si="698"/>
        <v>214</v>
      </c>
      <c r="D3037" s="3">
        <f t="shared" si="699"/>
        <v>22</v>
      </c>
      <c r="E3037" s="66">
        <v>11</v>
      </c>
      <c r="F3037" s="67" t="s">
        <v>732</v>
      </c>
      <c r="G3037" s="217" t="s">
        <v>757</v>
      </c>
      <c r="H3037" s="218" t="s">
        <v>1979</v>
      </c>
      <c r="I3037" s="275" t="s">
        <v>726</v>
      </c>
      <c r="J3037" s="277" t="s">
        <v>760</v>
      </c>
      <c r="K3037" s="220" t="s">
        <v>2277</v>
      </c>
      <c r="L3037" s="221">
        <v>40381</v>
      </c>
      <c r="M3037" s="222" t="s">
        <v>729</v>
      </c>
      <c r="N3037" s="74">
        <v>40399</v>
      </c>
      <c r="O3037" s="75">
        <f t="shared" si="700"/>
        <v>40399</v>
      </c>
      <c r="P3037" s="2765"/>
      <c r="Q3037" s="2959">
        <v>94.63</v>
      </c>
      <c r="R3037" s="223"/>
      <c r="S3037" s="1955" t="s">
        <v>731</v>
      </c>
      <c r="T3037" s="598" t="s">
        <v>2276</v>
      </c>
      <c r="U3037" s="1935"/>
      <c r="V3037" s="2079">
        <f t="shared" si="687"/>
        <v>111.6634</v>
      </c>
      <c r="W3037" s="78">
        <f t="shared" si="688"/>
        <v>0</v>
      </c>
      <c r="X3037" s="1878" t="str">
        <f t="shared" si="686"/>
        <v>11.- C Goodyear 2304-OT_136970  Reencauche   Rch x AMC</v>
      </c>
      <c r="Z3037" s="19" t="str">
        <f t="shared" si="697"/>
        <v>ReencaucheReencauchadora RENOVA</v>
      </c>
    </row>
    <row r="3038" spans="1:26" outlineLevel="1">
      <c r="B3038" s="3252"/>
      <c r="C3038" s="2">
        <f t="shared" si="698"/>
        <v>213</v>
      </c>
      <c r="D3038" s="3">
        <f t="shared" si="699"/>
        <v>21</v>
      </c>
      <c r="E3038" s="66">
        <v>12</v>
      </c>
      <c r="F3038" s="67" t="s">
        <v>732</v>
      </c>
      <c r="G3038" s="217" t="s">
        <v>737</v>
      </c>
      <c r="H3038" s="218" t="s">
        <v>960</v>
      </c>
      <c r="I3038" s="275" t="s">
        <v>726</v>
      </c>
      <c r="J3038" s="277" t="s">
        <v>760</v>
      </c>
      <c r="K3038" s="220" t="s">
        <v>2277</v>
      </c>
      <c r="L3038" s="221">
        <v>40381</v>
      </c>
      <c r="M3038" s="222" t="s">
        <v>729</v>
      </c>
      <c r="N3038" s="74">
        <v>40399</v>
      </c>
      <c r="O3038" s="75">
        <f t="shared" si="700"/>
        <v>40399</v>
      </c>
      <c r="P3038" s="2765"/>
      <c r="Q3038" s="2959">
        <v>94.63</v>
      </c>
      <c r="R3038" s="223"/>
      <c r="S3038" s="1955" t="s">
        <v>731</v>
      </c>
      <c r="T3038" s="598" t="s">
        <v>2276</v>
      </c>
      <c r="U3038" s="1935"/>
      <c r="V3038" s="2079">
        <f t="shared" si="687"/>
        <v>111.6634</v>
      </c>
      <c r="W3038" s="78">
        <f t="shared" si="688"/>
        <v>0</v>
      </c>
      <c r="X3038" s="1878" t="str">
        <f t="shared" si="686"/>
        <v>12.- C Vikrant 0800505-OT_136970  Reencauche   Rch x AMC</v>
      </c>
      <c r="Z3038" s="19" t="str">
        <f t="shared" si="697"/>
        <v>AMC Llantas</v>
      </c>
    </row>
    <row r="3039" spans="1:26" outlineLevel="1">
      <c r="B3039" s="3252"/>
      <c r="C3039" s="2">
        <f t="shared" si="698"/>
        <v>212</v>
      </c>
      <c r="D3039" s="3">
        <f t="shared" si="699"/>
        <v>20</v>
      </c>
      <c r="E3039" s="66">
        <v>13</v>
      </c>
      <c r="F3039" s="67" t="s">
        <v>732</v>
      </c>
      <c r="G3039" s="68" t="s">
        <v>737</v>
      </c>
      <c r="H3039" s="69" t="s">
        <v>2278</v>
      </c>
      <c r="I3039" s="299" t="s">
        <v>726</v>
      </c>
      <c r="J3039" s="301" t="s">
        <v>760</v>
      </c>
      <c r="K3039" s="71" t="s">
        <v>2277</v>
      </c>
      <c r="L3039" s="72">
        <v>40381</v>
      </c>
      <c r="M3039" s="73" t="s">
        <v>729</v>
      </c>
      <c r="N3039" s="74">
        <v>40399</v>
      </c>
      <c r="O3039" s="75">
        <f t="shared" si="700"/>
        <v>40399</v>
      </c>
      <c r="P3039" s="2765"/>
      <c r="Q3039" s="2959">
        <v>94.63</v>
      </c>
      <c r="R3039" s="76"/>
      <c r="S3039" s="1945" t="s">
        <v>731</v>
      </c>
      <c r="T3039" s="77"/>
      <c r="U3039" s="1893"/>
      <c r="V3039" s="2079">
        <f t="shared" si="687"/>
        <v>111.6634</v>
      </c>
      <c r="W3039" s="78">
        <f t="shared" si="688"/>
        <v>0</v>
      </c>
      <c r="X3039" s="1878" t="str">
        <f t="shared" si="686"/>
        <v xml:space="preserve">13.- C Vikrant 0520709-OT_136970  Reencauche  </v>
      </c>
      <c r="Z3039" s="19" t="str">
        <f t="shared" si="697"/>
        <v>ReencaucheAMC Llantas</v>
      </c>
    </row>
    <row r="3040" spans="1:26" outlineLevel="1">
      <c r="B3040" s="3252"/>
      <c r="C3040" s="2">
        <f>1+C3042</f>
        <v>211</v>
      </c>
      <c r="D3040" s="3">
        <f>1+D3042</f>
        <v>19</v>
      </c>
      <c r="E3040" s="79">
        <v>14</v>
      </c>
      <c r="F3040" s="149" t="s">
        <v>732</v>
      </c>
      <c r="G3040" s="600" t="s">
        <v>737</v>
      </c>
      <c r="H3040" s="82" t="s">
        <v>2279</v>
      </c>
      <c r="I3040" s="81" t="s">
        <v>726</v>
      </c>
      <c r="J3040" s="83" t="s">
        <v>760</v>
      </c>
      <c r="K3040" s="84" t="s">
        <v>2277</v>
      </c>
      <c r="L3040" s="85">
        <v>40381</v>
      </c>
      <c r="M3040" s="86" t="s">
        <v>729</v>
      </c>
      <c r="N3040" s="87">
        <v>40399</v>
      </c>
      <c r="O3040" s="88">
        <f t="shared" si="700"/>
        <v>40399</v>
      </c>
      <c r="P3040" s="2766"/>
      <c r="Q3040" s="2991">
        <v>94.63</v>
      </c>
      <c r="R3040" s="89"/>
      <c r="S3040" s="1946" t="s">
        <v>731</v>
      </c>
      <c r="T3040" s="77"/>
      <c r="U3040" s="1893"/>
      <c r="V3040" s="2079">
        <f t="shared" si="687"/>
        <v>111.6634</v>
      </c>
      <c r="W3040" s="78">
        <f t="shared" si="688"/>
        <v>0</v>
      </c>
      <c r="X3040" s="1878" t="str">
        <f t="shared" si="686"/>
        <v xml:space="preserve">14.- C Vikrant 0650809-OT_136970  Reencauche  </v>
      </c>
      <c r="Z3040" s="19" t="str">
        <f t="shared" si="697"/>
        <v>AMC Llantas</v>
      </c>
    </row>
    <row r="3041" spans="2:31" outlineLevel="1">
      <c r="B3041" s="3252"/>
      <c r="E3041" s="406">
        <v>1</v>
      </c>
      <c r="F3041" s="573" t="s">
        <v>732</v>
      </c>
      <c r="G3041" s="290" t="s">
        <v>737</v>
      </c>
      <c r="H3041" s="289" t="s">
        <v>960</v>
      </c>
      <c r="I3041" s="290"/>
      <c r="J3041" s="291" t="s">
        <v>1961</v>
      </c>
      <c r="K3041" s="292" t="s">
        <v>2280</v>
      </c>
      <c r="L3041" s="293">
        <v>40378</v>
      </c>
      <c r="M3041" s="294" t="s">
        <v>1815</v>
      </c>
      <c r="N3041" s="295">
        <v>40379</v>
      </c>
      <c r="O3041" s="296">
        <f t="shared" si="700"/>
        <v>40379</v>
      </c>
      <c r="P3041" s="2795"/>
      <c r="Q3041" s="2976"/>
      <c r="R3041" s="286">
        <v>0</v>
      </c>
      <c r="S3041" s="1962" t="s">
        <v>731</v>
      </c>
      <c r="T3041" s="274" t="s">
        <v>1617</v>
      </c>
      <c r="U3041" s="1895"/>
      <c r="V3041" s="2079">
        <f t="shared" si="687"/>
        <v>0</v>
      </c>
      <c r="W3041" s="78">
        <f t="shared" si="688"/>
        <v>0</v>
      </c>
      <c r="X3041" s="1878" t="str">
        <f t="shared" si="686"/>
        <v>1.- C Vikrant 0800505-OT_000434     Llanta Rechazada, no se facturo</v>
      </c>
      <c r="Z3041" s="19" t="str">
        <f t="shared" si="697"/>
        <v>ReencaucheAMC Llantas</v>
      </c>
    </row>
    <row r="3042" spans="2:31" outlineLevel="1">
      <c r="B3042" s="3252"/>
      <c r="C3042" s="2">
        <f>1+C3044</f>
        <v>210</v>
      </c>
      <c r="D3042" s="3">
        <f>1+D3044</f>
        <v>18</v>
      </c>
      <c r="E3042" s="343">
        <v>2</v>
      </c>
      <c r="F3042" s="94" t="s">
        <v>732</v>
      </c>
      <c r="G3042" s="299" t="s">
        <v>737</v>
      </c>
      <c r="H3042" s="300" t="s">
        <v>1426</v>
      </c>
      <c r="I3042" s="299" t="s">
        <v>726</v>
      </c>
      <c r="J3042" s="301" t="s">
        <v>1961</v>
      </c>
      <c r="K3042" s="98" t="s">
        <v>2280</v>
      </c>
      <c r="L3042" s="99">
        <v>40378</v>
      </c>
      <c r="M3042" s="100" t="s">
        <v>729</v>
      </c>
      <c r="N3042" s="153">
        <v>40381</v>
      </c>
      <c r="O3042" s="154">
        <f t="shared" si="700"/>
        <v>40381</v>
      </c>
      <c r="P3042" s="344"/>
      <c r="Q3042" s="2959"/>
      <c r="R3042" s="103">
        <f>310/(1.19)</f>
        <v>260.50420168067228</v>
      </c>
      <c r="S3042" s="1945" t="s">
        <v>731</v>
      </c>
      <c r="T3042" s="77"/>
      <c r="U3042" s="1893"/>
      <c r="V3042" s="2079">
        <f t="shared" si="687"/>
        <v>0</v>
      </c>
      <c r="W3042" s="78">
        <f t="shared" si="688"/>
        <v>307.39495798319325</v>
      </c>
      <c r="X3042" s="1878" t="str">
        <f t="shared" ref="X3042:X3105" si="701">CONCATENATE(E3042,".- ",F3042," ",G3042," ",H3042,"-OT_",K3042," "," ",I3042," ",P3042," ",T3042)</f>
        <v xml:space="preserve">2.- C Vikrant 0670906-OT_000434  Reencauche  </v>
      </c>
      <c r="Z3042" s="19" t="str">
        <f t="shared" si="697"/>
        <v>AMC Llantas</v>
      </c>
    </row>
    <row r="3043" spans="2:31" outlineLevel="1">
      <c r="B3043" s="3252"/>
      <c r="E3043" s="406">
        <v>3</v>
      </c>
      <c r="F3043" s="573" t="s">
        <v>732</v>
      </c>
      <c r="G3043" s="290" t="s">
        <v>733</v>
      </c>
      <c r="H3043" s="289" t="s">
        <v>1464</v>
      </c>
      <c r="I3043" s="290"/>
      <c r="J3043" s="291" t="s">
        <v>1961</v>
      </c>
      <c r="K3043" s="292" t="s">
        <v>2280</v>
      </c>
      <c r="L3043" s="293">
        <v>40378</v>
      </c>
      <c r="M3043" s="294" t="s">
        <v>1815</v>
      </c>
      <c r="N3043" s="295">
        <v>40379</v>
      </c>
      <c r="O3043" s="296">
        <f t="shared" si="700"/>
        <v>40379</v>
      </c>
      <c r="P3043" s="2795"/>
      <c r="Q3043" s="2976"/>
      <c r="R3043" s="286">
        <v>0</v>
      </c>
      <c r="S3043" s="1962" t="s">
        <v>731</v>
      </c>
      <c r="T3043" s="274" t="s">
        <v>1617</v>
      </c>
      <c r="U3043" s="1895"/>
      <c r="V3043" s="2079">
        <f t="shared" ref="V3043:V3106" si="702">+Q3043*(1.18)</f>
        <v>0</v>
      </c>
      <c r="W3043" s="78">
        <f t="shared" ref="W3043:W3106" si="703">+R3043*(1.18)</f>
        <v>0</v>
      </c>
      <c r="X3043" s="1878" t="str">
        <f t="shared" si="701"/>
        <v>3.- C Lima Caucho 0020107-OT_000434     Llanta Rechazada, no se facturo</v>
      </c>
      <c r="Z3043" s="19" t="str">
        <f t="shared" si="697"/>
        <v>AMC Llantas</v>
      </c>
      <c r="AE3043" s="601"/>
    </row>
    <row r="3044" spans="2:31" outlineLevel="1">
      <c r="B3044" s="3252"/>
      <c r="C3044" s="2">
        <f>1+C3047</f>
        <v>209</v>
      </c>
      <c r="D3044" s="3">
        <f>1+D3047</f>
        <v>17</v>
      </c>
      <c r="E3044" s="343">
        <v>4</v>
      </c>
      <c r="F3044" s="94" t="s">
        <v>732</v>
      </c>
      <c r="G3044" s="299" t="s">
        <v>757</v>
      </c>
      <c r="H3044" s="300" t="s">
        <v>758</v>
      </c>
      <c r="I3044" s="299" t="s">
        <v>726</v>
      </c>
      <c r="J3044" s="301" t="s">
        <v>1961</v>
      </c>
      <c r="K3044" s="98" t="s">
        <v>2280</v>
      </c>
      <c r="L3044" s="99">
        <v>40378</v>
      </c>
      <c r="M3044" s="100" t="s">
        <v>729</v>
      </c>
      <c r="N3044" s="153">
        <v>40381</v>
      </c>
      <c r="O3044" s="154">
        <f t="shared" si="700"/>
        <v>40381</v>
      </c>
      <c r="P3044" s="344"/>
      <c r="Q3044" s="2959"/>
      <c r="R3044" s="103">
        <f>310/(1.19)</f>
        <v>260.50420168067228</v>
      </c>
      <c r="S3044" s="1945" t="s">
        <v>731</v>
      </c>
      <c r="T3044" s="77"/>
      <c r="U3044" s="1893"/>
      <c r="V3044" s="2079">
        <f t="shared" si="702"/>
        <v>0</v>
      </c>
      <c r="W3044" s="78">
        <f t="shared" si="703"/>
        <v>307.39495798319325</v>
      </c>
      <c r="X3044" s="1878" t="str">
        <f t="shared" si="701"/>
        <v xml:space="preserve">4.- C Goodyear 0650404-OT_000434  Reencauche  </v>
      </c>
      <c r="Z3044" s="19" t="str">
        <f t="shared" si="697"/>
        <v>ReencaucheAMC Llantas</v>
      </c>
    </row>
    <row r="3045" spans="2:31" outlineLevel="1">
      <c r="B3045" s="3252"/>
      <c r="E3045" s="406">
        <v>5</v>
      </c>
      <c r="F3045" s="573" t="s">
        <v>732</v>
      </c>
      <c r="G3045" s="290" t="s">
        <v>757</v>
      </c>
      <c r="H3045" s="289" t="s">
        <v>1979</v>
      </c>
      <c r="I3045" s="290"/>
      <c r="J3045" s="291" t="s">
        <v>1961</v>
      </c>
      <c r="K3045" s="292" t="s">
        <v>2280</v>
      </c>
      <c r="L3045" s="293">
        <v>40378</v>
      </c>
      <c r="M3045" s="294" t="s">
        <v>1815</v>
      </c>
      <c r="N3045" s="295">
        <v>40379</v>
      </c>
      <c r="O3045" s="296">
        <f t="shared" si="700"/>
        <v>40379</v>
      </c>
      <c r="P3045" s="2795"/>
      <c r="Q3045" s="2976"/>
      <c r="R3045" s="286">
        <v>0</v>
      </c>
      <c r="S3045" s="1962" t="s">
        <v>731</v>
      </c>
      <c r="T3045" s="274" t="s">
        <v>1617</v>
      </c>
      <c r="U3045" s="1895"/>
      <c r="V3045" s="2079">
        <f t="shared" si="702"/>
        <v>0</v>
      </c>
      <c r="W3045" s="78">
        <f t="shared" si="703"/>
        <v>0</v>
      </c>
      <c r="X3045" s="1878" t="str">
        <f t="shared" si="701"/>
        <v>5.- C Goodyear 2304-OT_000434     Llanta Rechazada, no se facturo</v>
      </c>
      <c r="Z3045" s="19" t="str">
        <f t="shared" si="697"/>
        <v>ReencaucheAMC Llantas</v>
      </c>
    </row>
    <row r="3046" spans="2:31" outlineLevel="1">
      <c r="B3046" s="3252"/>
      <c r="E3046" s="406">
        <v>6</v>
      </c>
      <c r="F3046" s="573" t="s">
        <v>732</v>
      </c>
      <c r="G3046" s="290" t="s">
        <v>733</v>
      </c>
      <c r="H3046" s="289" t="s">
        <v>1839</v>
      </c>
      <c r="I3046" s="290"/>
      <c r="J3046" s="291" t="s">
        <v>1961</v>
      </c>
      <c r="K3046" s="292" t="s">
        <v>2280</v>
      </c>
      <c r="L3046" s="293">
        <v>40378</v>
      </c>
      <c r="M3046" s="294" t="s">
        <v>1815</v>
      </c>
      <c r="N3046" s="295">
        <v>40379</v>
      </c>
      <c r="O3046" s="296">
        <f t="shared" si="700"/>
        <v>40379</v>
      </c>
      <c r="P3046" s="2795"/>
      <c r="Q3046" s="2976"/>
      <c r="R3046" s="286">
        <v>0</v>
      </c>
      <c r="S3046" s="1962" t="s">
        <v>731</v>
      </c>
      <c r="T3046" s="274" t="s">
        <v>1617</v>
      </c>
      <c r="U3046" s="1895"/>
      <c r="V3046" s="2079">
        <f t="shared" si="702"/>
        <v>0</v>
      </c>
      <c r="W3046" s="78">
        <f t="shared" si="703"/>
        <v>0</v>
      </c>
      <c r="X3046" s="1878" t="str">
        <f t="shared" si="701"/>
        <v>6.- C Lima Caucho 0270508-OT_000434     Llanta Rechazada, no se facturo</v>
      </c>
      <c r="Z3046" s="19" t="str">
        <f t="shared" si="697"/>
        <v>ReencaucheReencauchadora Espinoza</v>
      </c>
    </row>
    <row r="3047" spans="2:31" outlineLevel="1">
      <c r="B3047" s="3252"/>
      <c r="C3047" s="2">
        <f t="shared" ref="C3047:C3061" si="704">1+C3048</f>
        <v>208</v>
      </c>
      <c r="D3047" s="3">
        <f t="shared" ref="D3047:D3061" si="705">1+D3048</f>
        <v>16</v>
      </c>
      <c r="E3047" s="343">
        <v>7</v>
      </c>
      <c r="F3047" s="94" t="s">
        <v>732</v>
      </c>
      <c r="G3047" s="299" t="s">
        <v>737</v>
      </c>
      <c r="H3047" s="300" t="s">
        <v>2281</v>
      </c>
      <c r="I3047" s="299" t="s">
        <v>726</v>
      </c>
      <c r="J3047" s="301" t="s">
        <v>1961</v>
      </c>
      <c r="K3047" s="98" t="s">
        <v>2280</v>
      </c>
      <c r="L3047" s="99">
        <v>40378</v>
      </c>
      <c r="M3047" s="100" t="s">
        <v>729</v>
      </c>
      <c r="N3047" s="153">
        <v>40381</v>
      </c>
      <c r="O3047" s="154">
        <f t="shared" si="700"/>
        <v>40381</v>
      </c>
      <c r="P3047" s="344"/>
      <c r="Q3047" s="2959"/>
      <c r="R3047" s="103">
        <f>310/(1.19)</f>
        <v>260.50420168067228</v>
      </c>
      <c r="S3047" s="1945" t="s">
        <v>731</v>
      </c>
      <c r="T3047" s="77"/>
      <c r="U3047" s="1893"/>
      <c r="V3047" s="2079">
        <f t="shared" si="702"/>
        <v>0</v>
      </c>
      <c r="W3047" s="78">
        <f t="shared" si="703"/>
        <v>307.39495798319325</v>
      </c>
      <c r="X3047" s="1878" t="str">
        <f t="shared" si="701"/>
        <v xml:space="preserve">7.- C Vikrant 0090109-OT_000434  Reencauche  </v>
      </c>
      <c r="Z3047" s="19" t="str">
        <f t="shared" si="697"/>
        <v>ReencaucheReencauchadora Espinoza</v>
      </c>
    </row>
    <row r="3048" spans="2:31" outlineLevel="1">
      <c r="B3048" s="3252"/>
      <c r="C3048" s="2">
        <f t="shared" si="704"/>
        <v>207</v>
      </c>
      <c r="D3048" s="3">
        <f t="shared" si="705"/>
        <v>15</v>
      </c>
      <c r="E3048" s="602">
        <v>8</v>
      </c>
      <c r="F3048" s="104" t="s">
        <v>732</v>
      </c>
      <c r="G3048" s="603" t="s">
        <v>737</v>
      </c>
      <c r="H3048" s="604" t="s">
        <v>1475</v>
      </c>
      <c r="I3048" s="603" t="s">
        <v>726</v>
      </c>
      <c r="J3048" s="605" t="s">
        <v>1961</v>
      </c>
      <c r="K3048" s="108" t="s">
        <v>2280</v>
      </c>
      <c r="L3048" s="109">
        <v>40378</v>
      </c>
      <c r="M3048" s="110" t="s">
        <v>729</v>
      </c>
      <c r="N3048" s="606">
        <v>40381</v>
      </c>
      <c r="O3048" s="607">
        <f t="shared" si="700"/>
        <v>40381</v>
      </c>
      <c r="P3048" s="2774"/>
      <c r="Q3048" s="2965"/>
      <c r="R3048" s="113">
        <f>310/(1.19)</f>
        <v>260.50420168067228</v>
      </c>
      <c r="S3048" s="1946" t="s">
        <v>731</v>
      </c>
      <c r="T3048" s="77"/>
      <c r="U3048" s="1893"/>
      <c r="V3048" s="2079">
        <f t="shared" si="702"/>
        <v>0</v>
      </c>
      <c r="W3048" s="78">
        <f t="shared" si="703"/>
        <v>307.39495798319325</v>
      </c>
      <c r="X3048" s="1878" t="str">
        <f t="shared" si="701"/>
        <v xml:space="preserve">8.- C Vikrant 0100109-OT_000434  Reencauche  </v>
      </c>
      <c r="Z3048" s="19" t="str">
        <f t="shared" si="697"/>
        <v>REPARACIONReencauchadora Espinoza</v>
      </c>
    </row>
    <row r="3049" spans="2:31" outlineLevel="1">
      <c r="B3049" s="3252"/>
      <c r="C3049" s="2">
        <f t="shared" si="704"/>
        <v>206</v>
      </c>
      <c r="D3049" s="3">
        <f t="shared" si="705"/>
        <v>14</v>
      </c>
      <c r="E3049" s="66">
        <v>1</v>
      </c>
      <c r="F3049" s="67" t="s">
        <v>732</v>
      </c>
      <c r="G3049" s="68" t="s">
        <v>778</v>
      </c>
      <c r="H3049" s="69" t="s">
        <v>2284</v>
      </c>
      <c r="I3049" s="68" t="s">
        <v>726</v>
      </c>
      <c r="J3049" s="70" t="s">
        <v>1543</v>
      </c>
      <c r="K3049" s="71" t="s">
        <v>2285</v>
      </c>
      <c r="L3049" s="72">
        <v>40372</v>
      </c>
      <c r="M3049" s="73"/>
      <c r="N3049" s="74">
        <v>40386</v>
      </c>
      <c r="O3049" s="75">
        <f t="shared" si="700"/>
        <v>40386</v>
      </c>
      <c r="P3049" s="2765"/>
      <c r="Q3049" s="2954"/>
      <c r="R3049" s="76">
        <f>300/(1.19)</f>
        <v>252.10084033613447</v>
      </c>
      <c r="S3049" s="1945" t="s">
        <v>731</v>
      </c>
      <c r="T3049" s="608" t="s">
        <v>2276</v>
      </c>
      <c r="U3049" s="1893"/>
      <c r="V3049" s="2079">
        <f t="shared" si="702"/>
        <v>0</v>
      </c>
      <c r="W3049" s="78">
        <f t="shared" si="703"/>
        <v>297.47899159663865</v>
      </c>
      <c r="X3049" s="1878" t="str">
        <f t="shared" si="701"/>
        <v>1.- C Riverstone 1420704-OT_000060  Reencauche   Rch x AMC</v>
      </c>
      <c r="Z3049" s="19" t="str">
        <f t="shared" si="697"/>
        <v>ReencaucheReencauchadora RENOVA</v>
      </c>
    </row>
    <row r="3050" spans="2:31" outlineLevel="1">
      <c r="B3050" s="3252"/>
      <c r="C3050" s="2">
        <f t="shared" si="704"/>
        <v>205</v>
      </c>
      <c r="D3050" s="3">
        <f t="shared" si="705"/>
        <v>13</v>
      </c>
      <c r="E3050" s="66">
        <v>2</v>
      </c>
      <c r="F3050" s="67" t="s">
        <v>732</v>
      </c>
      <c r="G3050" s="68" t="s">
        <v>733</v>
      </c>
      <c r="H3050" s="69" t="s">
        <v>1915</v>
      </c>
      <c r="I3050" s="68" t="s">
        <v>726</v>
      </c>
      <c r="J3050" s="70" t="s">
        <v>1543</v>
      </c>
      <c r="K3050" s="71" t="s">
        <v>2285</v>
      </c>
      <c r="L3050" s="72">
        <v>40372</v>
      </c>
      <c r="M3050" s="73"/>
      <c r="N3050" s="74">
        <v>40386</v>
      </c>
      <c r="O3050" s="75">
        <f t="shared" si="700"/>
        <v>40386</v>
      </c>
      <c r="P3050" s="2765"/>
      <c r="Q3050" s="2954"/>
      <c r="R3050" s="76">
        <f>300/(1.19)</f>
        <v>252.10084033613447</v>
      </c>
      <c r="S3050" s="1945" t="s">
        <v>731</v>
      </c>
      <c r="T3050" s="608" t="s">
        <v>2286</v>
      </c>
      <c r="U3050" s="1893"/>
      <c r="V3050" s="2079">
        <f t="shared" si="702"/>
        <v>0</v>
      </c>
      <c r="W3050" s="78">
        <f t="shared" si="703"/>
        <v>297.47899159663865</v>
      </c>
      <c r="X3050" s="1878" t="str">
        <f t="shared" si="701"/>
        <v>2.- C Lima Caucho 1381207-OT_000060  Reencauche   Rch x RENOVA</v>
      </c>
      <c r="Z3050" s="19" t="str">
        <f t="shared" si="697"/>
        <v>ReencaucheReencauchadora RENOVA</v>
      </c>
    </row>
    <row r="3051" spans="2:31" outlineLevel="1">
      <c r="B3051" s="3252"/>
      <c r="C3051" s="2">
        <f t="shared" si="704"/>
        <v>204</v>
      </c>
      <c r="D3051" s="3">
        <f t="shared" si="705"/>
        <v>12</v>
      </c>
      <c r="E3051" s="79">
        <v>3</v>
      </c>
      <c r="F3051" s="80" t="s">
        <v>732</v>
      </c>
      <c r="G3051" s="114" t="s">
        <v>1108</v>
      </c>
      <c r="H3051" s="115" t="s">
        <v>2289</v>
      </c>
      <c r="I3051" s="262" t="s">
        <v>2241</v>
      </c>
      <c r="J3051" s="93" t="s">
        <v>1543</v>
      </c>
      <c r="K3051" s="350" t="s">
        <v>2290</v>
      </c>
      <c r="L3051" s="351">
        <v>40372</v>
      </c>
      <c r="M3051" s="352"/>
      <c r="N3051" s="87">
        <v>40386</v>
      </c>
      <c r="O3051" s="88">
        <f t="shared" si="700"/>
        <v>40386</v>
      </c>
      <c r="P3051" s="2806"/>
      <c r="Q3051" s="2955"/>
      <c r="R3051" s="353">
        <f>125/(1.19)</f>
        <v>105.0420168067227</v>
      </c>
      <c r="S3051" s="1966" t="s">
        <v>731</v>
      </c>
      <c r="T3051" s="609" t="s">
        <v>2291</v>
      </c>
      <c r="U3051" s="1936"/>
      <c r="V3051" s="2079">
        <f t="shared" si="702"/>
        <v>0</v>
      </c>
      <c r="W3051" s="78">
        <f t="shared" si="703"/>
        <v>123.94957983193278</v>
      </c>
      <c r="X3051" s="1878" t="str">
        <f t="shared" si="701"/>
        <v>3.- C Hankook 0420305-OT_0000060  REPARACION   Cortada en banda y costado, llanta en 13mm [T-214 (01 vida)]</v>
      </c>
      <c r="Z3051" s="19" t="str">
        <f t="shared" si="697"/>
        <v>ReencaucheReencauchadora RENOVA</v>
      </c>
    </row>
    <row r="3052" spans="2:31" outlineLevel="1">
      <c r="B3052" s="3252"/>
      <c r="C3052" s="2">
        <f t="shared" si="704"/>
        <v>203</v>
      </c>
      <c r="D3052" s="3">
        <f t="shared" si="705"/>
        <v>11</v>
      </c>
      <c r="E3052" s="343">
        <v>1</v>
      </c>
      <c r="F3052" s="94" t="s">
        <v>732</v>
      </c>
      <c r="G3052" s="299" t="s">
        <v>733</v>
      </c>
      <c r="H3052" s="300" t="s">
        <v>1529</v>
      </c>
      <c r="I3052" s="299" t="s">
        <v>726</v>
      </c>
      <c r="J3052" s="301" t="s">
        <v>760</v>
      </c>
      <c r="K3052" s="98" t="s">
        <v>2292</v>
      </c>
      <c r="L3052" s="99">
        <v>40369</v>
      </c>
      <c r="M3052" s="100" t="s">
        <v>729</v>
      </c>
      <c r="N3052" s="153">
        <v>40376</v>
      </c>
      <c r="O3052" s="154">
        <f t="shared" si="700"/>
        <v>40376</v>
      </c>
      <c r="P3052" s="344"/>
      <c r="Q3052" s="2959">
        <v>94.63</v>
      </c>
      <c r="R3052" s="103"/>
      <c r="S3052" s="1945" t="s">
        <v>731</v>
      </c>
      <c r="T3052" s="610"/>
      <c r="U3052" s="1894"/>
      <c r="V3052" s="2079">
        <f t="shared" si="702"/>
        <v>111.6634</v>
      </c>
      <c r="W3052" s="78">
        <f t="shared" si="703"/>
        <v>0</v>
      </c>
      <c r="X3052" s="1878" t="str">
        <f t="shared" si="701"/>
        <v xml:space="preserve">1.- C Lima Caucho 0060108-OT_136301  Reencauche  </v>
      </c>
      <c r="Z3052" s="19" t="str">
        <f t="shared" si="697"/>
        <v>ReencaucheReencauchadora RENOVA</v>
      </c>
    </row>
    <row r="3053" spans="2:31" outlineLevel="1">
      <c r="B3053" s="3252"/>
      <c r="C3053" s="2">
        <f t="shared" si="704"/>
        <v>202</v>
      </c>
      <c r="D3053" s="3">
        <f t="shared" si="705"/>
        <v>10</v>
      </c>
      <c r="E3053" s="343">
        <v>2</v>
      </c>
      <c r="F3053" s="94" t="s">
        <v>732</v>
      </c>
      <c r="G3053" s="299" t="s">
        <v>733</v>
      </c>
      <c r="H3053" s="300" t="s">
        <v>2293</v>
      </c>
      <c r="I3053" s="299" t="s">
        <v>726</v>
      </c>
      <c r="J3053" s="301" t="s">
        <v>760</v>
      </c>
      <c r="K3053" s="98" t="s">
        <v>2292</v>
      </c>
      <c r="L3053" s="99">
        <v>40369</v>
      </c>
      <c r="M3053" s="100" t="s">
        <v>729</v>
      </c>
      <c r="N3053" s="153">
        <v>40376</v>
      </c>
      <c r="O3053" s="154">
        <f t="shared" si="700"/>
        <v>40376</v>
      </c>
      <c r="P3053" s="344"/>
      <c r="Q3053" s="2959">
        <v>94.63</v>
      </c>
      <c r="R3053" s="103"/>
      <c r="S3053" s="1945" t="s">
        <v>731</v>
      </c>
      <c r="T3053" s="610"/>
      <c r="U3053" s="1894"/>
      <c r="V3053" s="2079">
        <f t="shared" si="702"/>
        <v>111.6634</v>
      </c>
      <c r="W3053" s="78">
        <f t="shared" si="703"/>
        <v>0</v>
      </c>
      <c r="X3053" s="1878" t="str">
        <f t="shared" si="701"/>
        <v xml:space="preserve">2.- C Lima Caucho 0060107-OT_136301  Reencauche  </v>
      </c>
      <c r="Z3053" s="19" t="str">
        <f t="shared" si="697"/>
        <v>ReencaucheReencauchadora RENOVA</v>
      </c>
    </row>
    <row r="3054" spans="2:31" outlineLevel="1">
      <c r="B3054" s="3252"/>
      <c r="C3054" s="2">
        <f t="shared" si="704"/>
        <v>201</v>
      </c>
      <c r="D3054" s="3">
        <f t="shared" si="705"/>
        <v>9</v>
      </c>
      <c r="E3054" s="343">
        <v>3</v>
      </c>
      <c r="F3054" s="94" t="s">
        <v>732</v>
      </c>
      <c r="G3054" s="299" t="s">
        <v>733</v>
      </c>
      <c r="H3054" s="300" t="s">
        <v>2294</v>
      </c>
      <c r="I3054" s="299" t="s">
        <v>726</v>
      </c>
      <c r="J3054" s="301" t="s">
        <v>760</v>
      </c>
      <c r="K3054" s="98" t="s">
        <v>2292</v>
      </c>
      <c r="L3054" s="99">
        <v>40369</v>
      </c>
      <c r="M3054" s="100" t="s">
        <v>729</v>
      </c>
      <c r="N3054" s="153">
        <v>40376</v>
      </c>
      <c r="O3054" s="154">
        <f t="shared" si="700"/>
        <v>40376</v>
      </c>
      <c r="P3054" s="344"/>
      <c r="Q3054" s="2959">
        <v>94.63</v>
      </c>
      <c r="R3054" s="103"/>
      <c r="S3054" s="1945" t="s">
        <v>731</v>
      </c>
      <c r="T3054" s="610"/>
      <c r="U3054" s="1894"/>
      <c r="V3054" s="2079">
        <f t="shared" si="702"/>
        <v>111.6634</v>
      </c>
      <c r="W3054" s="78">
        <f t="shared" si="703"/>
        <v>0</v>
      </c>
      <c r="X3054" s="1878" t="str">
        <f t="shared" si="701"/>
        <v xml:space="preserve">3.- C Lima Caucho 0550708-OT_136301  Reencauche  </v>
      </c>
      <c r="Z3054" s="19" t="str">
        <f t="shared" si="697"/>
        <v>ReencaucheReencauchadora RENOVA</v>
      </c>
    </row>
    <row r="3055" spans="2:31" outlineLevel="1">
      <c r="B3055" s="3252"/>
      <c r="C3055" s="2">
        <f t="shared" si="704"/>
        <v>200</v>
      </c>
      <c r="D3055" s="3">
        <f t="shared" si="705"/>
        <v>8</v>
      </c>
      <c r="E3055" s="343">
        <v>4</v>
      </c>
      <c r="F3055" s="94" t="s">
        <v>732</v>
      </c>
      <c r="G3055" s="299" t="s">
        <v>733</v>
      </c>
      <c r="H3055" s="300" t="s">
        <v>1127</v>
      </c>
      <c r="I3055" s="299" t="s">
        <v>726</v>
      </c>
      <c r="J3055" s="301" t="s">
        <v>760</v>
      </c>
      <c r="K3055" s="98" t="s">
        <v>2292</v>
      </c>
      <c r="L3055" s="99">
        <v>40369</v>
      </c>
      <c r="M3055" s="100" t="s">
        <v>729</v>
      </c>
      <c r="N3055" s="153">
        <v>40376</v>
      </c>
      <c r="O3055" s="154">
        <f t="shared" si="700"/>
        <v>40376</v>
      </c>
      <c r="P3055" s="344"/>
      <c r="Q3055" s="2959">
        <v>94.63</v>
      </c>
      <c r="R3055" s="103"/>
      <c r="S3055" s="1945" t="s">
        <v>731</v>
      </c>
      <c r="T3055" s="610"/>
      <c r="U3055" s="1894"/>
      <c r="V3055" s="2079">
        <f t="shared" si="702"/>
        <v>111.6634</v>
      </c>
      <c r="W3055" s="78">
        <f t="shared" si="703"/>
        <v>0</v>
      </c>
      <c r="X3055" s="1878" t="str">
        <f t="shared" si="701"/>
        <v xml:space="preserve">4.- C Lima Caucho 0280508-OT_136301  Reencauche  </v>
      </c>
      <c r="Z3055" s="19" t="str">
        <f t="shared" si="697"/>
        <v>ReencaucheReencauchadora RENOVA</v>
      </c>
    </row>
    <row r="3056" spans="2:31" outlineLevel="1">
      <c r="B3056" s="3252"/>
      <c r="C3056" s="2">
        <f t="shared" si="704"/>
        <v>199</v>
      </c>
      <c r="D3056" s="3">
        <f t="shared" si="705"/>
        <v>7</v>
      </c>
      <c r="E3056" s="343">
        <v>5</v>
      </c>
      <c r="F3056" s="94" t="s">
        <v>732</v>
      </c>
      <c r="G3056" s="299" t="s">
        <v>733</v>
      </c>
      <c r="H3056" s="300" t="s">
        <v>1026</v>
      </c>
      <c r="I3056" s="299" t="s">
        <v>726</v>
      </c>
      <c r="J3056" s="301" t="s">
        <v>760</v>
      </c>
      <c r="K3056" s="98" t="s">
        <v>2292</v>
      </c>
      <c r="L3056" s="99">
        <v>40369</v>
      </c>
      <c r="M3056" s="100" t="s">
        <v>729</v>
      </c>
      <c r="N3056" s="153">
        <v>40376</v>
      </c>
      <c r="O3056" s="154">
        <f t="shared" si="700"/>
        <v>40376</v>
      </c>
      <c r="P3056" s="344"/>
      <c r="Q3056" s="2959">
        <v>94.63</v>
      </c>
      <c r="R3056" s="103"/>
      <c r="S3056" s="1945" t="s">
        <v>731</v>
      </c>
      <c r="T3056" s="610"/>
      <c r="U3056" s="1894"/>
      <c r="V3056" s="2079">
        <f t="shared" si="702"/>
        <v>111.6634</v>
      </c>
      <c r="W3056" s="78">
        <f t="shared" si="703"/>
        <v>0</v>
      </c>
      <c r="X3056" s="1878" t="str">
        <f t="shared" si="701"/>
        <v xml:space="preserve">5.- C Lima Caucho 0250508-OT_136301  Reencauche  </v>
      </c>
      <c r="Z3056" s="19" t="str">
        <f t="shared" si="697"/>
        <v>ReencaucheReencauchadora RENOVA</v>
      </c>
    </row>
    <row r="3057" spans="2:26" outlineLevel="1">
      <c r="B3057" s="3252"/>
      <c r="C3057" s="2">
        <f t="shared" si="704"/>
        <v>198</v>
      </c>
      <c r="D3057" s="3">
        <f t="shared" si="705"/>
        <v>6</v>
      </c>
      <c r="E3057" s="343">
        <v>6</v>
      </c>
      <c r="F3057" s="94" t="s">
        <v>732</v>
      </c>
      <c r="G3057" s="299" t="s">
        <v>733</v>
      </c>
      <c r="H3057" s="300" t="s">
        <v>1064</v>
      </c>
      <c r="I3057" s="299" t="s">
        <v>726</v>
      </c>
      <c r="J3057" s="301" t="s">
        <v>760</v>
      </c>
      <c r="K3057" s="98" t="s">
        <v>2292</v>
      </c>
      <c r="L3057" s="99">
        <v>40369</v>
      </c>
      <c r="M3057" s="100" t="s">
        <v>729</v>
      </c>
      <c r="N3057" s="153">
        <v>40376</v>
      </c>
      <c r="O3057" s="154">
        <f t="shared" si="700"/>
        <v>40376</v>
      </c>
      <c r="P3057" s="344"/>
      <c r="Q3057" s="2959">
        <v>94.63</v>
      </c>
      <c r="R3057" s="103"/>
      <c r="S3057" s="1945" t="s">
        <v>731</v>
      </c>
      <c r="T3057" s="610"/>
      <c r="U3057" s="1894"/>
      <c r="V3057" s="2079">
        <f t="shared" si="702"/>
        <v>111.6634</v>
      </c>
      <c r="W3057" s="78">
        <f t="shared" si="703"/>
        <v>0</v>
      </c>
      <c r="X3057" s="1878" t="str">
        <f t="shared" si="701"/>
        <v xml:space="preserve">6.- C Lima Caucho 0920908-OT_136301  Reencauche  </v>
      </c>
      <c r="Z3057" s="19" t="str">
        <f t="shared" si="697"/>
        <v>ReencaucheReencauchadora RENOVA</v>
      </c>
    </row>
    <row r="3058" spans="2:26" outlineLevel="1">
      <c r="B3058" s="3252"/>
      <c r="C3058" s="2">
        <f t="shared" si="704"/>
        <v>197</v>
      </c>
      <c r="D3058" s="3">
        <f t="shared" si="705"/>
        <v>5</v>
      </c>
      <c r="E3058" s="343">
        <v>7</v>
      </c>
      <c r="F3058" s="94" t="s">
        <v>732</v>
      </c>
      <c r="G3058" s="299" t="s">
        <v>733</v>
      </c>
      <c r="H3058" s="300" t="s">
        <v>2295</v>
      </c>
      <c r="I3058" s="299" t="s">
        <v>726</v>
      </c>
      <c r="J3058" s="301" t="s">
        <v>760</v>
      </c>
      <c r="K3058" s="98" t="s">
        <v>2292</v>
      </c>
      <c r="L3058" s="99">
        <v>40369</v>
      </c>
      <c r="M3058" s="100" t="s">
        <v>729</v>
      </c>
      <c r="N3058" s="153">
        <v>40376</v>
      </c>
      <c r="O3058" s="154">
        <f t="shared" si="700"/>
        <v>40376</v>
      </c>
      <c r="P3058" s="344"/>
      <c r="Q3058" s="2959">
        <v>94.63</v>
      </c>
      <c r="R3058" s="103"/>
      <c r="S3058" s="1945" t="s">
        <v>731</v>
      </c>
      <c r="T3058" s="610"/>
      <c r="U3058" s="1894"/>
      <c r="V3058" s="2079">
        <f t="shared" si="702"/>
        <v>111.6634</v>
      </c>
      <c r="W3058" s="78">
        <f t="shared" si="703"/>
        <v>0</v>
      </c>
      <c r="X3058" s="1878" t="str">
        <f t="shared" si="701"/>
        <v xml:space="preserve">7.- C Lima Caucho 0420608-OT_136301  Reencauche  </v>
      </c>
      <c r="Z3058" s="19" t="str">
        <f t="shared" si="697"/>
        <v>ReencaucheReencauchadora RENOVA</v>
      </c>
    </row>
    <row r="3059" spans="2:26" outlineLevel="1">
      <c r="B3059" s="3252"/>
      <c r="C3059" s="2">
        <f t="shared" si="704"/>
        <v>196</v>
      </c>
      <c r="D3059" s="3">
        <f t="shared" si="705"/>
        <v>4</v>
      </c>
      <c r="E3059" s="343">
        <v>8</v>
      </c>
      <c r="F3059" s="94" t="s">
        <v>732</v>
      </c>
      <c r="G3059" s="299" t="s">
        <v>757</v>
      </c>
      <c r="H3059" s="300" t="s">
        <v>934</v>
      </c>
      <c r="I3059" s="299" t="s">
        <v>726</v>
      </c>
      <c r="J3059" s="301" t="s">
        <v>760</v>
      </c>
      <c r="K3059" s="98" t="s">
        <v>2292</v>
      </c>
      <c r="L3059" s="99">
        <v>40369</v>
      </c>
      <c r="M3059" s="100" t="s">
        <v>729</v>
      </c>
      <c r="N3059" s="153">
        <v>40376</v>
      </c>
      <c r="O3059" s="154">
        <f t="shared" si="700"/>
        <v>40376</v>
      </c>
      <c r="P3059" s="344"/>
      <c r="Q3059" s="2959">
        <v>94.63</v>
      </c>
      <c r="R3059" s="103"/>
      <c r="S3059" s="1945" t="s">
        <v>731</v>
      </c>
      <c r="T3059" s="610"/>
      <c r="U3059" s="1894"/>
      <c r="V3059" s="2079">
        <f t="shared" si="702"/>
        <v>111.6634</v>
      </c>
      <c r="W3059" s="78">
        <f t="shared" si="703"/>
        <v>0</v>
      </c>
      <c r="X3059" s="1878" t="str">
        <f t="shared" si="701"/>
        <v xml:space="preserve">8.- C Goodyear 050032004-OT_136301  Reencauche  </v>
      </c>
      <c r="Z3059" s="19" t="str">
        <f t="shared" si="697"/>
        <v>ReencaucheReencauchadora RENOVA</v>
      </c>
    </row>
    <row r="3060" spans="2:26">
      <c r="B3060" s="3252"/>
      <c r="C3060" s="2">
        <f t="shared" si="704"/>
        <v>195</v>
      </c>
      <c r="D3060" s="3">
        <f t="shared" si="705"/>
        <v>3</v>
      </c>
      <c r="E3060" s="343">
        <v>9</v>
      </c>
      <c r="F3060" s="94" t="s">
        <v>732</v>
      </c>
      <c r="G3060" s="299" t="s">
        <v>757</v>
      </c>
      <c r="H3060" s="300" t="s">
        <v>1091</v>
      </c>
      <c r="I3060" s="299" t="s">
        <v>726</v>
      </c>
      <c r="J3060" s="301" t="s">
        <v>760</v>
      </c>
      <c r="K3060" s="98" t="s">
        <v>2292</v>
      </c>
      <c r="L3060" s="99">
        <v>40369</v>
      </c>
      <c r="M3060" s="100" t="s">
        <v>729</v>
      </c>
      <c r="N3060" s="153">
        <v>40376</v>
      </c>
      <c r="O3060" s="154">
        <f t="shared" si="700"/>
        <v>40376</v>
      </c>
      <c r="P3060" s="344"/>
      <c r="Q3060" s="2959">
        <v>94.63</v>
      </c>
      <c r="R3060" s="103"/>
      <c r="S3060" s="1945" t="s">
        <v>731</v>
      </c>
      <c r="T3060" s="610"/>
      <c r="U3060" s="1894"/>
      <c r="V3060" s="2079">
        <f t="shared" si="702"/>
        <v>111.6634</v>
      </c>
      <c r="W3060" s="78">
        <f t="shared" si="703"/>
        <v>0</v>
      </c>
      <c r="X3060" s="1878" t="str">
        <f t="shared" si="701"/>
        <v xml:space="preserve">9.- C Goodyear 1160704-OT_136301  Reencauche  </v>
      </c>
    </row>
    <row r="3061" spans="2:26" ht="14.25" customHeight="1" outlineLevel="1">
      <c r="B3061" s="3252"/>
      <c r="C3061" s="2">
        <f t="shared" si="704"/>
        <v>194</v>
      </c>
      <c r="D3061" s="3">
        <f t="shared" si="705"/>
        <v>2</v>
      </c>
      <c r="E3061" s="343">
        <v>10</v>
      </c>
      <c r="F3061" s="94" t="s">
        <v>732</v>
      </c>
      <c r="G3061" s="299" t="s">
        <v>757</v>
      </c>
      <c r="H3061" s="300" t="s">
        <v>972</v>
      </c>
      <c r="I3061" s="299" t="s">
        <v>726</v>
      </c>
      <c r="J3061" s="301" t="s">
        <v>760</v>
      </c>
      <c r="K3061" s="98" t="s">
        <v>2292</v>
      </c>
      <c r="L3061" s="99">
        <v>40369</v>
      </c>
      <c r="M3061" s="100" t="s">
        <v>729</v>
      </c>
      <c r="N3061" s="153">
        <v>40376</v>
      </c>
      <c r="O3061" s="154">
        <f t="shared" si="700"/>
        <v>40376</v>
      </c>
      <c r="P3061" s="344"/>
      <c r="Q3061" s="2959">
        <v>94.63</v>
      </c>
      <c r="R3061" s="103"/>
      <c r="S3061" s="1945" t="s">
        <v>731</v>
      </c>
      <c r="T3061" s="610"/>
      <c r="U3061" s="1894"/>
      <c r="V3061" s="2079">
        <f t="shared" si="702"/>
        <v>111.6634</v>
      </c>
      <c r="W3061" s="78">
        <f t="shared" si="703"/>
        <v>0</v>
      </c>
      <c r="X3061" s="1878" t="str">
        <f t="shared" si="701"/>
        <v xml:space="preserve">10.- C Goodyear 1971204-OT_136301  Reencauche  </v>
      </c>
      <c r="Z3061" s="19" t="str">
        <f t="shared" ref="Z3061:Z3101" si="706">CONCATENATE(I3064,J3064)</f>
        <v>ReencaucheReencauchadora RENOVA</v>
      </c>
    </row>
    <row r="3062" spans="2:26" ht="15.75" outlineLevel="1" thickBot="1">
      <c r="B3062" s="3253"/>
      <c r="C3062" s="420">
        <f>1+C3064</f>
        <v>193</v>
      </c>
      <c r="D3062" s="428">
        <v>1</v>
      </c>
      <c r="E3062" s="611">
        <v>11</v>
      </c>
      <c r="F3062" s="612" t="s">
        <v>732</v>
      </c>
      <c r="G3062" s="613" t="s">
        <v>737</v>
      </c>
      <c r="H3062" s="614" t="s">
        <v>1114</v>
      </c>
      <c r="I3062" s="613" t="s">
        <v>726</v>
      </c>
      <c r="J3062" s="615" t="s">
        <v>760</v>
      </c>
      <c r="K3062" s="616" t="s">
        <v>2296</v>
      </c>
      <c r="L3062" s="334">
        <v>40369</v>
      </c>
      <c r="M3062" s="617" t="s">
        <v>729</v>
      </c>
      <c r="N3062" s="618">
        <v>40376</v>
      </c>
      <c r="O3062" s="619">
        <f t="shared" si="700"/>
        <v>40376</v>
      </c>
      <c r="P3062" s="2824"/>
      <c r="Q3062" s="2992">
        <v>94.63</v>
      </c>
      <c r="R3062" s="620"/>
      <c r="S3062" s="1965" t="s">
        <v>731</v>
      </c>
      <c r="T3062" s="610"/>
      <c r="U3062" s="1894"/>
      <c r="V3062" s="2079">
        <f t="shared" si="702"/>
        <v>111.6634</v>
      </c>
      <c r="W3062" s="78">
        <f t="shared" si="703"/>
        <v>0</v>
      </c>
      <c r="X3062" s="1878" t="str">
        <f t="shared" si="701"/>
        <v xml:space="preserve">11.- C Vikrant 0070109-OT_136302  Reencauche  </v>
      </c>
      <c r="Z3062" s="19" t="str">
        <f t="shared" si="706"/>
        <v>ReencaucheReencauchadora RENOVA</v>
      </c>
    </row>
    <row r="3063" spans="2:26" ht="15.75" outlineLevel="1" thickBot="1">
      <c r="B3063" s="1">
        <f>+B3064</f>
        <v>40330</v>
      </c>
      <c r="C3063" s="1"/>
      <c r="D3063" s="173">
        <f>+D3064</f>
        <v>33</v>
      </c>
      <c r="E3063" s="343"/>
      <c r="F3063" s="94"/>
      <c r="G3063" s="299"/>
      <c r="H3063" s="300"/>
      <c r="I3063" s="299"/>
      <c r="J3063" s="301"/>
      <c r="K3063" s="98"/>
      <c r="L3063" s="72"/>
      <c r="M3063" s="100"/>
      <c r="N3063" s="153"/>
      <c r="O3063" s="154"/>
      <c r="P3063" s="344"/>
      <c r="Q3063" s="2959"/>
      <c r="R3063" s="103"/>
      <c r="S3063" s="1945"/>
      <c r="T3063" s="610"/>
      <c r="U3063" s="1894"/>
      <c r="V3063" s="2079">
        <f t="shared" si="702"/>
        <v>0</v>
      </c>
      <c r="W3063" s="78">
        <f t="shared" si="703"/>
        <v>0</v>
      </c>
      <c r="X3063" s="1878" t="str">
        <f t="shared" si="701"/>
        <v xml:space="preserve">.-   -OT_    </v>
      </c>
      <c r="Z3063" s="19" t="str">
        <f t="shared" si="706"/>
        <v>ReencaucheReencauchadora RENOVA</v>
      </c>
    </row>
    <row r="3064" spans="2:26" outlineLevel="1">
      <c r="B3064" s="3251">
        <v>40330</v>
      </c>
      <c r="C3064" s="2">
        <f>1+C3065</f>
        <v>192</v>
      </c>
      <c r="D3064" s="306">
        <f>1+D3065</f>
        <v>33</v>
      </c>
      <c r="E3064" s="216">
        <v>1</v>
      </c>
      <c r="F3064" s="67" t="s">
        <v>732</v>
      </c>
      <c r="G3064" s="217" t="s">
        <v>757</v>
      </c>
      <c r="H3064" s="218" t="s">
        <v>2297</v>
      </c>
      <c r="I3064" s="217" t="s">
        <v>726</v>
      </c>
      <c r="J3064" s="277" t="s">
        <v>760</v>
      </c>
      <c r="K3064" s="220" t="s">
        <v>2298</v>
      </c>
      <c r="L3064" s="221">
        <v>40359</v>
      </c>
      <c r="M3064" s="222" t="s">
        <v>729</v>
      </c>
      <c r="N3064" s="74">
        <v>40369</v>
      </c>
      <c r="O3064" s="75">
        <f t="shared" ref="O3064:O3104" si="707">+N3064</f>
        <v>40369</v>
      </c>
      <c r="P3064" s="2787"/>
      <c r="Q3064" s="2954">
        <v>94.63</v>
      </c>
      <c r="R3064" s="223"/>
      <c r="S3064" s="1955" t="s">
        <v>731</v>
      </c>
      <c r="T3064" s="77"/>
      <c r="U3064" s="1893"/>
      <c r="V3064" s="2079">
        <f t="shared" si="702"/>
        <v>111.6634</v>
      </c>
      <c r="W3064" s="78">
        <f t="shared" si="703"/>
        <v>0</v>
      </c>
      <c r="X3064" s="1878" t="str">
        <f t="shared" si="701"/>
        <v xml:space="preserve">1.- C Goodyear 0680404-OT_135709  Reencauche  </v>
      </c>
      <c r="Z3064" s="19" t="str">
        <f t="shared" si="706"/>
        <v>Reencauchadora RENOVA</v>
      </c>
    </row>
    <row r="3065" spans="2:26" outlineLevel="1">
      <c r="B3065" s="3252"/>
      <c r="C3065" s="2">
        <f>1+C3066</f>
        <v>191</v>
      </c>
      <c r="D3065" s="3">
        <f>1+D3066</f>
        <v>32</v>
      </c>
      <c r="E3065" s="66">
        <v>2</v>
      </c>
      <c r="F3065" s="67" t="s">
        <v>732</v>
      </c>
      <c r="G3065" s="68" t="s">
        <v>737</v>
      </c>
      <c r="H3065" s="69" t="s">
        <v>1289</v>
      </c>
      <c r="I3065" s="68" t="s">
        <v>726</v>
      </c>
      <c r="J3065" s="301" t="s">
        <v>760</v>
      </c>
      <c r="K3065" s="71" t="s">
        <v>2298</v>
      </c>
      <c r="L3065" s="72">
        <v>40359</v>
      </c>
      <c r="M3065" s="73" t="s">
        <v>729</v>
      </c>
      <c r="N3065" s="74">
        <v>40369</v>
      </c>
      <c r="O3065" s="75">
        <f t="shared" si="707"/>
        <v>40369</v>
      </c>
      <c r="P3065" s="2765"/>
      <c r="Q3065" s="2954">
        <v>94.63</v>
      </c>
      <c r="R3065" s="76"/>
      <c r="S3065" s="1945" t="s">
        <v>731</v>
      </c>
      <c r="T3065" s="77"/>
      <c r="U3065" s="1893"/>
      <c r="V3065" s="2079">
        <f t="shared" si="702"/>
        <v>111.6634</v>
      </c>
      <c r="W3065" s="78">
        <f t="shared" si="703"/>
        <v>0</v>
      </c>
      <c r="X3065" s="1878" t="str">
        <f t="shared" si="701"/>
        <v xml:space="preserve">2.- C Vikrant 0420506-OT_135709  Reencauche  </v>
      </c>
      <c r="Z3065" s="19" t="str">
        <f t="shared" si="706"/>
        <v>ReencaucheReencauchadora RENOVA</v>
      </c>
    </row>
    <row r="3066" spans="2:26" outlineLevel="1">
      <c r="B3066" s="3252"/>
      <c r="C3066" s="2">
        <f>1+C3068</f>
        <v>190</v>
      </c>
      <c r="D3066" s="3">
        <v>31</v>
      </c>
      <c r="E3066" s="66">
        <v>3</v>
      </c>
      <c r="F3066" s="67" t="s">
        <v>732</v>
      </c>
      <c r="G3066" s="68" t="s">
        <v>733</v>
      </c>
      <c r="H3066" s="69" t="s">
        <v>1720</v>
      </c>
      <c r="I3066" s="68" t="s">
        <v>726</v>
      </c>
      <c r="J3066" s="301" t="s">
        <v>760</v>
      </c>
      <c r="K3066" s="71" t="s">
        <v>2298</v>
      </c>
      <c r="L3066" s="72">
        <v>40359</v>
      </c>
      <c r="M3066" s="73" t="s">
        <v>729</v>
      </c>
      <c r="N3066" s="74">
        <v>40369</v>
      </c>
      <c r="O3066" s="75">
        <f t="shared" si="707"/>
        <v>40369</v>
      </c>
      <c r="P3066" s="2765"/>
      <c r="Q3066" s="2954">
        <v>94.63</v>
      </c>
      <c r="R3066" s="76"/>
      <c r="S3066" s="1945" t="s">
        <v>731</v>
      </c>
      <c r="T3066" s="77"/>
      <c r="U3066" s="1893"/>
      <c r="V3066" s="2079">
        <f t="shared" si="702"/>
        <v>111.6634</v>
      </c>
      <c r="W3066" s="78">
        <f t="shared" si="703"/>
        <v>0</v>
      </c>
      <c r="X3066" s="1878" t="str">
        <f t="shared" si="701"/>
        <v xml:space="preserve">3.- C Lima Caucho 0880908-OT_135709  Reencauche  </v>
      </c>
      <c r="Z3066" s="19" t="str">
        <f t="shared" si="706"/>
        <v>ReencaucheReencauchadora RENOVA</v>
      </c>
    </row>
    <row r="3067" spans="2:26" outlineLevel="1">
      <c r="B3067" s="3252"/>
      <c r="E3067" s="621">
        <v>4</v>
      </c>
      <c r="F3067" s="2056" t="s">
        <v>732</v>
      </c>
      <c r="G3067" s="622" t="s">
        <v>733</v>
      </c>
      <c r="H3067" s="623" t="s">
        <v>1915</v>
      </c>
      <c r="I3067" s="622"/>
      <c r="J3067" s="624" t="s">
        <v>760</v>
      </c>
      <c r="K3067" s="625" t="s">
        <v>2298</v>
      </c>
      <c r="L3067" s="626">
        <v>40359</v>
      </c>
      <c r="M3067" s="627" t="s">
        <v>1815</v>
      </c>
      <c r="N3067" s="259">
        <v>40369</v>
      </c>
      <c r="O3067" s="140">
        <f t="shared" si="707"/>
        <v>40369</v>
      </c>
      <c r="P3067" s="2825"/>
      <c r="Q3067" s="2971">
        <v>0</v>
      </c>
      <c r="R3067" s="628"/>
      <c r="S3067" s="1988" t="s">
        <v>731</v>
      </c>
      <c r="T3067" s="629" t="s">
        <v>1617</v>
      </c>
      <c r="U3067" s="1923"/>
      <c r="V3067" s="2079">
        <f t="shared" si="702"/>
        <v>0</v>
      </c>
      <c r="W3067" s="78">
        <f t="shared" si="703"/>
        <v>0</v>
      </c>
      <c r="X3067" s="1878" t="str">
        <f t="shared" si="701"/>
        <v>4.- C Lima Caucho 1381207-OT_135709     Llanta Rechazada, no se facturo</v>
      </c>
      <c r="Z3067" s="19" t="str">
        <f t="shared" si="706"/>
        <v>ReencaucheReencauchadora RENOVA</v>
      </c>
    </row>
    <row r="3068" spans="2:26" outlineLevel="1">
      <c r="B3068" s="3252"/>
      <c r="C3068" s="2">
        <f t="shared" ref="C3068:C3076" si="708">1+C3069</f>
        <v>189</v>
      </c>
      <c r="D3068" s="3">
        <f t="shared" ref="D3068:D3076" si="709">1+D3069</f>
        <v>30</v>
      </c>
      <c r="E3068" s="343">
        <v>5</v>
      </c>
      <c r="F3068" s="94" t="s">
        <v>732</v>
      </c>
      <c r="G3068" s="68" t="s">
        <v>733</v>
      </c>
      <c r="H3068" s="69" t="s">
        <v>1689</v>
      </c>
      <c r="I3068" s="68" t="s">
        <v>726</v>
      </c>
      <c r="J3068" s="301" t="s">
        <v>760</v>
      </c>
      <c r="K3068" s="71" t="s">
        <v>2298</v>
      </c>
      <c r="L3068" s="72">
        <v>40359</v>
      </c>
      <c r="M3068" s="73" t="s">
        <v>729</v>
      </c>
      <c r="N3068" s="74">
        <v>40369</v>
      </c>
      <c r="O3068" s="75">
        <f t="shared" si="707"/>
        <v>40369</v>
      </c>
      <c r="P3068" s="2765"/>
      <c r="Q3068" s="2954">
        <v>94.63</v>
      </c>
      <c r="R3068" s="76"/>
      <c r="S3068" s="1945" t="s">
        <v>731</v>
      </c>
      <c r="T3068" s="77"/>
      <c r="U3068" s="1893"/>
      <c r="V3068" s="2079">
        <f t="shared" si="702"/>
        <v>111.6634</v>
      </c>
      <c r="W3068" s="78">
        <f t="shared" si="703"/>
        <v>0</v>
      </c>
      <c r="X3068" s="1878" t="str">
        <f t="shared" si="701"/>
        <v xml:space="preserve">5.- C Lima Caucho 0690808-OT_135709  Reencauche  </v>
      </c>
      <c r="Z3068" s="19" t="str">
        <f t="shared" si="706"/>
        <v>ReencaucheReencauchadora RENOVA</v>
      </c>
    </row>
    <row r="3069" spans="2:26" outlineLevel="1">
      <c r="B3069" s="3252"/>
      <c r="C3069" s="2">
        <f t="shared" si="708"/>
        <v>188</v>
      </c>
      <c r="D3069" s="3">
        <f t="shared" si="709"/>
        <v>29</v>
      </c>
      <c r="E3069" s="343">
        <v>6</v>
      </c>
      <c r="F3069" s="94" t="s">
        <v>732</v>
      </c>
      <c r="G3069" s="68" t="s">
        <v>733</v>
      </c>
      <c r="H3069" s="69" t="s">
        <v>1734</v>
      </c>
      <c r="I3069" s="68" t="s">
        <v>726</v>
      </c>
      <c r="J3069" s="301" t="s">
        <v>760</v>
      </c>
      <c r="K3069" s="71" t="s">
        <v>2298</v>
      </c>
      <c r="L3069" s="72">
        <v>40359</v>
      </c>
      <c r="M3069" s="73" t="s">
        <v>729</v>
      </c>
      <c r="N3069" s="74">
        <v>40369</v>
      </c>
      <c r="O3069" s="75">
        <f t="shared" si="707"/>
        <v>40369</v>
      </c>
      <c r="P3069" s="2765"/>
      <c r="Q3069" s="2954">
        <v>94.63</v>
      </c>
      <c r="R3069" s="76"/>
      <c r="S3069" s="1945" t="s">
        <v>731</v>
      </c>
      <c r="T3069" s="77"/>
      <c r="U3069" s="1893"/>
      <c r="V3069" s="2079">
        <f t="shared" si="702"/>
        <v>111.6634</v>
      </c>
      <c r="W3069" s="78">
        <f t="shared" si="703"/>
        <v>0</v>
      </c>
      <c r="X3069" s="1878" t="str">
        <f t="shared" si="701"/>
        <v xml:space="preserve">6.- C Lima Caucho 0720808-OT_135709  Reencauche  </v>
      </c>
      <c r="Z3069" s="19" t="str">
        <f t="shared" si="706"/>
        <v>ReencaucheReencauchadora RENOVA</v>
      </c>
    </row>
    <row r="3070" spans="2:26" outlineLevel="1">
      <c r="B3070" s="3252"/>
      <c r="C3070" s="2">
        <f t="shared" si="708"/>
        <v>187</v>
      </c>
      <c r="D3070" s="3">
        <f t="shared" si="709"/>
        <v>28</v>
      </c>
      <c r="E3070" s="343">
        <v>7</v>
      </c>
      <c r="F3070" s="94" t="s">
        <v>732</v>
      </c>
      <c r="G3070" s="68" t="s">
        <v>733</v>
      </c>
      <c r="H3070" s="69" t="s">
        <v>1266</v>
      </c>
      <c r="I3070" s="68" t="s">
        <v>726</v>
      </c>
      <c r="J3070" s="301" t="s">
        <v>760</v>
      </c>
      <c r="K3070" s="71" t="s">
        <v>2298</v>
      </c>
      <c r="L3070" s="72">
        <v>40359</v>
      </c>
      <c r="M3070" s="73" t="s">
        <v>729</v>
      </c>
      <c r="N3070" s="74">
        <v>40369</v>
      </c>
      <c r="O3070" s="75">
        <f t="shared" si="707"/>
        <v>40369</v>
      </c>
      <c r="P3070" s="2765"/>
      <c r="Q3070" s="2954">
        <v>94.63</v>
      </c>
      <c r="R3070" s="76"/>
      <c r="S3070" s="1945" t="s">
        <v>731</v>
      </c>
      <c r="T3070" s="77"/>
      <c r="U3070" s="1893"/>
      <c r="V3070" s="2079">
        <f t="shared" si="702"/>
        <v>111.6634</v>
      </c>
      <c r="W3070" s="78">
        <f t="shared" si="703"/>
        <v>0</v>
      </c>
      <c r="X3070" s="1878" t="str">
        <f t="shared" si="701"/>
        <v xml:space="preserve">7.- C Lima Caucho 0990908-OT_135709  Reencauche  </v>
      </c>
      <c r="Z3070" s="19" t="str">
        <f t="shared" si="706"/>
        <v>ReencaucheReencauchadora RENOVA</v>
      </c>
    </row>
    <row r="3071" spans="2:26" outlineLevel="1">
      <c r="B3071" s="3252"/>
      <c r="C3071" s="2">
        <f t="shared" si="708"/>
        <v>186</v>
      </c>
      <c r="D3071" s="3">
        <f t="shared" si="709"/>
        <v>27</v>
      </c>
      <c r="E3071" s="343">
        <v>8</v>
      </c>
      <c r="F3071" s="94" t="s">
        <v>732</v>
      </c>
      <c r="G3071" s="68" t="s">
        <v>733</v>
      </c>
      <c r="H3071" s="69" t="s">
        <v>1880</v>
      </c>
      <c r="I3071" s="68" t="s">
        <v>726</v>
      </c>
      <c r="J3071" s="301" t="s">
        <v>760</v>
      </c>
      <c r="K3071" s="71" t="s">
        <v>2298</v>
      </c>
      <c r="L3071" s="72">
        <v>40359</v>
      </c>
      <c r="M3071" s="73" t="s">
        <v>729</v>
      </c>
      <c r="N3071" s="74">
        <v>40369</v>
      </c>
      <c r="O3071" s="75">
        <f t="shared" si="707"/>
        <v>40369</v>
      </c>
      <c r="P3071" s="2765"/>
      <c r="Q3071" s="2954">
        <v>94.63</v>
      </c>
      <c r="R3071" s="76"/>
      <c r="S3071" s="1945" t="s">
        <v>731</v>
      </c>
      <c r="T3071" s="77"/>
      <c r="U3071" s="1893"/>
      <c r="V3071" s="2079">
        <f t="shared" si="702"/>
        <v>111.6634</v>
      </c>
      <c r="W3071" s="78">
        <f t="shared" si="703"/>
        <v>0</v>
      </c>
      <c r="X3071" s="1878" t="str">
        <f t="shared" si="701"/>
        <v xml:space="preserve">8.- C Lima Caucho 0620907-OT_135709  Reencauche  </v>
      </c>
      <c r="Z3071" s="19" t="str">
        <f t="shared" si="706"/>
        <v>ReencaucheReencauchadora RENOVA</v>
      </c>
    </row>
    <row r="3072" spans="2:26" outlineLevel="1">
      <c r="B3072" s="3252"/>
      <c r="C3072" s="2">
        <f t="shared" si="708"/>
        <v>185</v>
      </c>
      <c r="D3072" s="3">
        <f t="shared" si="709"/>
        <v>26</v>
      </c>
      <c r="E3072" s="343">
        <v>9</v>
      </c>
      <c r="F3072" s="94" t="s">
        <v>732</v>
      </c>
      <c r="G3072" s="68" t="s">
        <v>733</v>
      </c>
      <c r="H3072" s="69" t="s">
        <v>1473</v>
      </c>
      <c r="I3072" s="68" t="s">
        <v>726</v>
      </c>
      <c r="J3072" s="301" t="s">
        <v>760</v>
      </c>
      <c r="K3072" s="71" t="s">
        <v>2298</v>
      </c>
      <c r="L3072" s="72">
        <v>40359</v>
      </c>
      <c r="M3072" s="73" t="s">
        <v>729</v>
      </c>
      <c r="N3072" s="74">
        <v>40369</v>
      </c>
      <c r="O3072" s="75">
        <f t="shared" si="707"/>
        <v>40369</v>
      </c>
      <c r="P3072" s="2765"/>
      <c r="Q3072" s="2954">
        <v>94.63</v>
      </c>
      <c r="R3072" s="76"/>
      <c r="S3072" s="1945" t="s">
        <v>731</v>
      </c>
      <c r="T3072" s="77"/>
      <c r="U3072" s="1893"/>
      <c r="V3072" s="2079">
        <f t="shared" si="702"/>
        <v>111.6634</v>
      </c>
      <c r="W3072" s="78">
        <f t="shared" si="703"/>
        <v>0</v>
      </c>
      <c r="X3072" s="1878" t="str">
        <f t="shared" si="701"/>
        <v xml:space="preserve">9.- C Lima Caucho 1051208-OT_135709  Reencauche  </v>
      </c>
      <c r="Z3072" s="19" t="str">
        <f t="shared" si="706"/>
        <v>ReencaucheAMC Llantas</v>
      </c>
    </row>
    <row r="3073" spans="2:26" outlineLevel="1">
      <c r="B3073" s="3252"/>
      <c r="C3073" s="2">
        <f t="shared" si="708"/>
        <v>184</v>
      </c>
      <c r="D3073" s="3">
        <f t="shared" si="709"/>
        <v>25</v>
      </c>
      <c r="E3073" s="343">
        <v>10</v>
      </c>
      <c r="F3073" s="94" t="s">
        <v>732</v>
      </c>
      <c r="G3073" s="68" t="s">
        <v>769</v>
      </c>
      <c r="H3073" s="69" t="s">
        <v>1852</v>
      </c>
      <c r="I3073" s="68" t="s">
        <v>726</v>
      </c>
      <c r="J3073" s="301" t="s">
        <v>760</v>
      </c>
      <c r="K3073" s="71" t="s">
        <v>2298</v>
      </c>
      <c r="L3073" s="72">
        <v>40359</v>
      </c>
      <c r="M3073" s="73" t="s">
        <v>729</v>
      </c>
      <c r="N3073" s="74">
        <v>40369</v>
      </c>
      <c r="O3073" s="75">
        <f t="shared" si="707"/>
        <v>40369</v>
      </c>
      <c r="P3073" s="2765"/>
      <c r="Q3073" s="2954">
        <v>94.63</v>
      </c>
      <c r="R3073" s="76"/>
      <c r="S3073" s="1945" t="s">
        <v>731</v>
      </c>
      <c r="T3073" s="77"/>
      <c r="U3073" s="1893"/>
      <c r="V3073" s="2079">
        <f t="shared" si="702"/>
        <v>111.6634</v>
      </c>
      <c r="W3073" s="78">
        <f t="shared" si="703"/>
        <v>0</v>
      </c>
      <c r="X3073" s="1878" t="str">
        <f t="shared" si="701"/>
        <v xml:space="preserve">10.- C Lu He 0290209-OT_135709  Reencauche  </v>
      </c>
      <c r="Z3073" s="19" t="str">
        <f t="shared" si="706"/>
        <v>ReencaucheAMC Llantas</v>
      </c>
    </row>
    <row r="3074" spans="2:26" outlineLevel="1">
      <c r="B3074" s="3252"/>
      <c r="C3074" s="2">
        <f t="shared" si="708"/>
        <v>183</v>
      </c>
      <c r="D3074" s="3">
        <f t="shared" si="709"/>
        <v>24</v>
      </c>
      <c r="E3074" s="602">
        <v>11</v>
      </c>
      <c r="F3074" s="104" t="s">
        <v>732</v>
      </c>
      <c r="G3074" s="81" t="s">
        <v>769</v>
      </c>
      <c r="H3074" s="82" t="s">
        <v>2299</v>
      </c>
      <c r="I3074" s="81" t="s">
        <v>726</v>
      </c>
      <c r="J3074" s="605" t="s">
        <v>760</v>
      </c>
      <c r="K3074" s="84" t="s">
        <v>2300</v>
      </c>
      <c r="L3074" s="85">
        <v>40359</v>
      </c>
      <c r="M3074" s="86" t="s">
        <v>729</v>
      </c>
      <c r="N3074" s="87">
        <v>40369</v>
      </c>
      <c r="O3074" s="88">
        <f t="shared" si="707"/>
        <v>40369</v>
      </c>
      <c r="P3074" s="2766"/>
      <c r="Q3074" s="2955">
        <v>94.63</v>
      </c>
      <c r="R3074" s="89"/>
      <c r="S3074" s="1946" t="s">
        <v>731</v>
      </c>
      <c r="T3074" s="77"/>
      <c r="U3074" s="1893"/>
      <c r="V3074" s="2079">
        <f t="shared" si="702"/>
        <v>111.6634</v>
      </c>
      <c r="W3074" s="78">
        <f t="shared" si="703"/>
        <v>0</v>
      </c>
      <c r="X3074" s="1878" t="str">
        <f t="shared" si="701"/>
        <v xml:space="preserve">11.- C Lu He 0230209-OT_135710  Reencauche  </v>
      </c>
      <c r="Z3074" s="19" t="str">
        <f t="shared" si="706"/>
        <v>ReencaucheAMC Llantas</v>
      </c>
    </row>
    <row r="3075" spans="2:26" outlineLevel="1">
      <c r="B3075" s="3252"/>
      <c r="C3075" s="2">
        <f t="shared" si="708"/>
        <v>182</v>
      </c>
      <c r="D3075" s="3">
        <f t="shared" si="709"/>
        <v>23</v>
      </c>
      <c r="E3075" s="343">
        <v>1</v>
      </c>
      <c r="F3075" s="94" t="s">
        <v>732</v>
      </c>
      <c r="G3075" s="299" t="s">
        <v>831</v>
      </c>
      <c r="H3075" s="300" t="s">
        <v>2301</v>
      </c>
      <c r="I3075" s="299" t="s">
        <v>726</v>
      </c>
      <c r="J3075" s="301" t="s">
        <v>1961</v>
      </c>
      <c r="K3075" s="98" t="s">
        <v>2302</v>
      </c>
      <c r="L3075" s="99">
        <v>40357</v>
      </c>
      <c r="M3075" s="100" t="s">
        <v>729</v>
      </c>
      <c r="N3075" s="153">
        <v>40361</v>
      </c>
      <c r="O3075" s="154">
        <f t="shared" si="707"/>
        <v>40361</v>
      </c>
      <c r="P3075" s="344"/>
      <c r="Q3075" s="2959"/>
      <c r="R3075" s="103">
        <f>310/(1.19)</f>
        <v>260.50420168067228</v>
      </c>
      <c r="S3075" s="1945" t="s">
        <v>731</v>
      </c>
      <c r="T3075" s="77"/>
      <c r="U3075" s="1893"/>
      <c r="V3075" s="2079">
        <f t="shared" si="702"/>
        <v>0</v>
      </c>
      <c r="W3075" s="78">
        <f t="shared" si="703"/>
        <v>307.39495798319325</v>
      </c>
      <c r="X3075" s="1878" t="str">
        <f t="shared" si="701"/>
        <v xml:space="preserve">1.- C Kumho 1820920-OT_000419  Reencauche  </v>
      </c>
      <c r="Z3075" s="19" t="str">
        <f t="shared" si="706"/>
        <v>AMC Llantas</v>
      </c>
    </row>
    <row r="3076" spans="2:26" outlineLevel="1">
      <c r="B3076" s="3252"/>
      <c r="C3076" s="2">
        <f t="shared" si="708"/>
        <v>181</v>
      </c>
      <c r="D3076" s="3">
        <f t="shared" si="709"/>
        <v>22</v>
      </c>
      <c r="E3076" s="343">
        <v>2</v>
      </c>
      <c r="F3076" s="94" t="s">
        <v>732</v>
      </c>
      <c r="G3076" s="299" t="s">
        <v>733</v>
      </c>
      <c r="H3076" s="300" t="s">
        <v>1322</v>
      </c>
      <c r="I3076" s="299" t="s">
        <v>726</v>
      </c>
      <c r="J3076" s="301" t="s">
        <v>1961</v>
      </c>
      <c r="K3076" s="98" t="s">
        <v>2302</v>
      </c>
      <c r="L3076" s="99">
        <v>40357</v>
      </c>
      <c r="M3076" s="100" t="s">
        <v>729</v>
      </c>
      <c r="N3076" s="153">
        <v>40361</v>
      </c>
      <c r="O3076" s="154">
        <f t="shared" si="707"/>
        <v>40361</v>
      </c>
      <c r="P3076" s="344"/>
      <c r="Q3076" s="2959"/>
      <c r="R3076" s="103">
        <f>310/(1.19)</f>
        <v>260.50420168067228</v>
      </c>
      <c r="S3076" s="1945" t="s">
        <v>731</v>
      </c>
      <c r="T3076" s="77"/>
      <c r="U3076" s="1893"/>
      <c r="V3076" s="2079">
        <f t="shared" si="702"/>
        <v>0</v>
      </c>
      <c r="W3076" s="78">
        <f t="shared" si="703"/>
        <v>307.39495798319325</v>
      </c>
      <c r="X3076" s="1878" t="str">
        <f t="shared" si="701"/>
        <v xml:space="preserve">2.- C Lima Caucho 0100107-OT_000419  Reencauche  </v>
      </c>
      <c r="Z3076" s="19" t="str">
        <f t="shared" si="706"/>
        <v>ReencaucheAMC Llantas</v>
      </c>
    </row>
    <row r="3077" spans="2:26" outlineLevel="1">
      <c r="B3077" s="3252"/>
      <c r="C3077" s="2">
        <f>1+C3079</f>
        <v>180</v>
      </c>
      <c r="D3077" s="3">
        <v>21</v>
      </c>
      <c r="E3077" s="343">
        <v>3</v>
      </c>
      <c r="F3077" s="94" t="s">
        <v>732</v>
      </c>
      <c r="G3077" s="299" t="s">
        <v>831</v>
      </c>
      <c r="H3077" s="300" t="s">
        <v>2303</v>
      </c>
      <c r="I3077" s="299" t="s">
        <v>726</v>
      </c>
      <c r="J3077" s="301" t="s">
        <v>1961</v>
      </c>
      <c r="K3077" s="98" t="s">
        <v>2302</v>
      </c>
      <c r="L3077" s="99">
        <v>40357</v>
      </c>
      <c r="M3077" s="100" t="s">
        <v>729</v>
      </c>
      <c r="N3077" s="153">
        <v>40361</v>
      </c>
      <c r="O3077" s="154">
        <f t="shared" si="707"/>
        <v>40361</v>
      </c>
      <c r="P3077" s="344"/>
      <c r="Q3077" s="2959"/>
      <c r="R3077" s="103">
        <f>310/(1.19)</f>
        <v>260.50420168067228</v>
      </c>
      <c r="S3077" s="1945" t="s">
        <v>731</v>
      </c>
      <c r="T3077" s="77"/>
      <c r="U3077" s="1893"/>
      <c r="V3077" s="2079">
        <f t="shared" si="702"/>
        <v>0</v>
      </c>
      <c r="W3077" s="78">
        <f t="shared" si="703"/>
        <v>307.39495798319325</v>
      </c>
      <c r="X3077" s="1878" t="str">
        <f t="shared" si="701"/>
        <v xml:space="preserve">3.- C Kumho 0080304-OT_000419  Reencauche  </v>
      </c>
      <c r="Z3077" s="19" t="str">
        <f t="shared" si="706"/>
        <v>AMC Llantas</v>
      </c>
    </row>
    <row r="3078" spans="2:26" outlineLevel="1">
      <c r="B3078" s="3252"/>
      <c r="E3078" s="406">
        <v>4</v>
      </c>
      <c r="F3078" s="573" t="s">
        <v>732</v>
      </c>
      <c r="G3078" s="290" t="s">
        <v>757</v>
      </c>
      <c r="H3078" s="289" t="s">
        <v>2297</v>
      </c>
      <c r="I3078" s="290"/>
      <c r="J3078" s="291" t="s">
        <v>1961</v>
      </c>
      <c r="K3078" s="292" t="s">
        <v>2302</v>
      </c>
      <c r="L3078" s="293">
        <v>40357</v>
      </c>
      <c r="M3078" s="294" t="s">
        <v>1815</v>
      </c>
      <c r="N3078" s="295">
        <v>40359</v>
      </c>
      <c r="O3078" s="296">
        <f t="shared" si="707"/>
        <v>40359</v>
      </c>
      <c r="P3078" s="2795"/>
      <c r="Q3078" s="2976"/>
      <c r="R3078" s="286">
        <v>0</v>
      </c>
      <c r="S3078" s="1962" t="s">
        <v>731</v>
      </c>
      <c r="T3078" s="630" t="s">
        <v>2304</v>
      </c>
      <c r="U3078" s="1937"/>
      <c r="V3078" s="2079">
        <f t="shared" si="702"/>
        <v>0</v>
      </c>
      <c r="W3078" s="78">
        <f t="shared" si="703"/>
        <v>0</v>
      </c>
      <c r="X3078" s="1878" t="str">
        <f t="shared" si="701"/>
        <v>4.- C Goodyear 0680404-OT_000419     Llanta Rechazada, no se facturo, enviada a RENOVA</v>
      </c>
      <c r="Z3078" s="19" t="str">
        <f t="shared" si="706"/>
        <v>AMC Llantas</v>
      </c>
    </row>
    <row r="3079" spans="2:26" outlineLevel="1">
      <c r="B3079" s="3252"/>
      <c r="C3079" s="2">
        <f>1+C3082</f>
        <v>179</v>
      </c>
      <c r="D3079" s="3">
        <v>20</v>
      </c>
      <c r="E3079" s="343">
        <v>5</v>
      </c>
      <c r="F3079" s="94" t="s">
        <v>732</v>
      </c>
      <c r="G3079" s="299" t="s">
        <v>737</v>
      </c>
      <c r="H3079" s="300" t="s">
        <v>1494</v>
      </c>
      <c r="I3079" s="299" t="s">
        <v>726</v>
      </c>
      <c r="J3079" s="301" t="s">
        <v>1961</v>
      </c>
      <c r="K3079" s="98" t="s">
        <v>2302</v>
      </c>
      <c r="L3079" s="99">
        <v>40357</v>
      </c>
      <c r="M3079" s="100" t="s">
        <v>729</v>
      </c>
      <c r="N3079" s="153">
        <v>40361</v>
      </c>
      <c r="O3079" s="154">
        <f t="shared" si="707"/>
        <v>40361</v>
      </c>
      <c r="P3079" s="344"/>
      <c r="Q3079" s="2959"/>
      <c r="R3079" s="103">
        <f>310/(1.19)</f>
        <v>260.50420168067228</v>
      </c>
      <c r="S3079" s="1945" t="s">
        <v>731</v>
      </c>
      <c r="T3079" s="77"/>
      <c r="U3079" s="1893"/>
      <c r="V3079" s="2079">
        <f t="shared" si="702"/>
        <v>0</v>
      </c>
      <c r="W3079" s="78">
        <f t="shared" si="703"/>
        <v>307.39495798319325</v>
      </c>
      <c r="X3079" s="1878" t="str">
        <f t="shared" si="701"/>
        <v xml:space="preserve">5.- C Vikrant 0690906-OT_000419  Reencauche  </v>
      </c>
      <c r="Z3079" s="19" t="str">
        <f t="shared" si="706"/>
        <v>ReencaucheAMC Llantas</v>
      </c>
    </row>
    <row r="3080" spans="2:26" outlineLevel="1">
      <c r="B3080" s="3252"/>
      <c r="E3080" s="406">
        <v>6</v>
      </c>
      <c r="F3080" s="573" t="s">
        <v>732</v>
      </c>
      <c r="G3080" s="290" t="s">
        <v>778</v>
      </c>
      <c r="H3080" s="289" t="s">
        <v>2284</v>
      </c>
      <c r="I3080" s="290"/>
      <c r="J3080" s="291" t="s">
        <v>1961</v>
      </c>
      <c r="K3080" s="292" t="s">
        <v>2302</v>
      </c>
      <c r="L3080" s="293">
        <v>40357</v>
      </c>
      <c r="M3080" s="294" t="s">
        <v>1815</v>
      </c>
      <c r="N3080" s="295">
        <v>40359</v>
      </c>
      <c r="O3080" s="296">
        <f t="shared" si="707"/>
        <v>40359</v>
      </c>
      <c r="P3080" s="2795"/>
      <c r="Q3080" s="2976"/>
      <c r="R3080" s="286">
        <v>0</v>
      </c>
      <c r="S3080" s="1962" t="s">
        <v>731</v>
      </c>
      <c r="T3080" s="630" t="s">
        <v>1617</v>
      </c>
      <c r="U3080" s="1937"/>
      <c r="V3080" s="2079">
        <f t="shared" si="702"/>
        <v>0</v>
      </c>
      <c r="W3080" s="78">
        <f t="shared" si="703"/>
        <v>0</v>
      </c>
      <c r="X3080" s="1878" t="str">
        <f t="shared" si="701"/>
        <v>6.- C Riverstone 1420704-OT_000419     Llanta Rechazada, no se facturo</v>
      </c>
      <c r="Z3080" s="19" t="str">
        <f t="shared" si="706"/>
        <v>ReencaucheReencauchadora Espinoza</v>
      </c>
    </row>
    <row r="3081" spans="2:26" outlineLevel="1">
      <c r="B3081" s="3252"/>
      <c r="E3081" s="406">
        <v>7</v>
      </c>
      <c r="F3081" s="573" t="s">
        <v>732</v>
      </c>
      <c r="G3081" s="290" t="s">
        <v>733</v>
      </c>
      <c r="H3081" s="289" t="s">
        <v>759</v>
      </c>
      <c r="I3081" s="290"/>
      <c r="J3081" s="291" t="s">
        <v>1961</v>
      </c>
      <c r="K3081" s="292" t="s">
        <v>2302</v>
      </c>
      <c r="L3081" s="293">
        <v>40357</v>
      </c>
      <c r="M3081" s="294" t="s">
        <v>1815</v>
      </c>
      <c r="N3081" s="295">
        <v>40359</v>
      </c>
      <c r="O3081" s="296">
        <f t="shared" si="707"/>
        <v>40359</v>
      </c>
      <c r="P3081" s="2795"/>
      <c r="Q3081" s="2976"/>
      <c r="R3081" s="286">
        <v>0</v>
      </c>
      <c r="S3081" s="1962" t="s">
        <v>731</v>
      </c>
      <c r="T3081" s="630" t="s">
        <v>1617</v>
      </c>
      <c r="U3081" s="1937"/>
      <c r="V3081" s="2079">
        <f t="shared" si="702"/>
        <v>0</v>
      </c>
      <c r="W3081" s="78">
        <f t="shared" si="703"/>
        <v>0</v>
      </c>
      <c r="X3081" s="1878" t="str">
        <f t="shared" si="701"/>
        <v>7.- C Lima Caucho 0460707-OT_000419     Llanta Rechazada, no se facturo</v>
      </c>
      <c r="Z3081" s="19" t="str">
        <f t="shared" si="706"/>
        <v>ReencaucheReencauchadora Espinoza</v>
      </c>
    </row>
    <row r="3082" spans="2:26" outlineLevel="1">
      <c r="B3082" s="3252"/>
      <c r="C3082" s="2">
        <f t="shared" ref="C3082:D3085" si="710">1+C3083</f>
        <v>178</v>
      </c>
      <c r="D3082" s="3">
        <f t="shared" si="710"/>
        <v>19</v>
      </c>
      <c r="E3082" s="602">
        <v>8</v>
      </c>
      <c r="F3082" s="104" t="s">
        <v>732</v>
      </c>
      <c r="G3082" s="603" t="s">
        <v>757</v>
      </c>
      <c r="H3082" s="604" t="s">
        <v>2305</v>
      </c>
      <c r="I3082" s="603" t="s">
        <v>726</v>
      </c>
      <c r="J3082" s="605" t="s">
        <v>1961</v>
      </c>
      <c r="K3082" s="108" t="s">
        <v>2302</v>
      </c>
      <c r="L3082" s="109">
        <v>40357</v>
      </c>
      <c r="M3082" s="110" t="s">
        <v>729</v>
      </c>
      <c r="N3082" s="606">
        <v>40361</v>
      </c>
      <c r="O3082" s="607">
        <f t="shared" si="707"/>
        <v>40361</v>
      </c>
      <c r="P3082" s="2774"/>
      <c r="Q3082" s="2965"/>
      <c r="R3082" s="113">
        <f>310/(1.19)</f>
        <v>260.50420168067228</v>
      </c>
      <c r="S3082" s="1946" t="s">
        <v>731</v>
      </c>
      <c r="T3082" s="77"/>
      <c r="U3082" s="1893"/>
      <c r="V3082" s="2079">
        <f t="shared" si="702"/>
        <v>0</v>
      </c>
      <c r="W3082" s="78">
        <f t="shared" si="703"/>
        <v>307.39495798319325</v>
      </c>
      <c r="X3082" s="1878" t="str">
        <f t="shared" si="701"/>
        <v xml:space="preserve">8.- C Goodyear 1080520-OT_000419  Reencauche  </v>
      </c>
      <c r="Z3082" s="19" t="str">
        <f t="shared" si="706"/>
        <v>ReencaucheReencauchadora Espinoza</v>
      </c>
    </row>
    <row r="3083" spans="2:26" outlineLevel="1">
      <c r="B3083" s="3252"/>
      <c r="C3083" s="2">
        <f t="shared" si="710"/>
        <v>177</v>
      </c>
      <c r="D3083" s="3">
        <f t="shared" si="710"/>
        <v>18</v>
      </c>
      <c r="E3083" s="66">
        <v>1</v>
      </c>
      <c r="F3083" s="67" t="s">
        <v>732</v>
      </c>
      <c r="G3083" s="68" t="s">
        <v>757</v>
      </c>
      <c r="H3083" s="69" t="s">
        <v>2306</v>
      </c>
      <c r="I3083" s="68" t="s">
        <v>726</v>
      </c>
      <c r="J3083" s="70" t="s">
        <v>1543</v>
      </c>
      <c r="K3083" s="71" t="s">
        <v>2307</v>
      </c>
      <c r="L3083" s="72">
        <v>40344</v>
      </c>
      <c r="M3083" s="73" t="s">
        <v>729</v>
      </c>
      <c r="N3083" s="74">
        <v>40360</v>
      </c>
      <c r="O3083" s="75">
        <f t="shared" si="707"/>
        <v>40360</v>
      </c>
      <c r="P3083" s="2765"/>
      <c r="Q3083" s="2954"/>
      <c r="R3083" s="76">
        <f>300/(1.19)</f>
        <v>252.10084033613447</v>
      </c>
      <c r="S3083" s="1945" t="s">
        <v>731</v>
      </c>
      <c r="T3083" s="77"/>
      <c r="U3083" s="1893"/>
      <c r="V3083" s="2079">
        <f t="shared" si="702"/>
        <v>0</v>
      </c>
      <c r="W3083" s="78">
        <f t="shared" si="703"/>
        <v>297.47899159663865</v>
      </c>
      <c r="X3083" s="1878" t="str">
        <f t="shared" si="701"/>
        <v xml:space="preserve">1.- C Goodyear 008032003-OT_000040  Reencauche  </v>
      </c>
      <c r="Z3083" s="19" t="str">
        <f t="shared" si="706"/>
        <v>ReencaucheReencauchadora Espinoza</v>
      </c>
    </row>
    <row r="3084" spans="2:26" outlineLevel="1">
      <c r="B3084" s="3252"/>
      <c r="C3084" s="2">
        <f t="shared" si="710"/>
        <v>176</v>
      </c>
      <c r="D3084" s="3">
        <f t="shared" si="710"/>
        <v>17</v>
      </c>
      <c r="E3084" s="66">
        <v>2</v>
      </c>
      <c r="F3084" s="67" t="s">
        <v>732</v>
      </c>
      <c r="G3084" s="68" t="s">
        <v>757</v>
      </c>
      <c r="H3084" s="69" t="s">
        <v>2308</v>
      </c>
      <c r="I3084" s="68" t="s">
        <v>726</v>
      </c>
      <c r="J3084" s="70" t="s">
        <v>1543</v>
      </c>
      <c r="K3084" s="71" t="s">
        <v>2307</v>
      </c>
      <c r="L3084" s="72">
        <v>40344</v>
      </c>
      <c r="M3084" s="73" t="s">
        <v>729</v>
      </c>
      <c r="N3084" s="74">
        <v>40360</v>
      </c>
      <c r="O3084" s="75">
        <f t="shared" si="707"/>
        <v>40360</v>
      </c>
      <c r="P3084" s="2765"/>
      <c r="Q3084" s="2954"/>
      <c r="R3084" s="76">
        <f>300/(1.19)</f>
        <v>252.10084033613447</v>
      </c>
      <c r="S3084" s="1945" t="s">
        <v>731</v>
      </c>
      <c r="T3084" s="77"/>
      <c r="U3084" s="1893"/>
      <c r="V3084" s="2079">
        <f t="shared" si="702"/>
        <v>0</v>
      </c>
      <c r="W3084" s="78">
        <f t="shared" si="703"/>
        <v>297.47899159663865</v>
      </c>
      <c r="X3084" s="1878" t="str">
        <f t="shared" si="701"/>
        <v xml:space="preserve">2.- C Goodyear 0130102-OT_000040  Reencauche  </v>
      </c>
      <c r="Z3084" s="19" t="str">
        <f t="shared" si="706"/>
        <v>ReencaucheReencauchadora RENOVA</v>
      </c>
    </row>
    <row r="3085" spans="2:26" outlineLevel="1">
      <c r="B3085" s="3252"/>
      <c r="C3085" s="2">
        <f t="shared" si="710"/>
        <v>175</v>
      </c>
      <c r="D3085" s="3">
        <f t="shared" si="710"/>
        <v>16</v>
      </c>
      <c r="E3085" s="66">
        <v>3</v>
      </c>
      <c r="F3085" s="67" t="s">
        <v>732</v>
      </c>
      <c r="G3085" s="68" t="s">
        <v>814</v>
      </c>
      <c r="H3085" s="69" t="s">
        <v>2029</v>
      </c>
      <c r="I3085" s="68" t="s">
        <v>726</v>
      </c>
      <c r="J3085" s="70" t="s">
        <v>1543</v>
      </c>
      <c r="K3085" s="71" t="s">
        <v>2307</v>
      </c>
      <c r="L3085" s="72">
        <v>40344</v>
      </c>
      <c r="M3085" s="73" t="s">
        <v>729</v>
      </c>
      <c r="N3085" s="74">
        <v>40360</v>
      </c>
      <c r="O3085" s="75">
        <f t="shared" si="707"/>
        <v>40360</v>
      </c>
      <c r="P3085" s="2765"/>
      <c r="Q3085" s="2954"/>
      <c r="R3085" s="76">
        <f>300/(1.19)</f>
        <v>252.10084033613447</v>
      </c>
      <c r="S3085" s="1945" t="s">
        <v>731</v>
      </c>
      <c r="T3085" s="77"/>
      <c r="U3085" s="1893"/>
      <c r="V3085" s="2079">
        <f t="shared" si="702"/>
        <v>0</v>
      </c>
      <c r="W3085" s="78">
        <f t="shared" si="703"/>
        <v>297.47899159663865</v>
      </c>
      <c r="X3085" s="1878" t="str">
        <f t="shared" si="701"/>
        <v xml:space="preserve">3.- C Birla 0690405-OT_000040  Reencauche  </v>
      </c>
      <c r="Z3085" s="19" t="str">
        <f t="shared" si="706"/>
        <v>Reencauchadora RENOVA</v>
      </c>
    </row>
    <row r="3086" spans="2:26" outlineLevel="1">
      <c r="B3086" s="3252"/>
      <c r="C3086" s="2">
        <f>1+C3087</f>
        <v>174</v>
      </c>
      <c r="D3086" s="3">
        <v>15</v>
      </c>
      <c r="E3086" s="79">
        <v>4</v>
      </c>
      <c r="F3086" s="80" t="s">
        <v>732</v>
      </c>
      <c r="G3086" s="81" t="s">
        <v>757</v>
      </c>
      <c r="H3086" s="82" t="s">
        <v>2309</v>
      </c>
      <c r="I3086" s="81" t="s">
        <v>726</v>
      </c>
      <c r="J3086" s="83" t="s">
        <v>1543</v>
      </c>
      <c r="K3086" s="84" t="s">
        <v>2307</v>
      </c>
      <c r="L3086" s="85">
        <v>40344</v>
      </c>
      <c r="M3086" s="86" t="s">
        <v>729</v>
      </c>
      <c r="N3086" s="87">
        <v>40360</v>
      </c>
      <c r="O3086" s="88">
        <f t="shared" si="707"/>
        <v>40360</v>
      </c>
      <c r="P3086" s="2766"/>
      <c r="Q3086" s="2955"/>
      <c r="R3086" s="89">
        <f>300/(1.19)</f>
        <v>252.10084033613447</v>
      </c>
      <c r="S3086" s="1946" t="s">
        <v>731</v>
      </c>
      <c r="T3086" s="77"/>
      <c r="U3086" s="1893"/>
      <c r="V3086" s="2079">
        <f t="shared" si="702"/>
        <v>0</v>
      </c>
      <c r="W3086" s="78">
        <f t="shared" si="703"/>
        <v>297.47899159663865</v>
      </c>
      <c r="X3086" s="1878" t="str">
        <f t="shared" si="701"/>
        <v xml:space="preserve">4.- C Goodyear 034082003-OT_000040  Reencauche  </v>
      </c>
      <c r="Z3086" s="19" t="str">
        <f t="shared" si="706"/>
        <v>ReencaucheReencauchadora RENOVA</v>
      </c>
    </row>
    <row r="3087" spans="2:26" outlineLevel="1">
      <c r="B3087" s="3252"/>
      <c r="C3087" s="2">
        <f>1+C3089</f>
        <v>173</v>
      </c>
      <c r="D3087" s="3">
        <v>14</v>
      </c>
      <c r="E3087" s="66">
        <v>1</v>
      </c>
      <c r="F3087" s="67" t="s">
        <v>732</v>
      </c>
      <c r="G3087" s="68" t="s">
        <v>757</v>
      </c>
      <c r="H3087" s="69" t="s">
        <v>2310</v>
      </c>
      <c r="I3087" s="68" t="s">
        <v>726</v>
      </c>
      <c r="J3087" s="301" t="s">
        <v>760</v>
      </c>
      <c r="K3087" s="71" t="s">
        <v>2311</v>
      </c>
      <c r="L3087" s="72">
        <v>40344</v>
      </c>
      <c r="M3087" s="73" t="s">
        <v>729</v>
      </c>
      <c r="N3087" s="74">
        <v>40350</v>
      </c>
      <c r="O3087" s="75">
        <f t="shared" si="707"/>
        <v>40350</v>
      </c>
      <c r="P3087" s="2765"/>
      <c r="Q3087" s="2954">
        <v>94.63</v>
      </c>
      <c r="R3087" s="76"/>
      <c r="S3087" s="1945" t="s">
        <v>731</v>
      </c>
      <c r="T3087" s="77"/>
      <c r="U3087" s="1893"/>
      <c r="V3087" s="2079">
        <f t="shared" si="702"/>
        <v>111.6634</v>
      </c>
      <c r="W3087" s="78">
        <f t="shared" si="703"/>
        <v>0</v>
      </c>
      <c r="X3087" s="1878" t="str">
        <f t="shared" si="701"/>
        <v xml:space="preserve">1.- C Goodyear 036082003-OT_134926  Reencauche  </v>
      </c>
      <c r="Z3087" s="19" t="str">
        <f t="shared" si="706"/>
        <v>ReencaucheReencauchadora RENOVA</v>
      </c>
    </row>
    <row r="3088" spans="2:26" ht="14.25" outlineLevel="1">
      <c r="B3088" s="3252"/>
      <c r="E3088" s="621">
        <v>2</v>
      </c>
      <c r="F3088" s="2056" t="s">
        <v>732</v>
      </c>
      <c r="G3088" s="631" t="s">
        <v>757</v>
      </c>
      <c r="H3088" s="632" t="s">
        <v>2312</v>
      </c>
      <c r="I3088" s="631"/>
      <c r="J3088" s="633" t="s">
        <v>760</v>
      </c>
      <c r="K3088" s="625" t="s">
        <v>2311</v>
      </c>
      <c r="L3088" s="634">
        <v>40344</v>
      </c>
      <c r="M3088" s="635" t="s">
        <v>1815</v>
      </c>
      <c r="N3088" s="636">
        <v>40350</v>
      </c>
      <c r="O3088" s="637">
        <f t="shared" si="707"/>
        <v>40350</v>
      </c>
      <c r="P3088" s="2826"/>
      <c r="Q3088" s="2993">
        <v>0</v>
      </c>
      <c r="R3088" s="638"/>
      <c r="S3088" s="1989" t="s">
        <v>731</v>
      </c>
      <c r="T3088" s="629" t="s">
        <v>1617</v>
      </c>
      <c r="U3088" s="1923"/>
      <c r="V3088" s="2079">
        <f t="shared" si="702"/>
        <v>0</v>
      </c>
      <c r="W3088" s="78">
        <f t="shared" si="703"/>
        <v>0</v>
      </c>
      <c r="X3088" s="1878" t="str">
        <f t="shared" si="701"/>
        <v>2.- C Goodyear 0140102-OT_134926     Llanta Rechazada, no se facturo</v>
      </c>
      <c r="Z3088" s="19" t="str">
        <f t="shared" si="706"/>
        <v>ReencaucheReencauchadora RENOVA</v>
      </c>
    </row>
    <row r="3089" spans="2:26" outlineLevel="1">
      <c r="B3089" s="3252"/>
      <c r="C3089" s="2">
        <f t="shared" ref="C3089:C3101" si="711">1+C3090</f>
        <v>172</v>
      </c>
      <c r="D3089" s="3">
        <f t="shared" ref="D3089:D3101" si="712">1+D3090</f>
        <v>14</v>
      </c>
      <c r="E3089" s="66">
        <v>3</v>
      </c>
      <c r="F3089" s="67" t="s">
        <v>732</v>
      </c>
      <c r="G3089" s="68" t="s">
        <v>757</v>
      </c>
      <c r="H3089" s="69" t="s">
        <v>1767</v>
      </c>
      <c r="I3089" s="68" t="s">
        <v>726</v>
      </c>
      <c r="J3089" s="301" t="s">
        <v>760</v>
      </c>
      <c r="K3089" s="71" t="s">
        <v>2311</v>
      </c>
      <c r="L3089" s="72">
        <v>40344</v>
      </c>
      <c r="M3089" s="73" t="s">
        <v>729</v>
      </c>
      <c r="N3089" s="74">
        <v>40350</v>
      </c>
      <c r="O3089" s="75">
        <f t="shared" si="707"/>
        <v>40350</v>
      </c>
      <c r="P3089" s="2765"/>
      <c r="Q3089" s="2954">
        <v>94.63</v>
      </c>
      <c r="R3089" s="76"/>
      <c r="S3089" s="1945" t="s">
        <v>731</v>
      </c>
      <c r="T3089" s="77"/>
      <c r="U3089" s="1893"/>
      <c r="V3089" s="2079">
        <f t="shared" si="702"/>
        <v>111.6634</v>
      </c>
      <c r="W3089" s="78">
        <f t="shared" si="703"/>
        <v>0</v>
      </c>
      <c r="X3089" s="1878" t="str">
        <f t="shared" si="701"/>
        <v xml:space="preserve">3.- C Goodyear 0640404-OT_134926  Reencauche  </v>
      </c>
      <c r="Z3089" s="19" t="str">
        <f t="shared" si="706"/>
        <v>ReencaucheReencauchadora RENOVA</v>
      </c>
    </row>
    <row r="3090" spans="2:26" outlineLevel="1">
      <c r="B3090" s="3252"/>
      <c r="C3090" s="2">
        <f t="shared" si="711"/>
        <v>171</v>
      </c>
      <c r="D3090" s="3">
        <f t="shared" si="712"/>
        <v>13</v>
      </c>
      <c r="E3090" s="66">
        <v>4</v>
      </c>
      <c r="F3090" s="67" t="s">
        <v>732</v>
      </c>
      <c r="G3090" s="68" t="s">
        <v>757</v>
      </c>
      <c r="H3090" s="69" t="s">
        <v>2313</v>
      </c>
      <c r="I3090" s="68" t="s">
        <v>726</v>
      </c>
      <c r="J3090" s="301" t="s">
        <v>760</v>
      </c>
      <c r="K3090" s="71" t="s">
        <v>2311</v>
      </c>
      <c r="L3090" s="72">
        <v>40344</v>
      </c>
      <c r="M3090" s="73" t="s">
        <v>729</v>
      </c>
      <c r="N3090" s="74">
        <v>40350</v>
      </c>
      <c r="O3090" s="75">
        <f t="shared" si="707"/>
        <v>40350</v>
      </c>
      <c r="P3090" s="2765"/>
      <c r="Q3090" s="2954">
        <v>94.63</v>
      </c>
      <c r="R3090" s="76"/>
      <c r="S3090" s="1945" t="s">
        <v>731</v>
      </c>
      <c r="T3090" s="77"/>
      <c r="U3090" s="1893"/>
      <c r="V3090" s="2079">
        <f t="shared" si="702"/>
        <v>111.6634</v>
      </c>
      <c r="W3090" s="78">
        <f t="shared" si="703"/>
        <v>0</v>
      </c>
      <c r="X3090" s="1878" t="str">
        <f t="shared" si="701"/>
        <v xml:space="preserve">4.- C Goodyear 210010153-OT_134926  Reencauche  </v>
      </c>
      <c r="Z3090" s="19" t="str">
        <f t="shared" si="706"/>
        <v>ReencaucheReencauchadora RENOVA</v>
      </c>
    </row>
    <row r="3091" spans="2:26" outlineLevel="1">
      <c r="B3091" s="3252"/>
      <c r="C3091" s="2">
        <f t="shared" si="711"/>
        <v>170</v>
      </c>
      <c r="D3091" s="3">
        <f t="shared" si="712"/>
        <v>12</v>
      </c>
      <c r="E3091" s="66">
        <v>5</v>
      </c>
      <c r="F3091" s="67" t="s">
        <v>732</v>
      </c>
      <c r="G3091" s="68" t="s">
        <v>757</v>
      </c>
      <c r="H3091" s="69" t="s">
        <v>914</v>
      </c>
      <c r="I3091" s="68" t="s">
        <v>726</v>
      </c>
      <c r="J3091" s="301" t="s">
        <v>760</v>
      </c>
      <c r="K3091" s="71" t="s">
        <v>2311</v>
      </c>
      <c r="L3091" s="72">
        <v>40344</v>
      </c>
      <c r="M3091" s="73" t="s">
        <v>729</v>
      </c>
      <c r="N3091" s="74">
        <v>40350</v>
      </c>
      <c r="O3091" s="75">
        <f t="shared" si="707"/>
        <v>40350</v>
      </c>
      <c r="P3091" s="2765"/>
      <c r="Q3091" s="2954">
        <v>94.63</v>
      </c>
      <c r="R3091" s="76"/>
      <c r="S3091" s="1945" t="s">
        <v>731</v>
      </c>
      <c r="T3091" s="77"/>
      <c r="U3091" s="1893"/>
      <c r="V3091" s="2079">
        <f t="shared" si="702"/>
        <v>111.6634</v>
      </c>
      <c r="W3091" s="78">
        <f t="shared" si="703"/>
        <v>0</v>
      </c>
      <c r="X3091" s="1878" t="str">
        <f t="shared" si="701"/>
        <v xml:space="preserve">5.- C Goodyear 039082003-OT_134926  Reencauche  </v>
      </c>
      <c r="Z3091" s="19" t="str">
        <f t="shared" si="706"/>
        <v>ReencaucheReencauchadora RENOVA</v>
      </c>
    </row>
    <row r="3092" spans="2:26" outlineLevel="1">
      <c r="B3092" s="3252"/>
      <c r="C3092" s="2">
        <f t="shared" si="711"/>
        <v>169</v>
      </c>
      <c r="D3092" s="3">
        <f t="shared" si="712"/>
        <v>11</v>
      </c>
      <c r="E3092" s="66">
        <v>6</v>
      </c>
      <c r="F3092" s="67" t="s">
        <v>732</v>
      </c>
      <c r="G3092" s="68" t="s">
        <v>757</v>
      </c>
      <c r="H3092" s="69" t="s">
        <v>1290</v>
      </c>
      <c r="I3092" s="68" t="s">
        <v>726</v>
      </c>
      <c r="J3092" s="301" t="s">
        <v>760</v>
      </c>
      <c r="K3092" s="71" t="s">
        <v>2311</v>
      </c>
      <c r="L3092" s="72">
        <v>40344</v>
      </c>
      <c r="M3092" s="73" t="s">
        <v>729</v>
      </c>
      <c r="N3092" s="74">
        <v>40350</v>
      </c>
      <c r="O3092" s="75">
        <f t="shared" si="707"/>
        <v>40350</v>
      </c>
      <c r="P3092" s="2765"/>
      <c r="Q3092" s="2954">
        <v>94.63</v>
      </c>
      <c r="R3092" s="76"/>
      <c r="S3092" s="1945" t="s">
        <v>731</v>
      </c>
      <c r="T3092" s="77"/>
      <c r="U3092" s="1893"/>
      <c r="V3092" s="2079">
        <f t="shared" si="702"/>
        <v>111.6634</v>
      </c>
      <c r="W3092" s="78">
        <f t="shared" si="703"/>
        <v>0</v>
      </c>
      <c r="X3092" s="1878" t="str">
        <f t="shared" si="701"/>
        <v xml:space="preserve">6.- C Goodyear 0471001-OT_134926  Reencauche  </v>
      </c>
      <c r="Z3092" s="19" t="str">
        <f t="shared" si="706"/>
        <v>ReencaucheReencauchadora RENOVA</v>
      </c>
    </row>
    <row r="3093" spans="2:26" outlineLevel="1">
      <c r="B3093" s="3252"/>
      <c r="C3093" s="2">
        <f t="shared" si="711"/>
        <v>168</v>
      </c>
      <c r="D3093" s="3">
        <f t="shared" si="712"/>
        <v>10</v>
      </c>
      <c r="E3093" s="66">
        <v>7</v>
      </c>
      <c r="F3093" s="67" t="s">
        <v>732</v>
      </c>
      <c r="G3093" s="68" t="s">
        <v>769</v>
      </c>
      <c r="H3093" s="69" t="s">
        <v>1145</v>
      </c>
      <c r="I3093" s="68" t="s">
        <v>726</v>
      </c>
      <c r="J3093" s="301" t="s">
        <v>760</v>
      </c>
      <c r="K3093" s="71" t="s">
        <v>2311</v>
      </c>
      <c r="L3093" s="72">
        <v>40344</v>
      </c>
      <c r="M3093" s="73" t="s">
        <v>729</v>
      </c>
      <c r="N3093" s="74">
        <v>40350</v>
      </c>
      <c r="O3093" s="75">
        <f t="shared" si="707"/>
        <v>40350</v>
      </c>
      <c r="P3093" s="2765"/>
      <c r="Q3093" s="2954">
        <v>94.63</v>
      </c>
      <c r="R3093" s="76"/>
      <c r="S3093" s="1945" t="s">
        <v>731</v>
      </c>
      <c r="T3093" s="77"/>
      <c r="U3093" s="1893"/>
      <c r="V3093" s="2079">
        <f t="shared" si="702"/>
        <v>111.6634</v>
      </c>
      <c r="W3093" s="78">
        <f t="shared" si="703"/>
        <v>0</v>
      </c>
      <c r="X3093" s="1878" t="str">
        <f t="shared" si="701"/>
        <v xml:space="preserve">7.- C Lu He 0410509-OT_134926  Reencauche  </v>
      </c>
      <c r="Z3093" s="19" t="str">
        <f t="shared" si="706"/>
        <v>ReencaucheReencauchadora RENOVA</v>
      </c>
    </row>
    <row r="3094" spans="2:26" outlineLevel="1">
      <c r="B3094" s="3252"/>
      <c r="C3094" s="2">
        <f t="shared" si="711"/>
        <v>167</v>
      </c>
      <c r="D3094" s="3">
        <f t="shared" si="712"/>
        <v>9</v>
      </c>
      <c r="E3094" s="66">
        <v>8</v>
      </c>
      <c r="F3094" s="67" t="s">
        <v>732</v>
      </c>
      <c r="G3094" s="68" t="s">
        <v>769</v>
      </c>
      <c r="H3094" s="69" t="s">
        <v>2314</v>
      </c>
      <c r="I3094" s="68" t="s">
        <v>726</v>
      </c>
      <c r="J3094" s="301" t="s">
        <v>760</v>
      </c>
      <c r="K3094" s="71" t="s">
        <v>2311</v>
      </c>
      <c r="L3094" s="72">
        <v>40344</v>
      </c>
      <c r="M3094" s="73" t="s">
        <v>729</v>
      </c>
      <c r="N3094" s="74">
        <v>40350</v>
      </c>
      <c r="O3094" s="75">
        <f t="shared" si="707"/>
        <v>40350</v>
      </c>
      <c r="P3094" s="2765"/>
      <c r="Q3094" s="2954">
        <v>94.63</v>
      </c>
      <c r="R3094" s="76"/>
      <c r="S3094" s="1945" t="s">
        <v>731</v>
      </c>
      <c r="T3094" s="77"/>
      <c r="U3094" s="1893"/>
      <c r="V3094" s="2079">
        <f t="shared" si="702"/>
        <v>111.6634</v>
      </c>
      <c r="W3094" s="78">
        <f t="shared" si="703"/>
        <v>0</v>
      </c>
      <c r="X3094" s="1878" t="str">
        <f t="shared" si="701"/>
        <v xml:space="preserve">8.- C Lu He 0460509-OT_134926  Reencauche  </v>
      </c>
      <c r="Z3094" s="19" t="str">
        <f t="shared" si="706"/>
        <v>ReencaucheReencauchadora RENOVA</v>
      </c>
    </row>
    <row r="3095" spans="2:26" outlineLevel="1">
      <c r="B3095" s="3252"/>
      <c r="C3095" s="2">
        <f t="shared" si="711"/>
        <v>166</v>
      </c>
      <c r="D3095" s="3">
        <f t="shared" si="712"/>
        <v>8</v>
      </c>
      <c r="E3095" s="66">
        <v>9</v>
      </c>
      <c r="F3095" s="67" t="s">
        <v>732</v>
      </c>
      <c r="G3095" s="68" t="s">
        <v>733</v>
      </c>
      <c r="H3095" s="69" t="s">
        <v>2315</v>
      </c>
      <c r="I3095" s="68" t="s">
        <v>726</v>
      </c>
      <c r="J3095" s="301" t="s">
        <v>760</v>
      </c>
      <c r="K3095" s="71" t="s">
        <v>2311</v>
      </c>
      <c r="L3095" s="72">
        <v>40344</v>
      </c>
      <c r="M3095" s="73" t="s">
        <v>729</v>
      </c>
      <c r="N3095" s="74">
        <v>40350</v>
      </c>
      <c r="O3095" s="75">
        <f t="shared" si="707"/>
        <v>40350</v>
      </c>
      <c r="P3095" s="2765"/>
      <c r="Q3095" s="2954">
        <v>94.63</v>
      </c>
      <c r="R3095" s="76"/>
      <c r="S3095" s="1945" t="s">
        <v>731</v>
      </c>
      <c r="T3095" s="77"/>
      <c r="U3095" s="1893"/>
      <c r="V3095" s="2079">
        <f t="shared" si="702"/>
        <v>111.6634</v>
      </c>
      <c r="W3095" s="78">
        <f t="shared" si="703"/>
        <v>0</v>
      </c>
      <c r="X3095" s="1878" t="str">
        <f t="shared" si="701"/>
        <v xml:space="preserve">9.- C Lima Caucho 1071208-OT_134926  Reencauche  </v>
      </c>
      <c r="Z3095" s="19" t="str">
        <f t="shared" si="706"/>
        <v>ReencaucheReencauchadora RENOVA</v>
      </c>
    </row>
    <row r="3096" spans="2:26" outlineLevel="1">
      <c r="B3096" s="3252"/>
      <c r="C3096" s="2">
        <f t="shared" si="711"/>
        <v>165</v>
      </c>
      <c r="D3096" s="3">
        <f t="shared" si="712"/>
        <v>7</v>
      </c>
      <c r="E3096" s="66">
        <v>10</v>
      </c>
      <c r="F3096" s="67" t="s">
        <v>732</v>
      </c>
      <c r="G3096" s="68" t="s">
        <v>733</v>
      </c>
      <c r="H3096" s="69" t="s">
        <v>1395</v>
      </c>
      <c r="I3096" s="68" t="s">
        <v>726</v>
      </c>
      <c r="J3096" s="301" t="s">
        <v>760</v>
      </c>
      <c r="K3096" s="71" t="s">
        <v>2311</v>
      </c>
      <c r="L3096" s="72">
        <v>40344</v>
      </c>
      <c r="M3096" s="73" t="s">
        <v>729</v>
      </c>
      <c r="N3096" s="74">
        <v>40350</v>
      </c>
      <c r="O3096" s="75">
        <f t="shared" si="707"/>
        <v>40350</v>
      </c>
      <c r="P3096" s="2765"/>
      <c r="Q3096" s="2954">
        <v>94.63</v>
      </c>
      <c r="R3096" s="76"/>
      <c r="S3096" s="1945" t="s">
        <v>731</v>
      </c>
      <c r="T3096" s="77"/>
      <c r="U3096" s="1893"/>
      <c r="V3096" s="2079">
        <f t="shared" si="702"/>
        <v>111.6634</v>
      </c>
      <c r="W3096" s="78">
        <f t="shared" si="703"/>
        <v>0</v>
      </c>
      <c r="X3096" s="1878" t="str">
        <f t="shared" si="701"/>
        <v xml:space="preserve">10.- C Lima Caucho 1091208-OT_134926  Reencauche  </v>
      </c>
      <c r="Z3096" s="19" t="str">
        <f t="shared" si="706"/>
        <v>ReencaucheReencauchadora RENOVA</v>
      </c>
    </row>
    <row r="3097" spans="2:26" outlineLevel="1">
      <c r="B3097" s="3252"/>
      <c r="C3097" s="2">
        <f t="shared" si="711"/>
        <v>164</v>
      </c>
      <c r="D3097" s="3">
        <f t="shared" si="712"/>
        <v>6</v>
      </c>
      <c r="E3097" s="66">
        <v>11</v>
      </c>
      <c r="F3097" s="67" t="s">
        <v>732</v>
      </c>
      <c r="G3097" s="68" t="s">
        <v>737</v>
      </c>
      <c r="H3097" s="69" t="s">
        <v>1190</v>
      </c>
      <c r="I3097" s="68" t="s">
        <v>726</v>
      </c>
      <c r="J3097" s="301" t="s">
        <v>760</v>
      </c>
      <c r="K3097" s="71" t="s">
        <v>2316</v>
      </c>
      <c r="L3097" s="72">
        <v>40344</v>
      </c>
      <c r="M3097" s="73" t="s">
        <v>729</v>
      </c>
      <c r="N3097" s="74">
        <v>40350</v>
      </c>
      <c r="O3097" s="75">
        <f t="shared" si="707"/>
        <v>40350</v>
      </c>
      <c r="P3097" s="2765"/>
      <c r="Q3097" s="2954">
        <v>94.63</v>
      </c>
      <c r="R3097" s="76"/>
      <c r="S3097" s="1945" t="s">
        <v>731</v>
      </c>
      <c r="T3097" s="77"/>
      <c r="U3097" s="1893"/>
      <c r="V3097" s="2079">
        <f t="shared" si="702"/>
        <v>111.6634</v>
      </c>
      <c r="W3097" s="78">
        <f t="shared" si="703"/>
        <v>0</v>
      </c>
      <c r="X3097" s="1878" t="str">
        <f t="shared" si="701"/>
        <v xml:space="preserve">11.- C Vikrant 1240805-OT_134927  Reencauche  </v>
      </c>
      <c r="Z3097" s="19" t="str">
        <f t="shared" si="706"/>
        <v>REPARACIONReencauchadora RENOVA</v>
      </c>
    </row>
    <row r="3098" spans="2:26" outlineLevel="1">
      <c r="B3098" s="3252"/>
      <c r="C3098" s="2">
        <f t="shared" si="711"/>
        <v>163</v>
      </c>
      <c r="D3098" s="3">
        <f t="shared" si="712"/>
        <v>5</v>
      </c>
      <c r="E3098" s="66">
        <v>12</v>
      </c>
      <c r="F3098" s="67" t="s">
        <v>732</v>
      </c>
      <c r="G3098" s="68" t="s">
        <v>737</v>
      </c>
      <c r="H3098" s="69" t="s">
        <v>928</v>
      </c>
      <c r="I3098" s="68" t="s">
        <v>726</v>
      </c>
      <c r="J3098" s="301" t="s">
        <v>760</v>
      </c>
      <c r="K3098" s="71" t="s">
        <v>2316</v>
      </c>
      <c r="L3098" s="72">
        <v>40344</v>
      </c>
      <c r="M3098" s="73" t="s">
        <v>729</v>
      </c>
      <c r="N3098" s="74">
        <v>40350</v>
      </c>
      <c r="O3098" s="75">
        <f t="shared" si="707"/>
        <v>40350</v>
      </c>
      <c r="P3098" s="2765"/>
      <c r="Q3098" s="2954">
        <v>94.63</v>
      </c>
      <c r="R3098" s="76"/>
      <c r="S3098" s="1945" t="s">
        <v>731</v>
      </c>
      <c r="T3098" s="77"/>
      <c r="U3098" s="1893"/>
      <c r="V3098" s="2079">
        <f t="shared" si="702"/>
        <v>111.6634</v>
      </c>
      <c r="W3098" s="78">
        <f t="shared" si="703"/>
        <v>0</v>
      </c>
      <c r="X3098" s="1878" t="str">
        <f t="shared" si="701"/>
        <v xml:space="preserve">12.- C Vikrant 0750906-OT_134927  Reencauche  </v>
      </c>
      <c r="Z3098" s="19" t="str">
        <f t="shared" si="706"/>
        <v>Transpl BandaReencauchadora Espinoza</v>
      </c>
    </row>
    <row r="3099" spans="2:26" outlineLevel="1">
      <c r="B3099" s="3252"/>
      <c r="C3099" s="2">
        <f t="shared" si="711"/>
        <v>162</v>
      </c>
      <c r="D3099" s="3">
        <f t="shared" si="712"/>
        <v>4</v>
      </c>
      <c r="E3099" s="66">
        <v>13</v>
      </c>
      <c r="F3099" s="67" t="s">
        <v>732</v>
      </c>
      <c r="G3099" s="68" t="s">
        <v>737</v>
      </c>
      <c r="H3099" s="69" t="s">
        <v>1937</v>
      </c>
      <c r="I3099" s="68" t="s">
        <v>726</v>
      </c>
      <c r="J3099" s="301" t="s">
        <v>760</v>
      </c>
      <c r="K3099" s="71" t="s">
        <v>2316</v>
      </c>
      <c r="L3099" s="72">
        <v>40344</v>
      </c>
      <c r="M3099" s="73" t="s">
        <v>729</v>
      </c>
      <c r="N3099" s="74">
        <v>40350</v>
      </c>
      <c r="O3099" s="75">
        <f t="shared" si="707"/>
        <v>40350</v>
      </c>
      <c r="P3099" s="2765"/>
      <c r="Q3099" s="2954">
        <v>94.63</v>
      </c>
      <c r="R3099" s="76"/>
      <c r="S3099" s="1945" t="s">
        <v>731</v>
      </c>
      <c r="T3099" s="77"/>
      <c r="U3099" s="1893"/>
      <c r="V3099" s="2079">
        <f t="shared" si="702"/>
        <v>111.6634</v>
      </c>
      <c r="W3099" s="78">
        <f t="shared" si="703"/>
        <v>0</v>
      </c>
      <c r="X3099" s="1878" t="str">
        <f t="shared" si="701"/>
        <v xml:space="preserve">13.- C Vikrant 0981206-OT_134927  Reencauche  </v>
      </c>
      <c r="Z3099" s="19" t="str">
        <f t="shared" si="706"/>
        <v>Transpl BandaReencauchadora Espinoza</v>
      </c>
    </row>
    <row r="3100" spans="2:26" ht="14.25" outlineLevel="1">
      <c r="B3100" s="3252"/>
      <c r="C3100" s="639">
        <f t="shared" si="711"/>
        <v>161</v>
      </c>
      <c r="D3100" s="640">
        <f t="shared" si="712"/>
        <v>3</v>
      </c>
      <c r="E3100" s="79">
        <v>14</v>
      </c>
      <c r="F3100" s="80" t="s">
        <v>732</v>
      </c>
      <c r="G3100" s="475" t="s">
        <v>737</v>
      </c>
      <c r="H3100" s="476" t="s">
        <v>893</v>
      </c>
      <c r="I3100" s="477" t="s">
        <v>2241</v>
      </c>
      <c r="J3100" s="641" t="s">
        <v>760</v>
      </c>
      <c r="K3100" s="350" t="s">
        <v>2317</v>
      </c>
      <c r="L3100" s="478">
        <v>40344</v>
      </c>
      <c r="M3100" s="479" t="s">
        <v>729</v>
      </c>
      <c r="N3100" s="480">
        <v>40350</v>
      </c>
      <c r="O3100" s="481">
        <f t="shared" si="707"/>
        <v>40350</v>
      </c>
      <c r="P3100" s="2810"/>
      <c r="Q3100" s="2984">
        <v>22.5</v>
      </c>
      <c r="R3100" s="482"/>
      <c r="S3100" s="1974" t="s">
        <v>731</v>
      </c>
      <c r="T3100" s="642" t="s">
        <v>2320</v>
      </c>
      <c r="U3100" s="1924"/>
      <c r="V3100" s="2079">
        <f t="shared" si="702"/>
        <v>26.549999999999997</v>
      </c>
      <c r="W3100" s="78">
        <f t="shared" si="703"/>
        <v>0</v>
      </c>
      <c r="X3100" s="1878" t="str">
        <f t="shared" si="701"/>
        <v>14.- C Vikrant 011022010-OT_134219  REPARACION   Cortada en costado, llanta en 13mm [R-170 (01 vida)]</v>
      </c>
      <c r="Z3100" s="19" t="str">
        <f t="shared" si="706"/>
        <v>Sacar_BandaReencauchadora Espinoza</v>
      </c>
    </row>
    <row r="3101" spans="2:26" outlineLevel="1">
      <c r="B3101" s="3252"/>
      <c r="C3101" s="2">
        <f t="shared" si="711"/>
        <v>160</v>
      </c>
      <c r="D3101" s="3">
        <f t="shared" si="712"/>
        <v>2</v>
      </c>
      <c r="E3101" s="66">
        <v>1</v>
      </c>
      <c r="F3101" s="67" t="s">
        <v>732</v>
      </c>
      <c r="G3101" s="643" t="s">
        <v>757</v>
      </c>
      <c r="H3101" s="644" t="s">
        <v>1697</v>
      </c>
      <c r="I3101" s="643" t="s">
        <v>740</v>
      </c>
      <c r="J3101" s="645" t="s">
        <v>1543</v>
      </c>
      <c r="K3101" s="646" t="s">
        <v>2321</v>
      </c>
      <c r="L3101" s="647">
        <v>40333</v>
      </c>
      <c r="M3101" s="648" t="s">
        <v>729</v>
      </c>
      <c r="N3101" s="295">
        <v>40344</v>
      </c>
      <c r="O3101" s="296">
        <f t="shared" si="707"/>
        <v>40344</v>
      </c>
      <c r="P3101" s="2827"/>
      <c r="Q3101" s="2976"/>
      <c r="R3101" s="649">
        <f>125/(1.19)</f>
        <v>105.0420168067227</v>
      </c>
      <c r="S3101" s="1990" t="s">
        <v>731</v>
      </c>
      <c r="T3101" s="650" t="s">
        <v>2322</v>
      </c>
      <c r="U3101" s="1938"/>
      <c r="V3101" s="2079">
        <f t="shared" si="702"/>
        <v>0</v>
      </c>
      <c r="W3101" s="78">
        <f t="shared" si="703"/>
        <v>123.94957983193278</v>
      </c>
      <c r="X3101" s="1878" t="str">
        <f t="shared" si="701"/>
        <v xml:space="preserve">1.- C Goodyear 0711201-OT_000030  Transpl Banda   Con banda transplantada </v>
      </c>
      <c r="Z3101" s="19" t="str">
        <f t="shared" si="706"/>
        <v>Sacar_BandaReencauchadora Espinoza</v>
      </c>
    </row>
    <row r="3102" spans="2:26">
      <c r="B3102" s="3252"/>
      <c r="C3102" s="2">
        <f>1+C3106</f>
        <v>159</v>
      </c>
      <c r="D3102" s="3">
        <v>1</v>
      </c>
      <c r="E3102" s="66">
        <v>2</v>
      </c>
      <c r="F3102" s="67" t="s">
        <v>732</v>
      </c>
      <c r="G3102" s="643" t="s">
        <v>737</v>
      </c>
      <c r="H3102" s="644" t="s">
        <v>2323</v>
      </c>
      <c r="I3102" s="643" t="s">
        <v>740</v>
      </c>
      <c r="J3102" s="645" t="s">
        <v>1543</v>
      </c>
      <c r="K3102" s="646" t="s">
        <v>2321</v>
      </c>
      <c r="L3102" s="647">
        <v>40333</v>
      </c>
      <c r="M3102" s="648" t="s">
        <v>729</v>
      </c>
      <c r="N3102" s="295">
        <v>40344</v>
      </c>
      <c r="O3102" s="296">
        <f t="shared" si="707"/>
        <v>40344</v>
      </c>
      <c r="P3102" s="2827"/>
      <c r="Q3102" s="2976"/>
      <c r="R3102" s="649">
        <f>125/(1.19)</f>
        <v>105.0420168067227</v>
      </c>
      <c r="S3102" s="1990" t="s">
        <v>731</v>
      </c>
      <c r="T3102" s="650" t="s">
        <v>2322</v>
      </c>
      <c r="U3102" s="1938"/>
      <c r="V3102" s="2079">
        <f t="shared" si="702"/>
        <v>0</v>
      </c>
      <c r="W3102" s="78">
        <f t="shared" si="703"/>
        <v>123.94957983193278</v>
      </c>
      <c r="X3102" s="1878" t="str">
        <f t="shared" si="701"/>
        <v xml:space="preserve">2.- C Vikrant 1671205-OT_000030  Transpl Banda   Con banda transplantada </v>
      </c>
    </row>
    <row r="3103" spans="2:26" outlineLevel="1">
      <c r="B3103" s="3252"/>
      <c r="D3103" s="651"/>
      <c r="E3103" s="66">
        <v>3</v>
      </c>
      <c r="F3103" s="67" t="s">
        <v>732</v>
      </c>
      <c r="G3103" s="90" t="s">
        <v>737</v>
      </c>
      <c r="H3103" s="91" t="s">
        <v>2324</v>
      </c>
      <c r="I3103" s="90" t="s">
        <v>744</v>
      </c>
      <c r="J3103" s="97" t="s">
        <v>1543</v>
      </c>
      <c r="K3103" s="243" t="s">
        <v>2321</v>
      </c>
      <c r="L3103" s="244">
        <v>40333</v>
      </c>
      <c r="M3103" s="245" t="s">
        <v>2325</v>
      </c>
      <c r="N3103" s="74">
        <v>40372</v>
      </c>
      <c r="O3103" s="75">
        <f t="shared" si="707"/>
        <v>40372</v>
      </c>
      <c r="P3103" s="2799"/>
      <c r="Q3103" s="2954"/>
      <c r="R3103" s="248">
        <v>0</v>
      </c>
      <c r="S3103" s="1958" t="s">
        <v>731</v>
      </c>
      <c r="T3103" s="652" t="s">
        <v>2326</v>
      </c>
      <c r="U3103" s="1924"/>
      <c r="V3103" s="2079">
        <f t="shared" si="702"/>
        <v>0</v>
      </c>
      <c r="W3103" s="78">
        <f t="shared" si="703"/>
        <v>0</v>
      </c>
      <c r="X3103" s="1878" t="str">
        <f t="shared" si="701"/>
        <v>3.- C Vikrant 0751007-OT_000030  Sacar_Banda   Llanta casco dañado-soplado, banda 12Mm, desechada</v>
      </c>
      <c r="Z3103" s="19" t="str">
        <f t="shared" ref="Z3103:Z3135" si="713">CONCATENATE(I3106,J3106)</f>
        <v>ReencaucheReencauchadora RENOVA</v>
      </c>
    </row>
    <row r="3104" spans="2:26" ht="15.75" outlineLevel="1" thickBot="1">
      <c r="B3104" s="3253"/>
      <c r="C3104" s="420"/>
      <c r="D3104" s="653"/>
      <c r="E3104" s="66">
        <v>4</v>
      </c>
      <c r="F3104" s="67" t="s">
        <v>732</v>
      </c>
      <c r="G3104" s="360" t="s">
        <v>737</v>
      </c>
      <c r="H3104" s="361" t="s">
        <v>2327</v>
      </c>
      <c r="I3104" s="360" t="s">
        <v>744</v>
      </c>
      <c r="J3104" s="332" t="s">
        <v>1543</v>
      </c>
      <c r="K3104" s="362" t="s">
        <v>2321</v>
      </c>
      <c r="L3104" s="363">
        <v>40333</v>
      </c>
      <c r="M3104" s="364" t="s">
        <v>2325</v>
      </c>
      <c r="N3104" s="336">
        <v>40372</v>
      </c>
      <c r="O3104" s="337">
        <f t="shared" si="707"/>
        <v>40372</v>
      </c>
      <c r="P3104" s="2802"/>
      <c r="Q3104" s="2979"/>
      <c r="R3104" s="365">
        <v>0</v>
      </c>
      <c r="S3104" s="1967" t="s">
        <v>731</v>
      </c>
      <c r="T3104" s="652" t="s">
        <v>2326</v>
      </c>
      <c r="U3104" s="1924"/>
      <c r="V3104" s="2079">
        <f t="shared" si="702"/>
        <v>0</v>
      </c>
      <c r="W3104" s="78">
        <f t="shared" si="703"/>
        <v>0</v>
      </c>
      <c r="X3104" s="1878" t="str">
        <f t="shared" si="701"/>
        <v>4.- C Vikrant 0700906-OT_000030  Sacar_Banda   Llanta casco dañado-soplado, banda 12Mm, desechada</v>
      </c>
      <c r="Z3104" s="19" t="str">
        <f t="shared" si="713"/>
        <v>ReencaucheReencauchadora RENOVA</v>
      </c>
    </row>
    <row r="3105" spans="2:26" ht="15.75" outlineLevel="1" thickBot="1">
      <c r="B3105" s="1">
        <f>+B3106</f>
        <v>40299</v>
      </c>
      <c r="C3105" s="1"/>
      <c r="D3105" s="173">
        <f>+D3106</f>
        <v>24</v>
      </c>
      <c r="E3105" s="66"/>
      <c r="F3105" s="67"/>
      <c r="G3105" s="90"/>
      <c r="H3105" s="91"/>
      <c r="I3105" s="90"/>
      <c r="J3105" s="92"/>
      <c r="K3105" s="243"/>
      <c r="L3105" s="244"/>
      <c r="M3105" s="245"/>
      <c r="N3105" s="74"/>
      <c r="O3105" s="75"/>
      <c r="P3105" s="2799"/>
      <c r="Q3105" s="2954"/>
      <c r="R3105" s="248"/>
      <c r="S3105" s="1958"/>
      <c r="T3105" s="652"/>
      <c r="U3105" s="1924"/>
      <c r="V3105" s="2079">
        <f t="shared" si="702"/>
        <v>0</v>
      </c>
      <c r="W3105" s="78">
        <f t="shared" si="703"/>
        <v>0</v>
      </c>
      <c r="X3105" s="1878" t="str">
        <f t="shared" si="701"/>
        <v xml:space="preserve">.-   -OT_    </v>
      </c>
      <c r="Z3105" s="19" t="str">
        <f t="shared" si="713"/>
        <v>ReencaucheReencauchadora RENOVA</v>
      </c>
    </row>
    <row r="3106" spans="2:26" outlineLevel="1">
      <c r="B3106" s="3251">
        <v>40299</v>
      </c>
      <c r="C3106" s="2">
        <f>1+C3107</f>
        <v>158</v>
      </c>
      <c r="D3106" s="306">
        <f>1+D3107</f>
        <v>24</v>
      </c>
      <c r="E3106" s="66">
        <v>1</v>
      </c>
      <c r="F3106" s="67" t="s">
        <v>732</v>
      </c>
      <c r="G3106" s="68" t="s">
        <v>757</v>
      </c>
      <c r="H3106" s="69" t="s">
        <v>1037</v>
      </c>
      <c r="I3106" s="68" t="s">
        <v>726</v>
      </c>
      <c r="J3106" s="301" t="s">
        <v>760</v>
      </c>
      <c r="K3106" s="71" t="s">
        <v>2328</v>
      </c>
      <c r="L3106" s="72">
        <v>40318</v>
      </c>
      <c r="M3106" s="73" t="s">
        <v>729</v>
      </c>
      <c r="N3106" s="74">
        <v>40327</v>
      </c>
      <c r="O3106" s="75">
        <f t="shared" ref="O3106:O3138" si="714">+N3106</f>
        <v>40327</v>
      </c>
      <c r="P3106" s="2765"/>
      <c r="Q3106" s="2954">
        <v>94.63</v>
      </c>
      <c r="R3106" s="76"/>
      <c r="S3106" s="1945" t="s">
        <v>731</v>
      </c>
      <c r="T3106" s="77"/>
      <c r="U3106" s="1893"/>
      <c r="V3106" s="2079">
        <f t="shared" si="702"/>
        <v>111.6634</v>
      </c>
      <c r="W3106" s="78">
        <f t="shared" si="703"/>
        <v>0</v>
      </c>
      <c r="X3106" s="1878" t="str">
        <f t="shared" ref="X3106:X3169" si="715">CONCATENATE(E3106,".- ",F3106," ",G3106," ",H3106,"-OT_",K3106," "," ",I3106," ",P3106," ",T3106)</f>
        <v xml:space="preserve">1.- C Goodyear 1561004-OT_133276  Reencauche  </v>
      </c>
      <c r="Z3106" s="19" t="str">
        <f t="shared" si="713"/>
        <v>Reencauchadora RENOVA</v>
      </c>
    </row>
    <row r="3107" spans="2:26" outlineLevel="1">
      <c r="B3107" s="3252"/>
      <c r="C3107" s="2">
        <f>1+C3108</f>
        <v>157</v>
      </c>
      <c r="D3107" s="3">
        <f>1+D3108</f>
        <v>23</v>
      </c>
      <c r="E3107" s="66">
        <v>2</v>
      </c>
      <c r="F3107" s="67" t="s">
        <v>732</v>
      </c>
      <c r="G3107" s="68" t="s">
        <v>757</v>
      </c>
      <c r="H3107" s="69" t="s">
        <v>1843</v>
      </c>
      <c r="I3107" s="68" t="s">
        <v>726</v>
      </c>
      <c r="J3107" s="301" t="s">
        <v>760</v>
      </c>
      <c r="K3107" s="71" t="s">
        <v>2328</v>
      </c>
      <c r="L3107" s="72">
        <v>40318</v>
      </c>
      <c r="M3107" s="73" t="s">
        <v>729</v>
      </c>
      <c r="N3107" s="74">
        <v>40327</v>
      </c>
      <c r="O3107" s="75">
        <f t="shared" si="714"/>
        <v>40327</v>
      </c>
      <c r="P3107" s="2765"/>
      <c r="Q3107" s="2954">
        <v>94.63</v>
      </c>
      <c r="R3107" s="76"/>
      <c r="S3107" s="1945" t="s">
        <v>731</v>
      </c>
      <c r="T3107" s="77"/>
      <c r="U3107" s="1893"/>
      <c r="V3107" s="2079">
        <f t="shared" ref="V3107:V3170" si="716">+Q3107*(1.18)</f>
        <v>111.6634</v>
      </c>
      <c r="W3107" s="78">
        <f t="shared" ref="W3107:W3170" si="717">+R3107*(1.18)</f>
        <v>0</v>
      </c>
      <c r="X3107" s="1878" t="str">
        <f t="shared" si="715"/>
        <v xml:space="preserve">2.- C Goodyear 052092003-OT_133276  Reencauche  </v>
      </c>
      <c r="Z3107" s="19" t="str">
        <f t="shared" si="713"/>
        <v>ReencaucheReencauchadora RENOVA</v>
      </c>
    </row>
    <row r="3108" spans="2:26" outlineLevel="1">
      <c r="B3108" s="3252"/>
      <c r="C3108" s="2">
        <f>1+C3110</f>
        <v>156</v>
      </c>
      <c r="D3108" s="3">
        <v>22</v>
      </c>
      <c r="E3108" s="66">
        <v>3</v>
      </c>
      <c r="F3108" s="67" t="s">
        <v>732</v>
      </c>
      <c r="G3108" s="68" t="s">
        <v>757</v>
      </c>
      <c r="H3108" s="69" t="s">
        <v>1907</v>
      </c>
      <c r="I3108" s="68" t="s">
        <v>726</v>
      </c>
      <c r="J3108" s="301" t="s">
        <v>760</v>
      </c>
      <c r="K3108" s="71" t="s">
        <v>2328</v>
      </c>
      <c r="L3108" s="72">
        <v>40318</v>
      </c>
      <c r="M3108" s="73" t="s">
        <v>729</v>
      </c>
      <c r="N3108" s="74">
        <v>40327</v>
      </c>
      <c r="O3108" s="75">
        <f t="shared" si="714"/>
        <v>40327</v>
      </c>
      <c r="P3108" s="2765"/>
      <c r="Q3108" s="2954">
        <v>94.63</v>
      </c>
      <c r="R3108" s="76"/>
      <c r="S3108" s="1945" t="s">
        <v>731</v>
      </c>
      <c r="T3108" s="77"/>
      <c r="U3108" s="1893"/>
      <c r="V3108" s="2079">
        <f t="shared" si="716"/>
        <v>111.6634</v>
      </c>
      <c r="W3108" s="78">
        <f t="shared" si="717"/>
        <v>0</v>
      </c>
      <c r="X3108" s="1878" t="str">
        <f t="shared" si="715"/>
        <v xml:space="preserve">3.- C Goodyear 049032004-OT_133276  Reencauche  </v>
      </c>
      <c r="Z3108" s="19" t="str">
        <f t="shared" si="713"/>
        <v>ReencaucheReencauchadora RENOVA</v>
      </c>
    </row>
    <row r="3109" spans="2:26" outlineLevel="1">
      <c r="B3109" s="3252"/>
      <c r="E3109" s="621">
        <v>4</v>
      </c>
      <c r="F3109" s="2056" t="s">
        <v>732</v>
      </c>
      <c r="G3109" s="622" t="s">
        <v>757</v>
      </c>
      <c r="H3109" s="623" t="s">
        <v>1697</v>
      </c>
      <c r="I3109" s="622"/>
      <c r="J3109" s="624" t="s">
        <v>760</v>
      </c>
      <c r="K3109" s="625" t="s">
        <v>2328</v>
      </c>
      <c r="L3109" s="626">
        <v>40318</v>
      </c>
      <c r="M3109" s="627" t="s">
        <v>1815</v>
      </c>
      <c r="N3109" s="259">
        <v>40327</v>
      </c>
      <c r="O3109" s="140">
        <f t="shared" si="714"/>
        <v>40327</v>
      </c>
      <c r="P3109" s="2825"/>
      <c r="Q3109" s="2971">
        <v>0</v>
      </c>
      <c r="R3109" s="628"/>
      <c r="S3109" s="1988" t="s">
        <v>731</v>
      </c>
      <c r="T3109" s="654" t="s">
        <v>2329</v>
      </c>
      <c r="U3109" s="1922"/>
      <c r="V3109" s="2079">
        <f t="shared" si="716"/>
        <v>0</v>
      </c>
      <c r="W3109" s="78">
        <f t="shared" si="717"/>
        <v>0</v>
      </c>
      <c r="X3109" s="1878" t="str">
        <f t="shared" si="715"/>
        <v>4.- C Goodyear 0711201-OT_133276     Llanta Rechazada, no se facturo, SE PONE TRANSPL_BANDA (R_Espinoza)</v>
      </c>
      <c r="Z3109" s="19" t="str">
        <f t="shared" si="713"/>
        <v>Reencauchadora RENOVA</v>
      </c>
    </row>
    <row r="3110" spans="2:26" outlineLevel="1">
      <c r="B3110" s="3252"/>
      <c r="C3110" s="2">
        <f>1+C3111</f>
        <v>155</v>
      </c>
      <c r="D3110" s="3">
        <f>1+D3111</f>
        <v>21</v>
      </c>
      <c r="E3110" s="66">
        <v>5</v>
      </c>
      <c r="F3110" s="67" t="s">
        <v>732</v>
      </c>
      <c r="G3110" s="68" t="s">
        <v>757</v>
      </c>
      <c r="H3110" s="69" t="s">
        <v>2330</v>
      </c>
      <c r="I3110" s="68" t="s">
        <v>726</v>
      </c>
      <c r="J3110" s="301" t="s">
        <v>760</v>
      </c>
      <c r="K3110" s="71" t="s">
        <v>2328</v>
      </c>
      <c r="L3110" s="72">
        <v>40318</v>
      </c>
      <c r="M3110" s="73" t="s">
        <v>729</v>
      </c>
      <c r="N3110" s="74">
        <v>40327</v>
      </c>
      <c r="O3110" s="75">
        <f t="shared" si="714"/>
        <v>40327</v>
      </c>
      <c r="P3110" s="2765"/>
      <c r="Q3110" s="2954">
        <v>94.63</v>
      </c>
      <c r="R3110" s="76"/>
      <c r="S3110" s="1945" t="s">
        <v>731</v>
      </c>
      <c r="T3110" s="77"/>
      <c r="U3110" s="1893"/>
      <c r="V3110" s="2079">
        <f t="shared" si="716"/>
        <v>111.6634</v>
      </c>
      <c r="W3110" s="78">
        <f t="shared" si="717"/>
        <v>0</v>
      </c>
      <c r="X3110" s="1878" t="str">
        <f t="shared" si="715"/>
        <v xml:space="preserve">5.- C Goodyear 003032003-OT_133276  Reencauche  </v>
      </c>
      <c r="Z3110" s="19" t="str">
        <f t="shared" si="713"/>
        <v>ReencaucheReencauchadora RENOVA</v>
      </c>
    </row>
    <row r="3111" spans="2:26" outlineLevel="1">
      <c r="B3111" s="3252"/>
      <c r="C3111" s="2">
        <f>1+C3113</f>
        <v>154</v>
      </c>
      <c r="D3111" s="3">
        <v>20</v>
      </c>
      <c r="E3111" s="66">
        <v>6</v>
      </c>
      <c r="F3111" s="67" t="s">
        <v>732</v>
      </c>
      <c r="G3111" s="68" t="s">
        <v>757</v>
      </c>
      <c r="H3111" s="69" t="s">
        <v>1914</v>
      </c>
      <c r="I3111" s="68" t="s">
        <v>726</v>
      </c>
      <c r="J3111" s="301" t="s">
        <v>760</v>
      </c>
      <c r="K3111" s="71" t="s">
        <v>2328</v>
      </c>
      <c r="L3111" s="72">
        <v>40318</v>
      </c>
      <c r="M3111" s="73" t="s">
        <v>729</v>
      </c>
      <c r="N3111" s="74">
        <v>40327</v>
      </c>
      <c r="O3111" s="75">
        <f t="shared" si="714"/>
        <v>40327</v>
      </c>
      <c r="P3111" s="2765"/>
      <c r="Q3111" s="2954">
        <v>94.63</v>
      </c>
      <c r="R3111" s="76"/>
      <c r="S3111" s="1945" t="s">
        <v>731</v>
      </c>
      <c r="T3111" s="77"/>
      <c r="U3111" s="1893"/>
      <c r="V3111" s="2079">
        <f t="shared" si="716"/>
        <v>111.6634</v>
      </c>
      <c r="W3111" s="78">
        <f t="shared" si="717"/>
        <v>0</v>
      </c>
      <c r="X3111" s="1878" t="str">
        <f t="shared" si="715"/>
        <v xml:space="preserve">6.- C Goodyear 0491001-OT_133276  Reencauche  </v>
      </c>
      <c r="Z3111" s="19" t="str">
        <f t="shared" si="713"/>
        <v>ReencaucheReencauchadora RENOVA</v>
      </c>
    </row>
    <row r="3112" spans="2:26" outlineLevel="1">
      <c r="B3112" s="3252"/>
      <c r="E3112" s="621">
        <v>7</v>
      </c>
      <c r="F3112" s="2056" t="s">
        <v>732</v>
      </c>
      <c r="G3112" s="622" t="s">
        <v>757</v>
      </c>
      <c r="H3112" s="623" t="s">
        <v>2331</v>
      </c>
      <c r="I3112" s="622"/>
      <c r="J3112" s="624" t="s">
        <v>760</v>
      </c>
      <c r="K3112" s="625" t="s">
        <v>2328</v>
      </c>
      <c r="L3112" s="626">
        <v>40318</v>
      </c>
      <c r="M3112" s="627" t="s">
        <v>1815</v>
      </c>
      <c r="N3112" s="259">
        <v>40327</v>
      </c>
      <c r="O3112" s="140">
        <f t="shared" si="714"/>
        <v>40327</v>
      </c>
      <c r="P3112" s="2825"/>
      <c r="Q3112" s="2971">
        <v>0</v>
      </c>
      <c r="R3112" s="628"/>
      <c r="S3112" s="1988" t="s">
        <v>731</v>
      </c>
      <c r="T3112" s="654" t="s">
        <v>110</v>
      </c>
      <c r="U3112" s="1922"/>
      <c r="V3112" s="2079">
        <f t="shared" si="716"/>
        <v>0</v>
      </c>
      <c r="W3112" s="78">
        <f t="shared" si="717"/>
        <v>0</v>
      </c>
      <c r="X3112" s="1878" t="str">
        <f t="shared" si="715"/>
        <v>7.- C Goodyear 0260901-OT_133276     Llanta Rechazada, no se facturo, PASA A DESECHO</v>
      </c>
      <c r="Z3112" s="19" t="str">
        <f t="shared" si="713"/>
        <v>ReencaucheReencauchadora RENOVA</v>
      </c>
    </row>
    <row r="3113" spans="2:26" outlineLevel="1">
      <c r="B3113" s="3252"/>
      <c r="C3113" s="2">
        <f t="shared" ref="C3113:D3116" si="718">1+C3114</f>
        <v>153</v>
      </c>
      <c r="D3113" s="3">
        <f t="shared" si="718"/>
        <v>19</v>
      </c>
      <c r="E3113" s="66">
        <v>8</v>
      </c>
      <c r="F3113" s="67" t="s">
        <v>732</v>
      </c>
      <c r="G3113" s="68" t="s">
        <v>757</v>
      </c>
      <c r="H3113" s="69" t="s">
        <v>2332</v>
      </c>
      <c r="I3113" s="68" t="s">
        <v>726</v>
      </c>
      <c r="J3113" s="301" t="s">
        <v>760</v>
      </c>
      <c r="K3113" s="71" t="s">
        <v>2328</v>
      </c>
      <c r="L3113" s="72">
        <v>40318</v>
      </c>
      <c r="M3113" s="73" t="s">
        <v>729</v>
      </c>
      <c r="N3113" s="74">
        <v>40327</v>
      </c>
      <c r="O3113" s="75">
        <f t="shared" si="714"/>
        <v>40327</v>
      </c>
      <c r="P3113" s="2765"/>
      <c r="Q3113" s="2954">
        <v>94.63</v>
      </c>
      <c r="R3113" s="76"/>
      <c r="S3113" s="1945" t="s">
        <v>731</v>
      </c>
      <c r="T3113" s="77"/>
      <c r="U3113" s="1893"/>
      <c r="V3113" s="2079">
        <f t="shared" si="716"/>
        <v>111.6634</v>
      </c>
      <c r="W3113" s="78">
        <f t="shared" si="717"/>
        <v>0</v>
      </c>
      <c r="X3113" s="1878" t="str">
        <f t="shared" si="715"/>
        <v xml:space="preserve">8.- C Goodyear 0610201-OT_133276  Reencauche  </v>
      </c>
      <c r="Z3113" s="19" t="str">
        <f t="shared" si="713"/>
        <v>ReencaucheReencauchadora RENOVA</v>
      </c>
    </row>
    <row r="3114" spans="2:26" outlineLevel="1">
      <c r="B3114" s="3252"/>
      <c r="C3114" s="2">
        <f t="shared" si="718"/>
        <v>152</v>
      </c>
      <c r="D3114" s="3">
        <f t="shared" si="718"/>
        <v>18</v>
      </c>
      <c r="E3114" s="66">
        <v>9</v>
      </c>
      <c r="F3114" s="67" t="s">
        <v>732</v>
      </c>
      <c r="G3114" s="68" t="s">
        <v>757</v>
      </c>
      <c r="H3114" s="69" t="s">
        <v>2333</v>
      </c>
      <c r="I3114" s="68" t="s">
        <v>726</v>
      </c>
      <c r="J3114" s="301" t="s">
        <v>760</v>
      </c>
      <c r="K3114" s="71" t="s">
        <v>2328</v>
      </c>
      <c r="L3114" s="72">
        <v>40318</v>
      </c>
      <c r="M3114" s="73" t="s">
        <v>729</v>
      </c>
      <c r="N3114" s="74">
        <v>40327</v>
      </c>
      <c r="O3114" s="75">
        <f t="shared" si="714"/>
        <v>40327</v>
      </c>
      <c r="P3114" s="2765"/>
      <c r="Q3114" s="2954">
        <v>94.63</v>
      </c>
      <c r="R3114" s="76"/>
      <c r="S3114" s="1945" t="s">
        <v>731</v>
      </c>
      <c r="T3114" s="77"/>
      <c r="U3114" s="1893"/>
      <c r="V3114" s="2079">
        <f t="shared" si="716"/>
        <v>111.6634</v>
      </c>
      <c r="W3114" s="78">
        <f t="shared" si="717"/>
        <v>0</v>
      </c>
      <c r="X3114" s="1878" t="str">
        <f t="shared" si="715"/>
        <v xml:space="preserve">9.- C Goodyear 1491204-OT_133276  Reencauche  </v>
      </c>
      <c r="Z3114" s="19" t="str">
        <f t="shared" si="713"/>
        <v>ReencaucheReencauchadora RENOVA</v>
      </c>
    </row>
    <row r="3115" spans="2:26" outlineLevel="1">
      <c r="B3115" s="3252"/>
      <c r="C3115" s="2">
        <f t="shared" si="718"/>
        <v>151</v>
      </c>
      <c r="D3115" s="3">
        <f t="shared" si="718"/>
        <v>17</v>
      </c>
      <c r="E3115" s="66">
        <v>10</v>
      </c>
      <c r="F3115" s="67" t="s">
        <v>732</v>
      </c>
      <c r="G3115" s="68" t="s">
        <v>831</v>
      </c>
      <c r="H3115" s="69" t="s">
        <v>1345</v>
      </c>
      <c r="I3115" s="68" t="s">
        <v>726</v>
      </c>
      <c r="J3115" s="301" t="s">
        <v>760</v>
      </c>
      <c r="K3115" s="71" t="s">
        <v>2328</v>
      </c>
      <c r="L3115" s="72">
        <v>40318</v>
      </c>
      <c r="M3115" s="73" t="s">
        <v>729</v>
      </c>
      <c r="N3115" s="74">
        <v>40327</v>
      </c>
      <c r="O3115" s="75">
        <f t="shared" si="714"/>
        <v>40327</v>
      </c>
      <c r="P3115" s="2765"/>
      <c r="Q3115" s="2954">
        <v>94.63</v>
      </c>
      <c r="R3115" s="76"/>
      <c r="S3115" s="1945" t="s">
        <v>731</v>
      </c>
      <c r="T3115" s="77"/>
      <c r="U3115" s="1893"/>
      <c r="V3115" s="2079">
        <f t="shared" si="716"/>
        <v>111.6634</v>
      </c>
      <c r="W3115" s="78">
        <f t="shared" si="717"/>
        <v>0</v>
      </c>
      <c r="X3115" s="1878" t="str">
        <f t="shared" si="715"/>
        <v xml:space="preserve">10.- C Kumho 0310305-OT_133276  Reencauche  </v>
      </c>
      <c r="Z3115" s="19" t="str">
        <f t="shared" si="713"/>
        <v>Reencauchadora RENOVA</v>
      </c>
    </row>
    <row r="3116" spans="2:26" outlineLevel="1">
      <c r="B3116" s="3252"/>
      <c r="C3116" s="2">
        <f t="shared" si="718"/>
        <v>150</v>
      </c>
      <c r="D3116" s="3">
        <f t="shared" si="718"/>
        <v>16</v>
      </c>
      <c r="E3116" s="66">
        <v>11</v>
      </c>
      <c r="F3116" s="67" t="s">
        <v>732</v>
      </c>
      <c r="G3116" s="68" t="s">
        <v>737</v>
      </c>
      <c r="H3116" s="69" t="s">
        <v>1853</v>
      </c>
      <c r="I3116" s="68" t="s">
        <v>726</v>
      </c>
      <c r="J3116" s="301" t="s">
        <v>760</v>
      </c>
      <c r="K3116" s="71" t="s">
        <v>2334</v>
      </c>
      <c r="L3116" s="72">
        <v>40318</v>
      </c>
      <c r="M3116" s="73" t="s">
        <v>729</v>
      </c>
      <c r="N3116" s="74">
        <v>40327</v>
      </c>
      <c r="O3116" s="75">
        <f t="shared" si="714"/>
        <v>40327</v>
      </c>
      <c r="P3116" s="2765"/>
      <c r="Q3116" s="2954">
        <v>94.63</v>
      </c>
      <c r="R3116" s="76"/>
      <c r="S3116" s="1945" t="s">
        <v>731</v>
      </c>
      <c r="T3116" s="77"/>
      <c r="U3116" s="1893"/>
      <c r="V3116" s="2079">
        <f t="shared" si="716"/>
        <v>111.6634</v>
      </c>
      <c r="W3116" s="78">
        <f t="shared" si="717"/>
        <v>0</v>
      </c>
      <c r="X3116" s="1878" t="str">
        <f t="shared" si="715"/>
        <v xml:space="preserve">11.- C Vikrant 1541105-OT_133277  Reencauche  </v>
      </c>
      <c r="Z3116" s="19" t="str">
        <f t="shared" si="713"/>
        <v>ReencaucheReencauchadora RENOVA</v>
      </c>
    </row>
    <row r="3117" spans="2:26" outlineLevel="1">
      <c r="B3117" s="3252"/>
      <c r="C3117" s="2">
        <f>1+C3119</f>
        <v>149</v>
      </c>
      <c r="D3117" s="3">
        <v>15</v>
      </c>
      <c r="E3117" s="66">
        <v>12</v>
      </c>
      <c r="F3117" s="67" t="s">
        <v>732</v>
      </c>
      <c r="G3117" s="68" t="s">
        <v>737</v>
      </c>
      <c r="H3117" s="69" t="s">
        <v>1759</v>
      </c>
      <c r="I3117" s="68" t="s">
        <v>726</v>
      </c>
      <c r="J3117" s="301" t="s">
        <v>760</v>
      </c>
      <c r="K3117" s="71" t="s">
        <v>2334</v>
      </c>
      <c r="L3117" s="72">
        <v>40318</v>
      </c>
      <c r="M3117" s="73" t="s">
        <v>729</v>
      </c>
      <c r="N3117" s="74">
        <v>40327</v>
      </c>
      <c r="O3117" s="75">
        <f t="shared" si="714"/>
        <v>40327</v>
      </c>
      <c r="P3117" s="2765"/>
      <c r="Q3117" s="2954">
        <v>94.63</v>
      </c>
      <c r="R3117" s="76"/>
      <c r="S3117" s="1945" t="s">
        <v>731</v>
      </c>
      <c r="T3117" s="77"/>
      <c r="U3117" s="1893"/>
      <c r="V3117" s="2079">
        <f t="shared" si="716"/>
        <v>111.6634</v>
      </c>
      <c r="W3117" s="78">
        <f t="shared" si="717"/>
        <v>0</v>
      </c>
      <c r="X3117" s="1878" t="str">
        <f t="shared" si="715"/>
        <v xml:space="preserve">12.- C Vikrant 1260805-OT_133277  Reencauche  </v>
      </c>
      <c r="Z3117" s="19" t="str">
        <f t="shared" si="713"/>
        <v>ReencaucheReencauchadora RENOVA</v>
      </c>
    </row>
    <row r="3118" spans="2:26" outlineLevel="1">
      <c r="B3118" s="3252"/>
      <c r="E3118" s="621">
        <v>13</v>
      </c>
      <c r="F3118" s="2056" t="s">
        <v>732</v>
      </c>
      <c r="G3118" s="622" t="s">
        <v>737</v>
      </c>
      <c r="H3118" s="623" t="s">
        <v>2323</v>
      </c>
      <c r="I3118" s="622"/>
      <c r="J3118" s="624" t="s">
        <v>760</v>
      </c>
      <c r="K3118" s="625" t="s">
        <v>2334</v>
      </c>
      <c r="L3118" s="626">
        <v>40318</v>
      </c>
      <c r="M3118" s="627" t="s">
        <v>1815</v>
      </c>
      <c r="N3118" s="259">
        <v>40327</v>
      </c>
      <c r="O3118" s="140">
        <f t="shared" si="714"/>
        <v>40327</v>
      </c>
      <c r="P3118" s="2825"/>
      <c r="Q3118" s="2971">
        <v>0</v>
      </c>
      <c r="R3118" s="628"/>
      <c r="S3118" s="1988" t="s">
        <v>731</v>
      </c>
      <c r="T3118" s="654" t="s">
        <v>2329</v>
      </c>
      <c r="U3118" s="1922"/>
      <c r="V3118" s="2079">
        <f t="shared" si="716"/>
        <v>0</v>
      </c>
      <c r="W3118" s="78">
        <f t="shared" si="717"/>
        <v>0</v>
      </c>
      <c r="X3118" s="1878" t="str">
        <f t="shared" si="715"/>
        <v>13.- C Vikrant 1671205-OT_133277     Llanta Rechazada, no se facturo, SE PONE TRANSPL_BANDA (R_Espinoza)</v>
      </c>
      <c r="Z3118" s="19" t="str">
        <f t="shared" si="713"/>
        <v>ReencaucheReencauchadora RENOVA</v>
      </c>
    </row>
    <row r="3119" spans="2:26" outlineLevel="1">
      <c r="B3119" s="3252"/>
      <c r="C3119" s="2">
        <f t="shared" ref="C3119:D3123" si="719">1+C3120</f>
        <v>148</v>
      </c>
      <c r="D3119" s="3">
        <f t="shared" si="719"/>
        <v>14</v>
      </c>
      <c r="E3119" s="66">
        <v>14</v>
      </c>
      <c r="F3119" s="67" t="s">
        <v>732</v>
      </c>
      <c r="G3119" s="68" t="s">
        <v>737</v>
      </c>
      <c r="H3119" s="69" t="s">
        <v>2335</v>
      </c>
      <c r="I3119" s="68" t="s">
        <v>726</v>
      </c>
      <c r="J3119" s="301" t="s">
        <v>760</v>
      </c>
      <c r="K3119" s="71" t="s">
        <v>2334</v>
      </c>
      <c r="L3119" s="72">
        <v>40318</v>
      </c>
      <c r="M3119" s="73" t="s">
        <v>729</v>
      </c>
      <c r="N3119" s="74">
        <v>40327</v>
      </c>
      <c r="O3119" s="75">
        <f t="shared" si="714"/>
        <v>40327</v>
      </c>
      <c r="P3119" s="2765"/>
      <c r="Q3119" s="2954">
        <v>94.63</v>
      </c>
      <c r="R3119" s="76"/>
      <c r="S3119" s="1945" t="s">
        <v>731</v>
      </c>
      <c r="T3119" s="77"/>
      <c r="U3119" s="1893"/>
      <c r="V3119" s="2079">
        <f t="shared" si="716"/>
        <v>111.6634</v>
      </c>
      <c r="W3119" s="78">
        <f t="shared" si="717"/>
        <v>0</v>
      </c>
      <c r="X3119" s="1878" t="str">
        <f t="shared" si="715"/>
        <v xml:space="preserve">14.- C Vikrant 0921206-OT_133277  Reencauche  </v>
      </c>
      <c r="Z3119" s="19" t="str">
        <f t="shared" si="713"/>
        <v>ReencaucheReencauchadora RENOVA</v>
      </c>
    </row>
    <row r="3120" spans="2:26" outlineLevel="1">
      <c r="B3120" s="3252"/>
      <c r="C3120" s="2">
        <f t="shared" si="719"/>
        <v>147</v>
      </c>
      <c r="D3120" s="3">
        <f t="shared" si="719"/>
        <v>13</v>
      </c>
      <c r="E3120" s="66">
        <v>15</v>
      </c>
      <c r="F3120" s="67" t="s">
        <v>732</v>
      </c>
      <c r="G3120" s="68" t="s">
        <v>733</v>
      </c>
      <c r="H3120" s="69" t="s">
        <v>847</v>
      </c>
      <c r="I3120" s="68" t="s">
        <v>726</v>
      </c>
      <c r="J3120" s="301" t="s">
        <v>760</v>
      </c>
      <c r="K3120" s="71" t="s">
        <v>2334</v>
      </c>
      <c r="L3120" s="72">
        <v>40318</v>
      </c>
      <c r="M3120" s="73" t="s">
        <v>729</v>
      </c>
      <c r="N3120" s="74">
        <v>40327</v>
      </c>
      <c r="O3120" s="75">
        <f t="shared" si="714"/>
        <v>40327</v>
      </c>
      <c r="P3120" s="2765"/>
      <c r="Q3120" s="2954">
        <v>94.63</v>
      </c>
      <c r="R3120" s="76"/>
      <c r="S3120" s="1945" t="s">
        <v>731</v>
      </c>
      <c r="T3120" s="77"/>
      <c r="U3120" s="1893"/>
      <c r="V3120" s="2079">
        <f t="shared" si="716"/>
        <v>111.6634</v>
      </c>
      <c r="W3120" s="78">
        <f t="shared" si="717"/>
        <v>0</v>
      </c>
      <c r="X3120" s="1878" t="str">
        <f t="shared" si="715"/>
        <v xml:space="preserve">15.- C Lima Caucho 1061208-OT_133277  Reencauche  </v>
      </c>
      <c r="Z3120" s="19" t="str">
        <f t="shared" si="713"/>
        <v>ReencaucheReencauchadora RENOVA</v>
      </c>
    </row>
    <row r="3121" spans="2:26" outlineLevel="1">
      <c r="B3121" s="3252"/>
      <c r="C3121" s="2">
        <f t="shared" si="719"/>
        <v>146</v>
      </c>
      <c r="D3121" s="3">
        <f t="shared" si="719"/>
        <v>12</v>
      </c>
      <c r="E3121" s="66">
        <v>16</v>
      </c>
      <c r="F3121" s="67" t="s">
        <v>732</v>
      </c>
      <c r="G3121" s="68" t="s">
        <v>733</v>
      </c>
      <c r="H3121" s="69" t="s">
        <v>1723</v>
      </c>
      <c r="I3121" s="68" t="s">
        <v>726</v>
      </c>
      <c r="J3121" s="301" t="s">
        <v>760</v>
      </c>
      <c r="K3121" s="71" t="s">
        <v>2334</v>
      </c>
      <c r="L3121" s="72">
        <v>40318</v>
      </c>
      <c r="M3121" s="73" t="s">
        <v>729</v>
      </c>
      <c r="N3121" s="74">
        <v>40327</v>
      </c>
      <c r="O3121" s="75">
        <f t="shared" si="714"/>
        <v>40327</v>
      </c>
      <c r="P3121" s="2765"/>
      <c r="Q3121" s="2954">
        <v>94.63</v>
      </c>
      <c r="R3121" s="76"/>
      <c r="S3121" s="1945" t="s">
        <v>731</v>
      </c>
      <c r="T3121" s="77"/>
      <c r="U3121" s="1893"/>
      <c r="V3121" s="2079">
        <f t="shared" si="716"/>
        <v>111.6634</v>
      </c>
      <c r="W3121" s="78">
        <f t="shared" si="717"/>
        <v>0</v>
      </c>
      <c r="X3121" s="1878" t="str">
        <f t="shared" si="715"/>
        <v xml:space="preserve">16.- C Lima Caucho 1021208-OT_133277  Reencauche  </v>
      </c>
      <c r="Z3121" s="19" t="str">
        <f t="shared" si="713"/>
        <v>ReencaucheAMC Llantas</v>
      </c>
    </row>
    <row r="3122" spans="2:26" outlineLevel="1">
      <c r="B3122" s="3252"/>
      <c r="C3122" s="2">
        <f t="shared" si="719"/>
        <v>145</v>
      </c>
      <c r="D3122" s="3">
        <f t="shared" si="719"/>
        <v>11</v>
      </c>
      <c r="E3122" s="66">
        <v>17</v>
      </c>
      <c r="F3122" s="67" t="s">
        <v>732</v>
      </c>
      <c r="G3122" s="68" t="s">
        <v>733</v>
      </c>
      <c r="H3122" s="69" t="s">
        <v>2336</v>
      </c>
      <c r="I3122" s="68" t="s">
        <v>726</v>
      </c>
      <c r="J3122" s="301" t="s">
        <v>760</v>
      </c>
      <c r="K3122" s="71" t="s">
        <v>2334</v>
      </c>
      <c r="L3122" s="72">
        <v>40318</v>
      </c>
      <c r="M3122" s="73" t="s">
        <v>729</v>
      </c>
      <c r="N3122" s="74">
        <v>40327</v>
      </c>
      <c r="O3122" s="75">
        <f t="shared" si="714"/>
        <v>40327</v>
      </c>
      <c r="P3122" s="2765"/>
      <c r="Q3122" s="2954">
        <v>94.63</v>
      </c>
      <c r="R3122" s="76"/>
      <c r="S3122" s="1945" t="s">
        <v>731</v>
      </c>
      <c r="T3122" s="77"/>
      <c r="U3122" s="1893"/>
      <c r="V3122" s="2079">
        <f t="shared" si="716"/>
        <v>111.6634</v>
      </c>
      <c r="W3122" s="78">
        <f t="shared" si="717"/>
        <v>0</v>
      </c>
      <c r="X3122" s="1878" t="str">
        <f t="shared" si="715"/>
        <v xml:space="preserve">17.- C Lima Caucho 0450608-OT_133277  Reencauche  </v>
      </c>
      <c r="Z3122" s="19" t="str">
        <f t="shared" si="713"/>
        <v>ReencaucheAMC Llantas</v>
      </c>
    </row>
    <row r="3123" spans="2:26" outlineLevel="1">
      <c r="B3123" s="3252"/>
      <c r="C3123" s="2">
        <f t="shared" si="719"/>
        <v>144</v>
      </c>
      <c r="D3123" s="3">
        <f t="shared" si="719"/>
        <v>10</v>
      </c>
      <c r="E3123" s="79">
        <v>18</v>
      </c>
      <c r="F3123" s="80" t="s">
        <v>732</v>
      </c>
      <c r="G3123" s="81" t="s">
        <v>733</v>
      </c>
      <c r="H3123" s="82" t="s">
        <v>1052</v>
      </c>
      <c r="I3123" s="81" t="s">
        <v>726</v>
      </c>
      <c r="J3123" s="605" t="s">
        <v>760</v>
      </c>
      <c r="K3123" s="84" t="s">
        <v>2334</v>
      </c>
      <c r="L3123" s="85">
        <v>40318</v>
      </c>
      <c r="M3123" s="86" t="s">
        <v>729</v>
      </c>
      <c r="N3123" s="87">
        <v>40327</v>
      </c>
      <c r="O3123" s="88">
        <f t="shared" si="714"/>
        <v>40327</v>
      </c>
      <c r="P3123" s="2766"/>
      <c r="Q3123" s="2994">
        <v>94.63</v>
      </c>
      <c r="R3123" s="89"/>
      <c r="S3123" s="1946" t="s">
        <v>731</v>
      </c>
      <c r="T3123" s="77"/>
      <c r="U3123" s="1893"/>
      <c r="V3123" s="2079">
        <f t="shared" si="716"/>
        <v>111.6634</v>
      </c>
      <c r="W3123" s="78">
        <f t="shared" si="717"/>
        <v>0</v>
      </c>
      <c r="X3123" s="1878" t="str">
        <f t="shared" si="715"/>
        <v xml:space="preserve">18.- C Lima Caucho 0470608-OT_133277  Reencauche  </v>
      </c>
      <c r="Z3123" s="19" t="str">
        <f t="shared" si="713"/>
        <v>AMC Llantas</v>
      </c>
    </row>
    <row r="3124" spans="2:26" outlineLevel="1">
      <c r="B3124" s="3252"/>
      <c r="C3124" s="2">
        <f>1+C3125</f>
        <v>143</v>
      </c>
      <c r="D3124" s="3">
        <v>9</v>
      </c>
      <c r="E3124" s="66">
        <v>1</v>
      </c>
      <c r="F3124" s="67" t="s">
        <v>732</v>
      </c>
      <c r="G3124" s="68" t="s">
        <v>757</v>
      </c>
      <c r="H3124" s="69" t="s">
        <v>1288</v>
      </c>
      <c r="I3124" s="68" t="s">
        <v>726</v>
      </c>
      <c r="J3124" s="70" t="s">
        <v>1961</v>
      </c>
      <c r="K3124" s="71" t="s">
        <v>2337</v>
      </c>
      <c r="L3124" s="72">
        <v>40317</v>
      </c>
      <c r="M3124" s="73" t="s">
        <v>729</v>
      </c>
      <c r="N3124" s="74">
        <v>40325</v>
      </c>
      <c r="O3124" s="75">
        <f t="shared" si="714"/>
        <v>40325</v>
      </c>
      <c r="P3124" s="2765"/>
      <c r="Q3124" s="2954"/>
      <c r="R3124" s="76">
        <f>310/(1.19)</f>
        <v>260.50420168067228</v>
      </c>
      <c r="S3124" s="1945" t="s">
        <v>731</v>
      </c>
      <c r="T3124" s="77"/>
      <c r="U3124" s="1893"/>
      <c r="V3124" s="2079">
        <f t="shared" si="716"/>
        <v>0</v>
      </c>
      <c r="W3124" s="78">
        <f t="shared" si="717"/>
        <v>307.39495798319325</v>
      </c>
      <c r="X3124" s="1878" t="str">
        <f t="shared" si="715"/>
        <v xml:space="preserve">1.- C Goodyear 0200205-OT_000381  Reencauche  </v>
      </c>
      <c r="Z3124" s="19" t="str">
        <f t="shared" si="713"/>
        <v>ReencaucheAMC Llantas</v>
      </c>
    </row>
    <row r="3125" spans="2:26" outlineLevel="1">
      <c r="B3125" s="3252"/>
      <c r="C3125" s="2">
        <f>1+C3127</f>
        <v>142</v>
      </c>
      <c r="D3125" s="3">
        <v>8</v>
      </c>
      <c r="E3125" s="66">
        <v>2</v>
      </c>
      <c r="F3125" s="67" t="s">
        <v>732</v>
      </c>
      <c r="G3125" s="68" t="s">
        <v>757</v>
      </c>
      <c r="H3125" s="69" t="s">
        <v>2338</v>
      </c>
      <c r="I3125" s="68" t="s">
        <v>726</v>
      </c>
      <c r="J3125" s="70" t="s">
        <v>1961</v>
      </c>
      <c r="K3125" s="71" t="s">
        <v>2337</v>
      </c>
      <c r="L3125" s="72">
        <v>40317</v>
      </c>
      <c r="M3125" s="73" t="s">
        <v>729</v>
      </c>
      <c r="N3125" s="74">
        <v>40325</v>
      </c>
      <c r="O3125" s="75">
        <f t="shared" si="714"/>
        <v>40325</v>
      </c>
      <c r="P3125" s="2765"/>
      <c r="Q3125" s="2954"/>
      <c r="R3125" s="76">
        <f>310/(1.19)</f>
        <v>260.50420168067228</v>
      </c>
      <c r="S3125" s="1945" t="s">
        <v>731</v>
      </c>
      <c r="T3125" s="77"/>
      <c r="U3125" s="1893"/>
      <c r="V3125" s="2079">
        <f t="shared" si="716"/>
        <v>0</v>
      </c>
      <c r="W3125" s="78">
        <f t="shared" si="717"/>
        <v>307.39495798319325</v>
      </c>
      <c r="X3125" s="1878" t="str">
        <f t="shared" si="715"/>
        <v xml:space="preserve">2.- C Goodyear 053022004-OT_000381  Reencauche  </v>
      </c>
      <c r="Z3125" s="19" t="str">
        <f t="shared" si="713"/>
        <v>AMC Llantas</v>
      </c>
    </row>
    <row r="3126" spans="2:26" outlineLevel="1">
      <c r="B3126" s="3252"/>
      <c r="E3126" s="621">
        <v>3</v>
      </c>
      <c r="F3126" s="2056" t="s">
        <v>732</v>
      </c>
      <c r="G3126" s="622" t="s">
        <v>757</v>
      </c>
      <c r="H3126" s="623" t="s">
        <v>2309</v>
      </c>
      <c r="I3126" s="622"/>
      <c r="J3126" s="624" t="s">
        <v>1961</v>
      </c>
      <c r="K3126" s="625" t="s">
        <v>2337</v>
      </c>
      <c r="L3126" s="626">
        <v>40317</v>
      </c>
      <c r="M3126" s="627" t="s">
        <v>1815</v>
      </c>
      <c r="N3126" s="259">
        <v>40325</v>
      </c>
      <c r="O3126" s="140">
        <f t="shared" si="714"/>
        <v>40325</v>
      </c>
      <c r="P3126" s="2825"/>
      <c r="Q3126" s="2971"/>
      <c r="R3126" s="628">
        <v>0</v>
      </c>
      <c r="S3126" s="1988" t="s">
        <v>731</v>
      </c>
      <c r="T3126" s="654" t="s">
        <v>1617</v>
      </c>
      <c r="U3126" s="1922"/>
      <c r="V3126" s="2079">
        <f t="shared" si="716"/>
        <v>0</v>
      </c>
      <c r="W3126" s="78">
        <f t="shared" si="717"/>
        <v>0</v>
      </c>
      <c r="X3126" s="1878" t="str">
        <f t="shared" si="715"/>
        <v>3.- C Goodyear 034082003-OT_000381     Llanta Rechazada, no se facturo</v>
      </c>
      <c r="Z3126" s="19" t="str">
        <f t="shared" si="713"/>
        <v>AMC Llantas</v>
      </c>
    </row>
    <row r="3127" spans="2:26" outlineLevel="1">
      <c r="B3127" s="3252"/>
      <c r="C3127" s="2">
        <f>1+C3131</f>
        <v>141</v>
      </c>
      <c r="D3127" s="3">
        <v>7</v>
      </c>
      <c r="E3127" s="66">
        <v>4</v>
      </c>
      <c r="F3127" s="67" t="s">
        <v>732</v>
      </c>
      <c r="G3127" s="68" t="s">
        <v>757</v>
      </c>
      <c r="H3127" s="69" t="s">
        <v>1250</v>
      </c>
      <c r="I3127" s="68" t="s">
        <v>726</v>
      </c>
      <c r="J3127" s="70" t="s">
        <v>1961</v>
      </c>
      <c r="K3127" s="71" t="s">
        <v>2337</v>
      </c>
      <c r="L3127" s="72">
        <v>40317</v>
      </c>
      <c r="M3127" s="73" t="s">
        <v>729</v>
      </c>
      <c r="N3127" s="74">
        <v>40325</v>
      </c>
      <c r="O3127" s="75">
        <f t="shared" si="714"/>
        <v>40325</v>
      </c>
      <c r="P3127" s="2765"/>
      <c r="Q3127" s="2954"/>
      <c r="R3127" s="76">
        <f>310/(1.19)</f>
        <v>260.50420168067228</v>
      </c>
      <c r="S3127" s="1945" t="s">
        <v>731</v>
      </c>
      <c r="T3127" s="77"/>
      <c r="U3127" s="1893"/>
      <c r="V3127" s="2079">
        <f t="shared" si="716"/>
        <v>0</v>
      </c>
      <c r="W3127" s="78">
        <f t="shared" si="717"/>
        <v>307.39495798319325</v>
      </c>
      <c r="X3127" s="1878" t="str">
        <f t="shared" si="715"/>
        <v xml:space="preserve">4.- C Goodyear 1631004-OT_000381  Reencauche  </v>
      </c>
      <c r="Z3127" s="19" t="str">
        <f t="shared" si="713"/>
        <v>AMC Llantas</v>
      </c>
    </row>
    <row r="3128" spans="2:26" outlineLevel="1">
      <c r="B3128" s="3252"/>
      <c r="E3128" s="621">
        <v>5</v>
      </c>
      <c r="F3128" s="2056" t="s">
        <v>732</v>
      </c>
      <c r="G3128" s="622" t="s">
        <v>757</v>
      </c>
      <c r="H3128" s="623" t="s">
        <v>1970</v>
      </c>
      <c r="I3128" s="622"/>
      <c r="J3128" s="624" t="s">
        <v>1961</v>
      </c>
      <c r="K3128" s="625" t="s">
        <v>2337</v>
      </c>
      <c r="L3128" s="626">
        <v>40317</v>
      </c>
      <c r="M3128" s="627" t="s">
        <v>1815</v>
      </c>
      <c r="N3128" s="259">
        <v>40325</v>
      </c>
      <c r="O3128" s="140">
        <f t="shared" si="714"/>
        <v>40325</v>
      </c>
      <c r="P3128" s="2825"/>
      <c r="Q3128" s="2971"/>
      <c r="R3128" s="628">
        <v>0</v>
      </c>
      <c r="S3128" s="1988" t="s">
        <v>731</v>
      </c>
      <c r="T3128" s="654" t="s">
        <v>1617</v>
      </c>
      <c r="U3128" s="1922"/>
      <c r="V3128" s="2079">
        <f t="shared" si="716"/>
        <v>0</v>
      </c>
      <c r="W3128" s="78">
        <f t="shared" si="717"/>
        <v>0</v>
      </c>
      <c r="X3128" s="1878" t="str">
        <f t="shared" si="715"/>
        <v>5.- C Goodyear 1641004-OT_000381     Llanta Rechazada, no se facturo</v>
      </c>
      <c r="Z3128" s="19" t="str">
        <f t="shared" si="713"/>
        <v>ReencaucheAMC Llantas</v>
      </c>
    </row>
    <row r="3129" spans="2:26" outlineLevel="1">
      <c r="B3129" s="3252"/>
      <c r="E3129" s="621">
        <v>6</v>
      </c>
      <c r="F3129" s="2056" t="s">
        <v>732</v>
      </c>
      <c r="G3129" s="622" t="s">
        <v>778</v>
      </c>
      <c r="H3129" s="623" t="s">
        <v>1067</v>
      </c>
      <c r="I3129" s="622"/>
      <c r="J3129" s="624" t="s">
        <v>1961</v>
      </c>
      <c r="K3129" s="625" t="s">
        <v>2337</v>
      </c>
      <c r="L3129" s="626">
        <v>40317</v>
      </c>
      <c r="M3129" s="627" t="s">
        <v>1815</v>
      </c>
      <c r="N3129" s="259">
        <v>40325</v>
      </c>
      <c r="O3129" s="140">
        <f t="shared" si="714"/>
        <v>40325</v>
      </c>
      <c r="P3129" s="2825"/>
      <c r="Q3129" s="2971"/>
      <c r="R3129" s="628">
        <v>0</v>
      </c>
      <c r="S3129" s="1988" t="s">
        <v>731</v>
      </c>
      <c r="T3129" s="654" t="s">
        <v>1617</v>
      </c>
      <c r="U3129" s="1922"/>
      <c r="V3129" s="2079">
        <f t="shared" si="716"/>
        <v>0</v>
      </c>
      <c r="W3129" s="78">
        <f t="shared" si="717"/>
        <v>0</v>
      </c>
      <c r="X3129" s="1878" t="str">
        <f t="shared" si="715"/>
        <v>6.- C Riverstone 1300904-OT_000381     Llanta Rechazada, no se facturo</v>
      </c>
      <c r="Z3129" s="19" t="str">
        <f t="shared" si="713"/>
        <v>REPARACIONReencauchadora Espinoza</v>
      </c>
    </row>
    <row r="3130" spans="2:26" outlineLevel="1">
      <c r="B3130" s="3252"/>
      <c r="E3130" s="621">
        <v>7</v>
      </c>
      <c r="F3130" s="2056" t="s">
        <v>732</v>
      </c>
      <c r="G3130" s="622" t="s">
        <v>778</v>
      </c>
      <c r="H3130" s="623" t="s">
        <v>1981</v>
      </c>
      <c r="I3130" s="622"/>
      <c r="J3130" s="624" t="s">
        <v>1961</v>
      </c>
      <c r="K3130" s="625" t="s">
        <v>2337</v>
      </c>
      <c r="L3130" s="626">
        <v>40317</v>
      </c>
      <c r="M3130" s="627" t="s">
        <v>1815</v>
      </c>
      <c r="N3130" s="259">
        <v>40325</v>
      </c>
      <c r="O3130" s="140">
        <f t="shared" si="714"/>
        <v>40325</v>
      </c>
      <c r="P3130" s="2825"/>
      <c r="Q3130" s="2971"/>
      <c r="R3130" s="628">
        <v>0</v>
      </c>
      <c r="S3130" s="1988" t="s">
        <v>731</v>
      </c>
      <c r="T3130" s="654" t="s">
        <v>1617</v>
      </c>
      <c r="U3130" s="1922"/>
      <c r="V3130" s="2079">
        <f t="shared" si="716"/>
        <v>0</v>
      </c>
      <c r="W3130" s="78">
        <f t="shared" si="717"/>
        <v>0</v>
      </c>
      <c r="X3130" s="1878" t="str">
        <f t="shared" si="715"/>
        <v>7.- C Riverstone 1480904-OT_000381     Llanta Rechazada, no se facturo</v>
      </c>
      <c r="Z3130" s="19" t="str">
        <f t="shared" si="713"/>
        <v>REPARACIONReencauchadora Espinoza</v>
      </c>
    </row>
    <row r="3131" spans="2:26" outlineLevel="1">
      <c r="B3131" s="3252"/>
      <c r="C3131" s="2">
        <f>1+C3132</f>
        <v>140</v>
      </c>
      <c r="D3131" s="3">
        <v>6</v>
      </c>
      <c r="E3131" s="79">
        <v>8</v>
      </c>
      <c r="F3131" s="80" t="s">
        <v>732</v>
      </c>
      <c r="G3131" s="81" t="s">
        <v>757</v>
      </c>
      <c r="H3131" s="82" t="s">
        <v>2339</v>
      </c>
      <c r="I3131" s="81" t="s">
        <v>726</v>
      </c>
      <c r="J3131" s="83" t="s">
        <v>1961</v>
      </c>
      <c r="K3131" s="84" t="s">
        <v>2337</v>
      </c>
      <c r="L3131" s="85">
        <v>40317</v>
      </c>
      <c r="M3131" s="86" t="s">
        <v>729</v>
      </c>
      <c r="N3131" s="87">
        <v>40325</v>
      </c>
      <c r="O3131" s="88">
        <f t="shared" si="714"/>
        <v>40325</v>
      </c>
      <c r="P3131" s="2766"/>
      <c r="Q3131" s="2955"/>
      <c r="R3131" s="89">
        <f>310/(1.19)</f>
        <v>260.50420168067228</v>
      </c>
      <c r="S3131" s="1946" t="s">
        <v>731</v>
      </c>
      <c r="T3131" s="77"/>
      <c r="U3131" s="1893"/>
      <c r="V3131" s="2079">
        <f t="shared" si="716"/>
        <v>0</v>
      </c>
      <c r="W3131" s="78">
        <f t="shared" si="717"/>
        <v>307.39495798319325</v>
      </c>
      <c r="X3131" s="1878" t="str">
        <f t="shared" si="715"/>
        <v xml:space="preserve">8.- C Goodyear 065112002-OT_000381  Reencauche  </v>
      </c>
      <c r="Z3131" s="19" t="str">
        <f t="shared" si="713"/>
        <v>Fab_ProtectorReencauchadora Espinoza</v>
      </c>
    </row>
    <row r="3132" spans="2:26" outlineLevel="1">
      <c r="B3132" s="3252"/>
      <c r="C3132" s="2">
        <f>1+C3133</f>
        <v>139</v>
      </c>
      <c r="D3132" s="3">
        <v>5</v>
      </c>
      <c r="E3132" s="66">
        <v>1</v>
      </c>
      <c r="F3132" s="67" t="s">
        <v>732</v>
      </c>
      <c r="G3132" s="655" t="s">
        <v>737</v>
      </c>
      <c r="H3132" s="656" t="s">
        <v>1693</v>
      </c>
      <c r="I3132" s="90" t="s">
        <v>2241</v>
      </c>
      <c r="J3132" s="70" t="s">
        <v>1543</v>
      </c>
      <c r="K3132" s="71" t="s">
        <v>2340</v>
      </c>
      <c r="L3132" s="72">
        <v>40313</v>
      </c>
      <c r="M3132" s="73" t="s">
        <v>729</v>
      </c>
      <c r="N3132" s="74">
        <v>40318</v>
      </c>
      <c r="O3132" s="75">
        <f t="shared" si="714"/>
        <v>40318</v>
      </c>
      <c r="P3132" s="2765"/>
      <c r="Q3132" s="2954"/>
      <c r="R3132" s="76">
        <f>125/(1.19)</f>
        <v>105.0420168067227</v>
      </c>
      <c r="S3132" s="1945" t="s">
        <v>731</v>
      </c>
      <c r="T3132" s="77" t="s">
        <v>2341</v>
      </c>
      <c r="U3132" s="1893"/>
      <c r="V3132" s="2079">
        <f t="shared" si="716"/>
        <v>0</v>
      </c>
      <c r="W3132" s="78">
        <f t="shared" si="717"/>
        <v>123.94957983193278</v>
      </c>
      <c r="X3132" s="1878" t="str">
        <f t="shared" si="715"/>
        <v>1.- C Vikrant 0700809-OT_000006  REPARACION  Cortada en costado, llanta de desecho recuperado (01 vida)</v>
      </c>
      <c r="Z3132" s="19" t="str">
        <f t="shared" si="713"/>
        <v>ReencaucheReencauchadora Espinoza</v>
      </c>
    </row>
    <row r="3133" spans="2:26" outlineLevel="1">
      <c r="B3133" s="3252"/>
      <c r="C3133" s="2">
        <f>1+C3135</f>
        <v>138</v>
      </c>
      <c r="D3133" s="3">
        <v>4</v>
      </c>
      <c r="E3133" s="66">
        <v>2</v>
      </c>
      <c r="F3133" s="67" t="s">
        <v>732</v>
      </c>
      <c r="G3133" s="657" t="s">
        <v>2342</v>
      </c>
      <c r="H3133" s="656" t="s">
        <v>2343</v>
      </c>
      <c r="I3133" s="90" t="s">
        <v>2241</v>
      </c>
      <c r="J3133" s="70" t="s">
        <v>1543</v>
      </c>
      <c r="K3133" s="71" t="s">
        <v>2340</v>
      </c>
      <c r="L3133" s="72">
        <v>40313</v>
      </c>
      <c r="M3133" s="73" t="s">
        <v>729</v>
      </c>
      <c r="N3133" s="74">
        <v>40318</v>
      </c>
      <c r="O3133" s="75">
        <f t="shared" si="714"/>
        <v>40318</v>
      </c>
      <c r="P3133" s="2765"/>
      <c r="Q3133" s="2954"/>
      <c r="R3133" s="76">
        <f>125/(1.19)</f>
        <v>105.0420168067227</v>
      </c>
      <c r="S3133" s="1945" t="s">
        <v>731</v>
      </c>
      <c r="T3133" s="77" t="s">
        <v>2341</v>
      </c>
      <c r="U3133" s="1893"/>
      <c r="V3133" s="2079">
        <f t="shared" si="716"/>
        <v>0</v>
      </c>
      <c r="W3133" s="78">
        <f t="shared" si="717"/>
        <v>123.94957983193278</v>
      </c>
      <c r="X3133" s="1878" t="str">
        <f t="shared" si="715"/>
        <v>2.- C Huaquing 0781206-OT_000006  REPARACION  Cortada en costado, llanta de desecho recuperado (01 vida)</v>
      </c>
      <c r="Z3133" s="19" t="str">
        <f t="shared" si="713"/>
        <v>ReencaucheReencauchadora Espinoza</v>
      </c>
    </row>
    <row r="3134" spans="2:26" outlineLevel="1">
      <c r="B3134" s="3252"/>
      <c r="E3134" s="79">
        <v>3</v>
      </c>
      <c r="F3134" s="80" t="s">
        <v>732</v>
      </c>
      <c r="G3134" s="81" t="s">
        <v>769</v>
      </c>
      <c r="H3134" s="82" t="s">
        <v>2344</v>
      </c>
      <c r="I3134" s="114" t="s">
        <v>2253</v>
      </c>
      <c r="J3134" s="93" t="s">
        <v>1543</v>
      </c>
      <c r="K3134" s="350" t="s">
        <v>2340</v>
      </c>
      <c r="L3134" s="351">
        <v>40313</v>
      </c>
      <c r="M3134" s="352" t="s">
        <v>729</v>
      </c>
      <c r="N3134" s="87">
        <v>40329</v>
      </c>
      <c r="O3134" s="88">
        <f t="shared" si="714"/>
        <v>40329</v>
      </c>
      <c r="P3134" s="2806"/>
      <c r="Q3134" s="2955"/>
      <c r="R3134" s="353">
        <f>15/(1.19)</f>
        <v>12.605042016806724</v>
      </c>
      <c r="S3134" s="1966" t="s">
        <v>731</v>
      </c>
      <c r="T3134" s="652" t="s">
        <v>2345</v>
      </c>
      <c r="U3134" s="1924"/>
      <c r="V3134" s="2079">
        <f t="shared" si="716"/>
        <v>0</v>
      </c>
      <c r="W3134" s="78">
        <f t="shared" si="717"/>
        <v>14.873949579831933</v>
      </c>
      <c r="X3134" s="1878" t="str">
        <f t="shared" si="715"/>
        <v>3.- C Lu He 0470509-OT_000006  Fab_Protector   Llanta casco dañado, fabr de protec para 0781206 Hua Quing cortada</v>
      </c>
      <c r="Z3134" s="19" t="str">
        <f t="shared" si="713"/>
        <v>Reencauchadora Espinoza</v>
      </c>
    </row>
    <row r="3135" spans="2:26" outlineLevel="1">
      <c r="B3135" s="3252"/>
      <c r="C3135" s="2">
        <f>1+C3136</f>
        <v>137</v>
      </c>
      <c r="D3135" s="3">
        <f>1+D3136</f>
        <v>3</v>
      </c>
      <c r="E3135" s="66">
        <v>1</v>
      </c>
      <c r="F3135" s="67" t="s">
        <v>732</v>
      </c>
      <c r="G3135" s="68" t="s">
        <v>733</v>
      </c>
      <c r="H3135" s="69" t="s">
        <v>1124</v>
      </c>
      <c r="I3135" s="68" t="s">
        <v>726</v>
      </c>
      <c r="J3135" s="70" t="s">
        <v>1543</v>
      </c>
      <c r="K3135" s="71" t="s">
        <v>2346</v>
      </c>
      <c r="L3135" s="72">
        <v>40303</v>
      </c>
      <c r="M3135" s="73" t="s">
        <v>729</v>
      </c>
      <c r="N3135" s="74">
        <v>40313</v>
      </c>
      <c r="O3135" s="75">
        <f t="shared" si="714"/>
        <v>40313</v>
      </c>
      <c r="P3135" s="2765"/>
      <c r="Q3135" s="2954"/>
      <c r="R3135" s="76">
        <f>300/(1.19)</f>
        <v>252.10084033613447</v>
      </c>
      <c r="S3135" s="1945" t="s">
        <v>731</v>
      </c>
      <c r="T3135" s="77"/>
      <c r="U3135" s="1893"/>
      <c r="V3135" s="2079">
        <f t="shared" si="716"/>
        <v>0</v>
      </c>
      <c r="W3135" s="78">
        <f t="shared" si="717"/>
        <v>297.47899159663865</v>
      </c>
      <c r="X3135" s="1878" t="str">
        <f t="shared" si="715"/>
        <v xml:space="preserve">1.- C Lima Caucho 1000908-OT_000429  Reencauche  </v>
      </c>
      <c r="Z3135" s="19" t="str">
        <f t="shared" si="713"/>
        <v>ReencaucheReencauchadora Espinoza</v>
      </c>
    </row>
    <row r="3136" spans="2:26">
      <c r="B3136" s="3252"/>
      <c r="C3136" s="2">
        <f>1+C3138</f>
        <v>136</v>
      </c>
      <c r="D3136" s="3">
        <f>1+D3138</f>
        <v>2</v>
      </c>
      <c r="E3136" s="66">
        <v>2</v>
      </c>
      <c r="F3136" s="67" t="s">
        <v>732</v>
      </c>
      <c r="G3136" s="68" t="s">
        <v>733</v>
      </c>
      <c r="H3136" s="69" t="s">
        <v>2347</v>
      </c>
      <c r="I3136" s="68" t="s">
        <v>726</v>
      </c>
      <c r="J3136" s="70" t="s">
        <v>1543</v>
      </c>
      <c r="K3136" s="71" t="s">
        <v>2346</v>
      </c>
      <c r="L3136" s="72">
        <v>40303</v>
      </c>
      <c r="M3136" s="73" t="s">
        <v>729</v>
      </c>
      <c r="N3136" s="74">
        <v>40313</v>
      </c>
      <c r="O3136" s="75">
        <f t="shared" si="714"/>
        <v>40313</v>
      </c>
      <c r="P3136" s="2765"/>
      <c r="Q3136" s="2954"/>
      <c r="R3136" s="76">
        <f>300/(1.19)</f>
        <v>252.10084033613447</v>
      </c>
      <c r="S3136" s="1945" t="s">
        <v>731</v>
      </c>
      <c r="T3136" s="77"/>
      <c r="U3136" s="1893"/>
      <c r="V3136" s="2079">
        <f t="shared" si="716"/>
        <v>0</v>
      </c>
      <c r="W3136" s="78">
        <f t="shared" si="717"/>
        <v>297.47899159663865</v>
      </c>
      <c r="X3136" s="1878" t="str">
        <f t="shared" si="715"/>
        <v xml:space="preserve">2.- C Lima Caucho 0840508-OT_000429  Reencauche  </v>
      </c>
    </row>
    <row r="3137" spans="2:26" outlineLevel="1">
      <c r="B3137" s="3252"/>
      <c r="E3137" s="621">
        <v>3</v>
      </c>
      <c r="F3137" s="2056" t="s">
        <v>732</v>
      </c>
      <c r="G3137" s="622" t="s">
        <v>769</v>
      </c>
      <c r="H3137" s="623" t="s">
        <v>2344</v>
      </c>
      <c r="I3137" s="622"/>
      <c r="J3137" s="624" t="s">
        <v>1543</v>
      </c>
      <c r="K3137" s="625" t="s">
        <v>2346</v>
      </c>
      <c r="L3137" s="626">
        <v>40303</v>
      </c>
      <c r="M3137" s="627" t="s">
        <v>729</v>
      </c>
      <c r="N3137" s="259">
        <v>40313</v>
      </c>
      <c r="O3137" s="140">
        <f t="shared" si="714"/>
        <v>40313</v>
      </c>
      <c r="P3137" s="2825"/>
      <c r="Q3137" s="2971"/>
      <c r="R3137" s="628">
        <v>0</v>
      </c>
      <c r="S3137" s="1988" t="s">
        <v>731</v>
      </c>
      <c r="T3137" s="654" t="s">
        <v>1617</v>
      </c>
      <c r="U3137" s="1922"/>
      <c r="V3137" s="2079">
        <f t="shared" si="716"/>
        <v>0</v>
      </c>
      <c r="W3137" s="78">
        <f t="shared" si="717"/>
        <v>0</v>
      </c>
      <c r="X3137" s="1878" t="str">
        <f t="shared" si="715"/>
        <v>3.- C Lu He 0470509-OT_000429     Llanta Rechazada, no se facturo</v>
      </c>
      <c r="Z3137" s="19" t="str">
        <f t="shared" ref="Z3137:Z3168" si="720">CONCATENATE(I3140,J3140)</f>
        <v>ReencaucheReencauchadora RENOVA</v>
      </c>
    </row>
    <row r="3138" spans="2:26" ht="15.75" outlineLevel="1" thickBot="1">
      <c r="B3138" s="3253"/>
      <c r="C3138" s="420">
        <f>1+C3140</f>
        <v>135</v>
      </c>
      <c r="D3138" s="428">
        <v>1</v>
      </c>
      <c r="E3138" s="66">
        <v>4</v>
      </c>
      <c r="F3138" s="67" t="s">
        <v>732</v>
      </c>
      <c r="G3138" s="329" t="s">
        <v>769</v>
      </c>
      <c r="H3138" s="330" t="s">
        <v>2146</v>
      </c>
      <c r="I3138" s="329" t="s">
        <v>726</v>
      </c>
      <c r="J3138" s="356" t="s">
        <v>1543</v>
      </c>
      <c r="K3138" s="333" t="s">
        <v>2346</v>
      </c>
      <c r="L3138" s="334">
        <v>40303</v>
      </c>
      <c r="M3138" s="335" t="s">
        <v>729</v>
      </c>
      <c r="N3138" s="336">
        <v>40313</v>
      </c>
      <c r="O3138" s="337">
        <f t="shared" si="714"/>
        <v>40313</v>
      </c>
      <c r="P3138" s="2798"/>
      <c r="Q3138" s="2979"/>
      <c r="R3138" s="338">
        <f>300/(1.19)</f>
        <v>252.10084033613447</v>
      </c>
      <c r="S3138" s="1965" t="s">
        <v>731</v>
      </c>
      <c r="T3138" s="77"/>
      <c r="U3138" s="1893"/>
      <c r="V3138" s="2079">
        <f t="shared" si="716"/>
        <v>0</v>
      </c>
      <c r="W3138" s="78">
        <f t="shared" si="717"/>
        <v>297.47899159663865</v>
      </c>
      <c r="X3138" s="1878" t="str">
        <f t="shared" si="715"/>
        <v xml:space="preserve">4.- C Lu He 0260209-OT_000429  Reencauche  </v>
      </c>
      <c r="Z3138" s="19" t="str">
        <f t="shared" si="720"/>
        <v>ReencaucheReencauchadora RENOVA</v>
      </c>
    </row>
    <row r="3139" spans="2:26" ht="15.75" outlineLevel="1" thickBot="1">
      <c r="B3139" s="1">
        <f>+B3140</f>
        <v>40269</v>
      </c>
      <c r="C3139" s="1"/>
      <c r="D3139" s="173">
        <f>+D3140</f>
        <v>47</v>
      </c>
      <c r="E3139" s="66"/>
      <c r="F3139" s="67"/>
      <c r="G3139" s="68"/>
      <c r="H3139" s="69"/>
      <c r="I3139" s="68"/>
      <c r="J3139" s="70"/>
      <c r="K3139" s="71"/>
      <c r="L3139" s="72"/>
      <c r="M3139" s="73"/>
      <c r="N3139" s="74"/>
      <c r="O3139" s="75"/>
      <c r="P3139" s="2765"/>
      <c r="Q3139" s="2954"/>
      <c r="R3139" s="76"/>
      <c r="S3139" s="1945"/>
      <c r="T3139" s="77"/>
      <c r="U3139" s="1893"/>
      <c r="V3139" s="2079">
        <f t="shared" si="716"/>
        <v>0</v>
      </c>
      <c r="W3139" s="78">
        <f t="shared" si="717"/>
        <v>0</v>
      </c>
      <c r="X3139" s="1878" t="str">
        <f t="shared" si="715"/>
        <v xml:space="preserve">.-   -OT_    </v>
      </c>
      <c r="Z3139" s="19" t="str">
        <f t="shared" si="720"/>
        <v>ReencaucheReencauchadora RENOVA</v>
      </c>
    </row>
    <row r="3140" spans="2:26" outlineLevel="1">
      <c r="B3140" s="3251">
        <v>40269</v>
      </c>
      <c r="C3140" s="2">
        <f t="shared" ref="C3140:C3156" si="721">1+C3141</f>
        <v>134</v>
      </c>
      <c r="D3140" s="306">
        <f t="shared" ref="D3140:D3156" si="722">1+D3141</f>
        <v>47</v>
      </c>
      <c r="E3140" s="216">
        <v>1</v>
      </c>
      <c r="F3140" s="67" t="s">
        <v>732</v>
      </c>
      <c r="G3140" s="217" t="s">
        <v>757</v>
      </c>
      <c r="H3140" s="218" t="s">
        <v>2348</v>
      </c>
      <c r="I3140" s="275" t="s">
        <v>726</v>
      </c>
      <c r="J3140" s="277" t="s">
        <v>760</v>
      </c>
      <c r="K3140" s="220" t="s">
        <v>2349</v>
      </c>
      <c r="L3140" s="221">
        <v>40298</v>
      </c>
      <c r="M3140" s="222" t="s">
        <v>729</v>
      </c>
      <c r="N3140" s="74">
        <v>40305</v>
      </c>
      <c r="O3140" s="75">
        <f t="shared" ref="O3140:O3171" si="723">+N3140</f>
        <v>40305</v>
      </c>
      <c r="P3140" s="2787"/>
      <c r="Q3140" s="2954">
        <v>94.63</v>
      </c>
      <c r="R3140" s="223"/>
      <c r="S3140" s="1955" t="s">
        <v>731</v>
      </c>
      <c r="T3140" s="77"/>
      <c r="U3140" s="1893"/>
      <c r="V3140" s="2079">
        <f t="shared" si="716"/>
        <v>111.6634</v>
      </c>
      <c r="W3140" s="78">
        <f t="shared" si="717"/>
        <v>0</v>
      </c>
      <c r="X3140" s="1878" t="str">
        <f t="shared" si="715"/>
        <v xml:space="preserve">1.- C Goodyear 1310700-OT_132374  Reencauche  </v>
      </c>
      <c r="Z3140" s="19" t="str">
        <f t="shared" si="720"/>
        <v>ReencaucheReencauchadora RENOVA</v>
      </c>
    </row>
    <row r="3141" spans="2:26" outlineLevel="1">
      <c r="B3141" s="3252"/>
      <c r="C3141" s="2">
        <f t="shared" si="721"/>
        <v>133</v>
      </c>
      <c r="D3141" s="3">
        <f t="shared" si="722"/>
        <v>46</v>
      </c>
      <c r="E3141" s="66">
        <v>2</v>
      </c>
      <c r="F3141" s="67" t="s">
        <v>732</v>
      </c>
      <c r="G3141" s="68" t="s">
        <v>757</v>
      </c>
      <c r="H3141" s="69" t="s">
        <v>2350</v>
      </c>
      <c r="I3141" s="299" t="s">
        <v>726</v>
      </c>
      <c r="J3141" s="301" t="s">
        <v>760</v>
      </c>
      <c r="K3141" s="71" t="s">
        <v>2349</v>
      </c>
      <c r="L3141" s="72">
        <v>40298</v>
      </c>
      <c r="M3141" s="73" t="s">
        <v>729</v>
      </c>
      <c r="N3141" s="74">
        <v>40305</v>
      </c>
      <c r="O3141" s="75">
        <f t="shared" si="723"/>
        <v>40305</v>
      </c>
      <c r="P3141" s="2765"/>
      <c r="Q3141" s="2954">
        <v>94.63</v>
      </c>
      <c r="R3141" s="76"/>
      <c r="S3141" s="1945" t="s">
        <v>731</v>
      </c>
      <c r="T3141" s="77"/>
      <c r="U3141" s="1893"/>
      <c r="V3141" s="2079">
        <f t="shared" si="716"/>
        <v>111.6634</v>
      </c>
      <c r="W3141" s="78">
        <f t="shared" si="717"/>
        <v>0</v>
      </c>
      <c r="X3141" s="1878" t="str">
        <f t="shared" si="715"/>
        <v xml:space="preserve">2.- C Goodyear 0270302-OT_132374  Reencauche  </v>
      </c>
      <c r="Z3141" s="19" t="str">
        <f t="shared" si="720"/>
        <v>ReencaucheReencauchadora RENOVA</v>
      </c>
    </row>
    <row r="3142" spans="2:26" outlineLevel="1">
      <c r="B3142" s="3252"/>
      <c r="C3142" s="2">
        <f t="shared" si="721"/>
        <v>132</v>
      </c>
      <c r="D3142" s="3">
        <f t="shared" si="722"/>
        <v>45</v>
      </c>
      <c r="E3142" s="66">
        <v>3</v>
      </c>
      <c r="F3142" s="67" t="s">
        <v>732</v>
      </c>
      <c r="G3142" s="68" t="s">
        <v>757</v>
      </c>
      <c r="H3142" s="69" t="s">
        <v>1883</v>
      </c>
      <c r="I3142" s="299" t="s">
        <v>726</v>
      </c>
      <c r="J3142" s="301" t="s">
        <v>760</v>
      </c>
      <c r="K3142" s="71" t="s">
        <v>2349</v>
      </c>
      <c r="L3142" s="72">
        <v>40298</v>
      </c>
      <c r="M3142" s="73" t="s">
        <v>729</v>
      </c>
      <c r="N3142" s="74">
        <v>40305</v>
      </c>
      <c r="O3142" s="75">
        <f t="shared" si="723"/>
        <v>40305</v>
      </c>
      <c r="P3142" s="2765"/>
      <c r="Q3142" s="2954">
        <v>94.63</v>
      </c>
      <c r="R3142" s="76"/>
      <c r="S3142" s="1945" t="s">
        <v>731</v>
      </c>
      <c r="T3142" s="77"/>
      <c r="U3142" s="1893"/>
      <c r="V3142" s="2079">
        <f t="shared" si="716"/>
        <v>111.6634</v>
      </c>
      <c r="W3142" s="78">
        <f t="shared" si="717"/>
        <v>0</v>
      </c>
      <c r="X3142" s="1878" t="str">
        <f t="shared" si="715"/>
        <v xml:space="preserve">3.- C Goodyear 0440901-OT_132374  Reencauche  </v>
      </c>
      <c r="Z3142" s="19" t="str">
        <f t="shared" si="720"/>
        <v>ReencaucheReencauchadora RENOVA</v>
      </c>
    </row>
    <row r="3143" spans="2:26" outlineLevel="1">
      <c r="B3143" s="3252"/>
      <c r="C3143" s="2">
        <f t="shared" si="721"/>
        <v>131</v>
      </c>
      <c r="D3143" s="3">
        <f t="shared" si="722"/>
        <v>44</v>
      </c>
      <c r="E3143" s="66">
        <v>4</v>
      </c>
      <c r="F3143" s="67" t="s">
        <v>732</v>
      </c>
      <c r="G3143" s="68" t="s">
        <v>757</v>
      </c>
      <c r="H3143" s="658" t="s">
        <v>2049</v>
      </c>
      <c r="I3143" s="299" t="s">
        <v>726</v>
      </c>
      <c r="J3143" s="301" t="s">
        <v>760</v>
      </c>
      <c r="K3143" s="71" t="s">
        <v>2349</v>
      </c>
      <c r="L3143" s="72">
        <v>40298</v>
      </c>
      <c r="M3143" s="73" t="s">
        <v>729</v>
      </c>
      <c r="N3143" s="74">
        <v>40305</v>
      </c>
      <c r="O3143" s="75">
        <f t="shared" si="723"/>
        <v>40305</v>
      </c>
      <c r="P3143" s="2765"/>
      <c r="Q3143" s="2954">
        <v>94.63</v>
      </c>
      <c r="R3143" s="76"/>
      <c r="S3143" s="1945" t="s">
        <v>731</v>
      </c>
      <c r="T3143" s="77"/>
      <c r="U3143" s="1893"/>
      <c r="V3143" s="2079">
        <f t="shared" si="716"/>
        <v>111.6634</v>
      </c>
      <c r="W3143" s="78">
        <f t="shared" si="717"/>
        <v>0</v>
      </c>
      <c r="X3143" s="1878" t="str">
        <f t="shared" si="715"/>
        <v xml:space="preserve">4.- C Goodyear 10204587-OT_132374  Reencauche  </v>
      </c>
      <c r="Z3143" s="19" t="str">
        <f t="shared" si="720"/>
        <v>ReencaucheReencauchadora RENOVA</v>
      </c>
    </row>
    <row r="3144" spans="2:26" outlineLevel="1">
      <c r="B3144" s="3252"/>
      <c r="C3144" s="2">
        <f t="shared" si="721"/>
        <v>130</v>
      </c>
      <c r="D3144" s="3">
        <f t="shared" si="722"/>
        <v>43</v>
      </c>
      <c r="E3144" s="66">
        <v>5</v>
      </c>
      <c r="F3144" s="67" t="s">
        <v>732</v>
      </c>
      <c r="G3144" s="68" t="s">
        <v>757</v>
      </c>
      <c r="H3144" s="69" t="s">
        <v>1531</v>
      </c>
      <c r="I3144" s="299" t="s">
        <v>726</v>
      </c>
      <c r="J3144" s="301" t="s">
        <v>760</v>
      </c>
      <c r="K3144" s="71" t="s">
        <v>2349</v>
      </c>
      <c r="L3144" s="72">
        <v>40298</v>
      </c>
      <c r="M3144" s="73" t="s">
        <v>729</v>
      </c>
      <c r="N3144" s="74">
        <v>40305</v>
      </c>
      <c r="O3144" s="75">
        <f t="shared" si="723"/>
        <v>40305</v>
      </c>
      <c r="P3144" s="2765"/>
      <c r="Q3144" s="2954">
        <v>94.63</v>
      </c>
      <c r="R3144" s="76"/>
      <c r="S3144" s="1945" t="s">
        <v>731</v>
      </c>
      <c r="T3144" s="77"/>
      <c r="U3144" s="1893"/>
      <c r="V3144" s="2079">
        <f t="shared" si="716"/>
        <v>111.6634</v>
      </c>
      <c r="W3144" s="78">
        <f t="shared" si="717"/>
        <v>0</v>
      </c>
      <c r="X3144" s="1878" t="str">
        <f t="shared" si="715"/>
        <v xml:space="preserve">5.- C Goodyear 0190205-OT_132374  Reencauche  </v>
      </c>
      <c r="Z3144" s="19" t="str">
        <f t="shared" si="720"/>
        <v>ReencaucheReencauchadora RENOVA</v>
      </c>
    </row>
    <row r="3145" spans="2:26" outlineLevel="1">
      <c r="B3145" s="3252"/>
      <c r="C3145" s="2">
        <f t="shared" si="721"/>
        <v>129</v>
      </c>
      <c r="D3145" s="3">
        <f t="shared" si="722"/>
        <v>42</v>
      </c>
      <c r="E3145" s="66">
        <v>6</v>
      </c>
      <c r="F3145" s="67" t="s">
        <v>732</v>
      </c>
      <c r="G3145" s="68" t="s">
        <v>757</v>
      </c>
      <c r="H3145" s="69" t="s">
        <v>1163</v>
      </c>
      <c r="I3145" s="299" t="s">
        <v>726</v>
      </c>
      <c r="J3145" s="301" t="s">
        <v>760</v>
      </c>
      <c r="K3145" s="71" t="s">
        <v>2349</v>
      </c>
      <c r="L3145" s="72">
        <v>40298</v>
      </c>
      <c r="M3145" s="73" t="s">
        <v>729</v>
      </c>
      <c r="N3145" s="74">
        <v>40305</v>
      </c>
      <c r="O3145" s="75">
        <f t="shared" si="723"/>
        <v>40305</v>
      </c>
      <c r="P3145" s="2765"/>
      <c r="Q3145" s="2954">
        <v>94.63</v>
      </c>
      <c r="R3145" s="76"/>
      <c r="S3145" s="1945" t="s">
        <v>731</v>
      </c>
      <c r="T3145" s="77"/>
      <c r="U3145" s="1893"/>
      <c r="V3145" s="2079">
        <f t="shared" si="716"/>
        <v>111.6634</v>
      </c>
      <c r="W3145" s="78">
        <f t="shared" si="717"/>
        <v>0</v>
      </c>
      <c r="X3145" s="1878" t="str">
        <f t="shared" si="715"/>
        <v xml:space="preserve">6.- C Goodyear 072112002-OT_132374  Reencauche  </v>
      </c>
      <c r="Z3145" s="19" t="str">
        <f t="shared" si="720"/>
        <v>ReencaucheReencauchadora RENOVA</v>
      </c>
    </row>
    <row r="3146" spans="2:26" outlineLevel="1">
      <c r="B3146" s="3252"/>
      <c r="C3146" s="2">
        <f t="shared" si="721"/>
        <v>128</v>
      </c>
      <c r="D3146" s="3">
        <f t="shared" si="722"/>
        <v>41</v>
      </c>
      <c r="E3146" s="66">
        <v>7</v>
      </c>
      <c r="F3146" s="67" t="s">
        <v>732</v>
      </c>
      <c r="G3146" s="68" t="s">
        <v>757</v>
      </c>
      <c r="H3146" s="69" t="s">
        <v>991</v>
      </c>
      <c r="I3146" s="299" t="s">
        <v>726</v>
      </c>
      <c r="J3146" s="301" t="s">
        <v>760</v>
      </c>
      <c r="K3146" s="71" t="s">
        <v>2349</v>
      </c>
      <c r="L3146" s="72">
        <v>40298</v>
      </c>
      <c r="M3146" s="73" t="s">
        <v>729</v>
      </c>
      <c r="N3146" s="74">
        <v>40305</v>
      </c>
      <c r="O3146" s="75">
        <f t="shared" si="723"/>
        <v>40305</v>
      </c>
      <c r="P3146" s="2765"/>
      <c r="Q3146" s="2954">
        <v>94.63</v>
      </c>
      <c r="R3146" s="76"/>
      <c r="S3146" s="1945" t="s">
        <v>731</v>
      </c>
      <c r="T3146" s="77"/>
      <c r="U3146" s="1893"/>
      <c r="V3146" s="2079">
        <f t="shared" si="716"/>
        <v>111.6634</v>
      </c>
      <c r="W3146" s="78">
        <f t="shared" si="717"/>
        <v>0</v>
      </c>
      <c r="X3146" s="1878" t="str">
        <f t="shared" si="715"/>
        <v xml:space="preserve">7.- C Goodyear 062112002-OT_132374  Reencauche  </v>
      </c>
      <c r="Z3146" s="19" t="str">
        <f t="shared" si="720"/>
        <v>ReencaucheReencauchadora RENOVA</v>
      </c>
    </row>
    <row r="3147" spans="2:26" outlineLevel="1">
      <c r="B3147" s="3252"/>
      <c r="C3147" s="2">
        <f t="shared" si="721"/>
        <v>127</v>
      </c>
      <c r="D3147" s="3">
        <f t="shared" si="722"/>
        <v>40</v>
      </c>
      <c r="E3147" s="66">
        <v>8</v>
      </c>
      <c r="F3147" s="67" t="s">
        <v>732</v>
      </c>
      <c r="G3147" s="68" t="s">
        <v>757</v>
      </c>
      <c r="H3147" s="69" t="s">
        <v>2351</v>
      </c>
      <c r="I3147" s="299" t="s">
        <v>726</v>
      </c>
      <c r="J3147" s="301" t="s">
        <v>760</v>
      </c>
      <c r="K3147" s="71" t="s">
        <v>2349</v>
      </c>
      <c r="L3147" s="72">
        <v>40298</v>
      </c>
      <c r="M3147" s="73" t="s">
        <v>729</v>
      </c>
      <c r="N3147" s="74">
        <v>40305</v>
      </c>
      <c r="O3147" s="75">
        <f t="shared" si="723"/>
        <v>40305</v>
      </c>
      <c r="P3147" s="2765"/>
      <c r="Q3147" s="2954">
        <v>94.63</v>
      </c>
      <c r="R3147" s="76"/>
      <c r="S3147" s="1945" t="s">
        <v>731</v>
      </c>
      <c r="T3147" s="77"/>
      <c r="U3147" s="1893"/>
      <c r="V3147" s="2079">
        <f t="shared" si="716"/>
        <v>111.6634</v>
      </c>
      <c r="W3147" s="78">
        <f t="shared" si="717"/>
        <v>0</v>
      </c>
      <c r="X3147" s="1878" t="str">
        <f t="shared" si="715"/>
        <v xml:space="preserve">8.- C Goodyear 0390402-OT_132374  Reencauche  </v>
      </c>
      <c r="Z3147" s="19" t="str">
        <f t="shared" si="720"/>
        <v>ReencaucheReencauchadora RENOVA</v>
      </c>
    </row>
    <row r="3148" spans="2:26" outlineLevel="1">
      <c r="B3148" s="3252"/>
      <c r="C3148" s="2">
        <f t="shared" si="721"/>
        <v>126</v>
      </c>
      <c r="D3148" s="3">
        <f t="shared" si="722"/>
        <v>39</v>
      </c>
      <c r="E3148" s="66">
        <v>9</v>
      </c>
      <c r="F3148" s="67" t="s">
        <v>732</v>
      </c>
      <c r="G3148" s="68" t="s">
        <v>1108</v>
      </c>
      <c r="H3148" s="69" t="s">
        <v>2352</v>
      </c>
      <c r="I3148" s="299" t="s">
        <v>726</v>
      </c>
      <c r="J3148" s="301" t="s">
        <v>760</v>
      </c>
      <c r="K3148" s="71" t="s">
        <v>2349</v>
      </c>
      <c r="L3148" s="72">
        <v>40298</v>
      </c>
      <c r="M3148" s="73" t="s">
        <v>729</v>
      </c>
      <c r="N3148" s="74">
        <v>40305</v>
      </c>
      <c r="O3148" s="75">
        <f t="shared" si="723"/>
        <v>40305</v>
      </c>
      <c r="P3148" s="2765"/>
      <c r="Q3148" s="2954">
        <v>94.63</v>
      </c>
      <c r="R3148" s="76"/>
      <c r="S3148" s="1945" t="s">
        <v>731</v>
      </c>
      <c r="T3148" s="77"/>
      <c r="U3148" s="1893"/>
      <c r="V3148" s="2079">
        <f t="shared" si="716"/>
        <v>111.6634</v>
      </c>
      <c r="W3148" s="78">
        <f t="shared" si="717"/>
        <v>0</v>
      </c>
      <c r="X3148" s="1878" t="str">
        <f t="shared" si="715"/>
        <v xml:space="preserve">9.- C Hankook 0540305-OT_132374  Reencauche  </v>
      </c>
      <c r="Z3148" s="19" t="str">
        <f t="shared" si="720"/>
        <v>ReencaucheReencauchadora RENOVA</v>
      </c>
    </row>
    <row r="3149" spans="2:26" outlineLevel="1">
      <c r="B3149" s="3252"/>
      <c r="C3149" s="2">
        <f t="shared" si="721"/>
        <v>125</v>
      </c>
      <c r="D3149" s="3">
        <f t="shared" si="722"/>
        <v>38</v>
      </c>
      <c r="E3149" s="66">
        <v>10</v>
      </c>
      <c r="F3149" s="67" t="s">
        <v>732</v>
      </c>
      <c r="G3149" s="68" t="s">
        <v>1108</v>
      </c>
      <c r="H3149" s="69" t="s">
        <v>2353</v>
      </c>
      <c r="I3149" s="299" t="s">
        <v>726</v>
      </c>
      <c r="J3149" s="301" t="s">
        <v>760</v>
      </c>
      <c r="K3149" s="71" t="s">
        <v>2349</v>
      </c>
      <c r="L3149" s="72">
        <v>40298</v>
      </c>
      <c r="M3149" s="73" t="s">
        <v>729</v>
      </c>
      <c r="N3149" s="74">
        <v>40305</v>
      </c>
      <c r="O3149" s="75">
        <f t="shared" si="723"/>
        <v>40305</v>
      </c>
      <c r="P3149" s="2765"/>
      <c r="Q3149" s="2954">
        <v>94.63</v>
      </c>
      <c r="R3149" s="76"/>
      <c r="S3149" s="1945" t="s">
        <v>731</v>
      </c>
      <c r="T3149" s="77"/>
      <c r="U3149" s="1893"/>
      <c r="V3149" s="2079">
        <f t="shared" si="716"/>
        <v>111.6634</v>
      </c>
      <c r="W3149" s="78">
        <f t="shared" si="717"/>
        <v>0</v>
      </c>
      <c r="X3149" s="1878" t="str">
        <f t="shared" si="715"/>
        <v xml:space="preserve">10.- C Hankook 0640305-OT_132374  Reencauche  </v>
      </c>
      <c r="Z3149" s="19" t="str">
        <f t="shared" si="720"/>
        <v>ReencaucheReencauchadora RENOVA</v>
      </c>
    </row>
    <row r="3150" spans="2:26" outlineLevel="1">
      <c r="B3150" s="3252"/>
      <c r="C3150" s="2">
        <f t="shared" si="721"/>
        <v>124</v>
      </c>
      <c r="D3150" s="3">
        <f t="shared" si="722"/>
        <v>37</v>
      </c>
      <c r="E3150" s="66">
        <v>11</v>
      </c>
      <c r="F3150" s="67" t="s">
        <v>732</v>
      </c>
      <c r="G3150" s="68" t="s">
        <v>733</v>
      </c>
      <c r="H3150" s="69" t="s">
        <v>2354</v>
      </c>
      <c r="I3150" s="299" t="s">
        <v>726</v>
      </c>
      <c r="J3150" s="301" t="s">
        <v>760</v>
      </c>
      <c r="K3150" s="71" t="s">
        <v>2355</v>
      </c>
      <c r="L3150" s="72">
        <v>40298</v>
      </c>
      <c r="M3150" s="73" t="s">
        <v>729</v>
      </c>
      <c r="N3150" s="74">
        <v>40305</v>
      </c>
      <c r="O3150" s="75">
        <f t="shared" si="723"/>
        <v>40305</v>
      </c>
      <c r="P3150" s="2765"/>
      <c r="Q3150" s="2954">
        <v>94.63</v>
      </c>
      <c r="R3150" s="76"/>
      <c r="S3150" s="1945" t="s">
        <v>731</v>
      </c>
      <c r="T3150" s="77"/>
      <c r="U3150" s="1893"/>
      <c r="V3150" s="2079">
        <f t="shared" si="716"/>
        <v>111.6634</v>
      </c>
      <c r="W3150" s="78">
        <f t="shared" si="717"/>
        <v>0</v>
      </c>
      <c r="X3150" s="1878" t="str">
        <f t="shared" si="715"/>
        <v xml:space="preserve">11.- C Lima Caucho 0580807-OT_132375  Reencauche  </v>
      </c>
      <c r="Z3150" s="19" t="str">
        <f t="shared" si="720"/>
        <v>ReencaucheReencauchadora RENOVA</v>
      </c>
    </row>
    <row r="3151" spans="2:26" outlineLevel="1">
      <c r="B3151" s="3252"/>
      <c r="C3151" s="2">
        <f t="shared" si="721"/>
        <v>123</v>
      </c>
      <c r="D3151" s="3">
        <f t="shared" si="722"/>
        <v>36</v>
      </c>
      <c r="E3151" s="66">
        <v>12</v>
      </c>
      <c r="F3151" s="67" t="s">
        <v>732</v>
      </c>
      <c r="G3151" s="68" t="s">
        <v>733</v>
      </c>
      <c r="H3151" s="69" t="s">
        <v>1172</v>
      </c>
      <c r="I3151" s="299" t="s">
        <v>726</v>
      </c>
      <c r="J3151" s="301" t="s">
        <v>760</v>
      </c>
      <c r="K3151" s="71" t="s">
        <v>2355</v>
      </c>
      <c r="L3151" s="72">
        <v>40298</v>
      </c>
      <c r="M3151" s="73" t="s">
        <v>729</v>
      </c>
      <c r="N3151" s="74">
        <v>40305</v>
      </c>
      <c r="O3151" s="75">
        <f t="shared" si="723"/>
        <v>40305</v>
      </c>
      <c r="P3151" s="2765"/>
      <c r="Q3151" s="2954">
        <v>94.63</v>
      </c>
      <c r="R3151" s="76"/>
      <c r="S3151" s="1945" t="s">
        <v>731</v>
      </c>
      <c r="T3151" s="77"/>
      <c r="U3151" s="1893"/>
      <c r="V3151" s="2079">
        <f t="shared" si="716"/>
        <v>111.6634</v>
      </c>
      <c r="W3151" s="78">
        <f t="shared" si="717"/>
        <v>0</v>
      </c>
      <c r="X3151" s="1878" t="str">
        <f t="shared" si="715"/>
        <v xml:space="preserve">12.- C Lima Caucho 0300508-OT_132375  Reencauche  </v>
      </c>
      <c r="Z3151" s="19" t="str">
        <f t="shared" si="720"/>
        <v>ReencaucheReencauchadora RENOVA</v>
      </c>
    </row>
    <row r="3152" spans="2:26" outlineLevel="1">
      <c r="B3152" s="3252"/>
      <c r="C3152" s="2">
        <f t="shared" si="721"/>
        <v>122</v>
      </c>
      <c r="D3152" s="3">
        <f t="shared" si="722"/>
        <v>35</v>
      </c>
      <c r="E3152" s="66">
        <v>13</v>
      </c>
      <c r="F3152" s="67" t="s">
        <v>732</v>
      </c>
      <c r="G3152" s="68" t="s">
        <v>737</v>
      </c>
      <c r="H3152" s="69" t="s">
        <v>2019</v>
      </c>
      <c r="I3152" s="299" t="s">
        <v>726</v>
      </c>
      <c r="J3152" s="301" t="s">
        <v>760</v>
      </c>
      <c r="K3152" s="71" t="s">
        <v>2355</v>
      </c>
      <c r="L3152" s="72">
        <v>40298</v>
      </c>
      <c r="M3152" s="73" t="s">
        <v>729</v>
      </c>
      <c r="N3152" s="74">
        <v>40305</v>
      </c>
      <c r="O3152" s="75">
        <f t="shared" si="723"/>
        <v>40305</v>
      </c>
      <c r="P3152" s="2765"/>
      <c r="Q3152" s="2954">
        <v>94.63</v>
      </c>
      <c r="R3152" s="76"/>
      <c r="S3152" s="1945" t="s">
        <v>731</v>
      </c>
      <c r="T3152" s="77"/>
      <c r="U3152" s="1893"/>
      <c r="V3152" s="2079">
        <f t="shared" si="716"/>
        <v>111.6634</v>
      </c>
      <c r="W3152" s="78">
        <f t="shared" si="717"/>
        <v>0</v>
      </c>
      <c r="X3152" s="1878" t="str">
        <f t="shared" si="715"/>
        <v xml:space="preserve">13.- C Vikrant 0430506-OT_132375  Reencauche  </v>
      </c>
      <c r="Z3152" s="19" t="str">
        <f t="shared" si="720"/>
        <v>REPARACIONReencauchadora RENOVA</v>
      </c>
    </row>
    <row r="3153" spans="2:26" outlineLevel="1">
      <c r="B3153" s="3252"/>
      <c r="C3153" s="2">
        <f t="shared" si="721"/>
        <v>121</v>
      </c>
      <c r="D3153" s="3">
        <f t="shared" si="722"/>
        <v>34</v>
      </c>
      <c r="E3153" s="216">
        <v>14</v>
      </c>
      <c r="F3153" s="67" t="s">
        <v>732</v>
      </c>
      <c r="G3153" s="217" t="s">
        <v>737</v>
      </c>
      <c r="H3153" s="218" t="s">
        <v>2356</v>
      </c>
      <c r="I3153" s="275" t="s">
        <v>726</v>
      </c>
      <c r="J3153" s="277" t="s">
        <v>760</v>
      </c>
      <c r="K3153" s="220" t="s">
        <v>2355</v>
      </c>
      <c r="L3153" s="221">
        <v>40298</v>
      </c>
      <c r="M3153" s="222" t="s">
        <v>729</v>
      </c>
      <c r="N3153" s="74">
        <v>40305</v>
      </c>
      <c r="O3153" s="75">
        <f t="shared" si="723"/>
        <v>40305</v>
      </c>
      <c r="P3153" s="2787"/>
      <c r="Q3153" s="2954">
        <v>94.63</v>
      </c>
      <c r="R3153" s="223"/>
      <c r="S3153" s="1955" t="s">
        <v>731</v>
      </c>
      <c r="T3153" s="77"/>
      <c r="U3153" s="1893"/>
      <c r="V3153" s="2079">
        <f t="shared" si="716"/>
        <v>111.6634</v>
      </c>
      <c r="W3153" s="78">
        <f t="shared" si="717"/>
        <v>0</v>
      </c>
      <c r="X3153" s="1878" t="str">
        <f t="shared" si="715"/>
        <v xml:space="preserve">14.- C Vikrant 0710505-OT_132375  Reencauche  </v>
      </c>
      <c r="Z3153" s="19" t="str">
        <f t="shared" si="720"/>
        <v>Transpl BandaReencauchadora Espinoza</v>
      </c>
    </row>
    <row r="3154" spans="2:26" outlineLevel="1">
      <c r="B3154" s="3252"/>
      <c r="C3154" s="2">
        <f t="shared" si="721"/>
        <v>120</v>
      </c>
      <c r="D3154" s="3">
        <f t="shared" si="722"/>
        <v>33</v>
      </c>
      <c r="E3154" s="66">
        <v>15</v>
      </c>
      <c r="F3154" s="67" t="s">
        <v>732</v>
      </c>
      <c r="G3154" s="68" t="s">
        <v>737</v>
      </c>
      <c r="H3154" s="69" t="s">
        <v>1524</v>
      </c>
      <c r="I3154" s="299" t="s">
        <v>726</v>
      </c>
      <c r="J3154" s="301" t="s">
        <v>760</v>
      </c>
      <c r="K3154" s="71" t="s">
        <v>2355</v>
      </c>
      <c r="L3154" s="72">
        <v>40298</v>
      </c>
      <c r="M3154" s="73" t="s">
        <v>729</v>
      </c>
      <c r="N3154" s="74">
        <v>40305</v>
      </c>
      <c r="O3154" s="75">
        <f t="shared" si="723"/>
        <v>40305</v>
      </c>
      <c r="P3154" s="2765"/>
      <c r="Q3154" s="2954">
        <v>94.63</v>
      </c>
      <c r="R3154" s="76"/>
      <c r="S3154" s="1945" t="s">
        <v>731</v>
      </c>
      <c r="T3154" s="77"/>
      <c r="U3154" s="1893"/>
      <c r="V3154" s="2079">
        <f t="shared" si="716"/>
        <v>111.6634</v>
      </c>
      <c r="W3154" s="78">
        <f t="shared" si="717"/>
        <v>0</v>
      </c>
      <c r="X3154" s="1878" t="str">
        <f t="shared" si="715"/>
        <v xml:space="preserve">15.- C Vikrant 1621205-OT_132375  Reencauche  </v>
      </c>
      <c r="Z3154" s="19" t="str">
        <f t="shared" si="720"/>
        <v>Transpl BandaReencauchadora Espinoza</v>
      </c>
    </row>
    <row r="3155" spans="2:26" outlineLevel="1">
      <c r="B3155" s="3252"/>
      <c r="C3155" s="639">
        <f t="shared" si="721"/>
        <v>119</v>
      </c>
      <c r="D3155" s="640">
        <f t="shared" si="722"/>
        <v>32</v>
      </c>
      <c r="E3155" s="349">
        <v>16</v>
      </c>
      <c r="F3155" s="80" t="s">
        <v>732</v>
      </c>
      <c r="G3155" s="262" t="s">
        <v>1376</v>
      </c>
      <c r="H3155" s="115" t="s">
        <v>1377</v>
      </c>
      <c r="I3155" s="105" t="s">
        <v>2241</v>
      </c>
      <c r="J3155" s="107" t="s">
        <v>760</v>
      </c>
      <c r="K3155" s="350" t="s">
        <v>2357</v>
      </c>
      <c r="L3155" s="351">
        <v>40298</v>
      </c>
      <c r="M3155" s="352" t="s">
        <v>729</v>
      </c>
      <c r="N3155" s="87">
        <v>40322</v>
      </c>
      <c r="O3155" s="88">
        <f t="shared" si="723"/>
        <v>40322</v>
      </c>
      <c r="P3155" s="2806"/>
      <c r="Q3155" s="2955">
        <v>26.78</v>
      </c>
      <c r="R3155" s="353"/>
      <c r="S3155" s="1966" t="s">
        <v>731</v>
      </c>
      <c r="T3155" s="77" t="s">
        <v>2358</v>
      </c>
      <c r="U3155" s="1893"/>
      <c r="V3155" s="2079">
        <f t="shared" si="716"/>
        <v>31.6004</v>
      </c>
      <c r="W3155" s="78">
        <f t="shared" si="717"/>
        <v>0</v>
      </c>
      <c r="X3155" s="1878" t="str">
        <f t="shared" si="715"/>
        <v>16.- C BFGoodrich 0540502-OT_132376  REPARACION  Daños en casco y banda, se curo ok</v>
      </c>
      <c r="Z3155" s="19" t="str">
        <f t="shared" si="720"/>
        <v>Sacar_BandaReencauchadora Espinoza</v>
      </c>
    </row>
    <row r="3156" spans="2:26" outlineLevel="1">
      <c r="B3156" s="3252"/>
      <c r="C3156" s="2">
        <f t="shared" si="721"/>
        <v>118</v>
      </c>
      <c r="D3156" s="3">
        <f t="shared" si="722"/>
        <v>31</v>
      </c>
      <c r="E3156" s="66">
        <v>1</v>
      </c>
      <c r="F3156" s="67" t="s">
        <v>732</v>
      </c>
      <c r="G3156" s="68" t="s">
        <v>757</v>
      </c>
      <c r="H3156" s="69" t="s">
        <v>2359</v>
      </c>
      <c r="I3156" s="217" t="s">
        <v>740</v>
      </c>
      <c r="J3156" s="70" t="s">
        <v>1543</v>
      </c>
      <c r="K3156" s="71" t="s">
        <v>2360</v>
      </c>
      <c r="L3156" s="72">
        <v>40296</v>
      </c>
      <c r="M3156" s="73" t="s">
        <v>729</v>
      </c>
      <c r="N3156" s="74">
        <v>40303</v>
      </c>
      <c r="O3156" s="75">
        <f t="shared" si="723"/>
        <v>40303</v>
      </c>
      <c r="P3156" s="2765"/>
      <c r="Q3156" s="2954"/>
      <c r="R3156" s="76">
        <f>150/(1.19)</f>
        <v>126.05042016806723</v>
      </c>
      <c r="S3156" s="1945" t="s">
        <v>731</v>
      </c>
      <c r="T3156" s="659" t="s">
        <v>2361</v>
      </c>
      <c r="U3156" s="1939"/>
      <c r="V3156" s="2079">
        <f t="shared" si="716"/>
        <v>0</v>
      </c>
      <c r="W3156" s="78">
        <f t="shared" si="717"/>
        <v>148.73949579831933</v>
      </c>
      <c r="X3156" s="1878" t="str">
        <f t="shared" si="715"/>
        <v>1.- C Goodyear 0030102-OT_000338  Transpl Banda   Con banda transplantada</v>
      </c>
      <c r="Z3156" s="19" t="str">
        <f t="shared" si="720"/>
        <v>Sacar_BandaReencauchadora Espinoza</v>
      </c>
    </row>
    <row r="3157" spans="2:26" outlineLevel="1">
      <c r="B3157" s="3252"/>
      <c r="C3157" s="2">
        <f>1+C3160</f>
        <v>117</v>
      </c>
      <c r="D3157" s="3">
        <f>1+D3160</f>
        <v>30</v>
      </c>
      <c r="E3157" s="660">
        <v>2</v>
      </c>
      <c r="F3157" s="661" t="s">
        <v>732</v>
      </c>
      <c r="G3157" s="68" t="s">
        <v>757</v>
      </c>
      <c r="H3157" s="69" t="s">
        <v>2362</v>
      </c>
      <c r="I3157" s="217" t="s">
        <v>740</v>
      </c>
      <c r="J3157" s="70" t="s">
        <v>1543</v>
      </c>
      <c r="K3157" s="71" t="s">
        <v>2360</v>
      </c>
      <c r="L3157" s="72">
        <v>40296</v>
      </c>
      <c r="M3157" s="73" t="s">
        <v>729</v>
      </c>
      <c r="N3157" s="74">
        <v>40303</v>
      </c>
      <c r="O3157" s="75">
        <f t="shared" si="723"/>
        <v>40303</v>
      </c>
      <c r="P3157" s="2765"/>
      <c r="Q3157" s="2954"/>
      <c r="R3157" s="76">
        <f>150/(1.19)</f>
        <v>126.05042016806723</v>
      </c>
      <c r="S3157" s="1945" t="s">
        <v>731</v>
      </c>
      <c r="T3157" s="659" t="s">
        <v>2322</v>
      </c>
      <c r="U3157" s="1939"/>
      <c r="V3157" s="2079">
        <f t="shared" si="716"/>
        <v>0</v>
      </c>
      <c r="W3157" s="78">
        <f t="shared" si="717"/>
        <v>148.73949579831933</v>
      </c>
      <c r="X3157" s="1878" t="str">
        <f t="shared" si="715"/>
        <v xml:space="preserve">2.- C Goodyear 1790920-OT_000338  Transpl Banda   Con banda transplantada </v>
      </c>
      <c r="Z3157" s="19" t="str">
        <f t="shared" si="720"/>
        <v>ReencaucheAMC Llantas</v>
      </c>
    </row>
    <row r="3158" spans="2:26" outlineLevel="1">
      <c r="B3158" s="3252"/>
      <c r="E3158" s="346">
        <v>3</v>
      </c>
      <c r="F3158" s="67" t="s">
        <v>732</v>
      </c>
      <c r="G3158" s="90" t="s">
        <v>831</v>
      </c>
      <c r="H3158" s="91" t="s">
        <v>2363</v>
      </c>
      <c r="I3158" s="257" t="s">
        <v>744</v>
      </c>
      <c r="J3158" s="92" t="s">
        <v>1543</v>
      </c>
      <c r="K3158" s="243" t="s">
        <v>2364</v>
      </c>
      <c r="L3158" s="244">
        <v>40296</v>
      </c>
      <c r="M3158" s="245" t="s">
        <v>729</v>
      </c>
      <c r="N3158" s="74">
        <v>40329</v>
      </c>
      <c r="O3158" s="75">
        <f t="shared" si="723"/>
        <v>40329</v>
      </c>
      <c r="P3158" s="2799"/>
      <c r="Q3158" s="2954"/>
      <c r="R3158" s="248">
        <v>0</v>
      </c>
      <c r="S3158" s="1958" t="s">
        <v>731</v>
      </c>
      <c r="T3158" s="652" t="s">
        <v>2365</v>
      </c>
      <c r="U3158" s="1924"/>
      <c r="V3158" s="2079">
        <f t="shared" si="716"/>
        <v>0</v>
      </c>
      <c r="W3158" s="78">
        <f t="shared" si="717"/>
        <v>0</v>
      </c>
      <c r="X3158" s="1878" t="str">
        <f t="shared" si="715"/>
        <v>3.- C Kumho 0190104-OT_000339  Sacar_Banda   Llanta casco dañado, banda 13Mm, desechada (J,Castañeda 343volada)</v>
      </c>
      <c r="Z3158" s="19" t="str">
        <f t="shared" si="720"/>
        <v>ReencaucheAMC Llantas</v>
      </c>
    </row>
    <row r="3159" spans="2:26" outlineLevel="1">
      <c r="B3159" s="3252"/>
      <c r="E3159" s="349">
        <v>4</v>
      </c>
      <c r="F3159" s="80" t="s">
        <v>732</v>
      </c>
      <c r="G3159" s="114" t="s">
        <v>757</v>
      </c>
      <c r="H3159" s="115" t="s">
        <v>2366</v>
      </c>
      <c r="I3159" s="262" t="s">
        <v>744</v>
      </c>
      <c r="J3159" s="93" t="s">
        <v>1543</v>
      </c>
      <c r="K3159" s="350" t="s">
        <v>2364</v>
      </c>
      <c r="L3159" s="351">
        <v>40296</v>
      </c>
      <c r="M3159" s="352" t="s">
        <v>2325</v>
      </c>
      <c r="N3159" s="87">
        <v>40303</v>
      </c>
      <c r="O3159" s="88">
        <f t="shared" si="723"/>
        <v>40303</v>
      </c>
      <c r="P3159" s="2806"/>
      <c r="Q3159" s="2955"/>
      <c r="R3159" s="353">
        <v>0</v>
      </c>
      <c r="S3159" s="1966" t="s">
        <v>731</v>
      </c>
      <c r="T3159" s="652" t="s">
        <v>2367</v>
      </c>
      <c r="U3159" s="1924"/>
      <c r="V3159" s="2079">
        <f t="shared" si="716"/>
        <v>0</v>
      </c>
      <c r="W3159" s="78">
        <f t="shared" si="717"/>
        <v>0</v>
      </c>
      <c r="X3159" s="1878" t="str">
        <f t="shared" si="715"/>
        <v>4.- C Goodyear 027072003-OT_000339  Sacar_Banda   Llanta casco dañado, banda 14Mm, desechada (L,Cabrera  227volada)</v>
      </c>
      <c r="Z3159" s="19" t="str">
        <f t="shared" si="720"/>
        <v>AMC Llantas</v>
      </c>
    </row>
    <row r="3160" spans="2:26" outlineLevel="1">
      <c r="B3160" s="3252"/>
      <c r="C3160" s="2">
        <f>1+C3161</f>
        <v>116</v>
      </c>
      <c r="D3160" s="3">
        <f>1+D3161</f>
        <v>29</v>
      </c>
      <c r="E3160" s="66">
        <v>1</v>
      </c>
      <c r="F3160" s="67" t="s">
        <v>732</v>
      </c>
      <c r="G3160" s="68" t="s">
        <v>733</v>
      </c>
      <c r="H3160" s="69" t="s">
        <v>955</v>
      </c>
      <c r="I3160" s="68" t="s">
        <v>726</v>
      </c>
      <c r="J3160" s="70" t="s">
        <v>1961</v>
      </c>
      <c r="K3160" s="71" t="s">
        <v>2368</v>
      </c>
      <c r="L3160" s="72">
        <v>40291</v>
      </c>
      <c r="M3160" s="73" t="s">
        <v>729</v>
      </c>
      <c r="N3160" s="74">
        <v>40298</v>
      </c>
      <c r="O3160" s="75">
        <f t="shared" si="723"/>
        <v>40298</v>
      </c>
      <c r="P3160" s="2765"/>
      <c r="Q3160" s="2954"/>
      <c r="R3160" s="76">
        <f>310/(1.19)</f>
        <v>260.50420168067228</v>
      </c>
      <c r="S3160" s="1945" t="s">
        <v>731</v>
      </c>
      <c r="T3160" s="77"/>
      <c r="U3160" s="1893"/>
      <c r="V3160" s="2079">
        <f t="shared" si="716"/>
        <v>0</v>
      </c>
      <c r="W3160" s="78">
        <f t="shared" si="717"/>
        <v>307.39495798319325</v>
      </c>
      <c r="X3160" s="1878" t="str">
        <f t="shared" si="715"/>
        <v xml:space="preserve">1.- C Lima Caucho 0810908-OT_000355  Reencauche  </v>
      </c>
      <c r="Z3160" s="19" t="str">
        <f t="shared" si="720"/>
        <v>ReencaucheAMC Llantas</v>
      </c>
    </row>
    <row r="3161" spans="2:26" outlineLevel="1">
      <c r="B3161" s="3252"/>
      <c r="C3161" s="2">
        <f>1+C3163</f>
        <v>115</v>
      </c>
      <c r="D3161" s="3">
        <f>1+D3163</f>
        <v>28</v>
      </c>
      <c r="E3161" s="66">
        <v>2</v>
      </c>
      <c r="F3161" s="67" t="s">
        <v>732</v>
      </c>
      <c r="G3161" s="68" t="s">
        <v>733</v>
      </c>
      <c r="H3161" s="69" t="s">
        <v>773</v>
      </c>
      <c r="I3161" s="68" t="s">
        <v>726</v>
      </c>
      <c r="J3161" s="70" t="s">
        <v>1961</v>
      </c>
      <c r="K3161" s="71" t="s">
        <v>2368</v>
      </c>
      <c r="L3161" s="72">
        <v>40291</v>
      </c>
      <c r="M3161" s="73" t="s">
        <v>729</v>
      </c>
      <c r="N3161" s="74">
        <v>40298</v>
      </c>
      <c r="O3161" s="75">
        <f t="shared" si="723"/>
        <v>40298</v>
      </c>
      <c r="P3161" s="2765"/>
      <c r="Q3161" s="2954"/>
      <c r="R3161" s="76">
        <f>310/(1.19)</f>
        <v>260.50420168067228</v>
      </c>
      <c r="S3161" s="1945" t="s">
        <v>731</v>
      </c>
      <c r="T3161" s="77"/>
      <c r="U3161" s="1893"/>
      <c r="V3161" s="2079">
        <f t="shared" si="716"/>
        <v>0</v>
      </c>
      <c r="W3161" s="78">
        <f t="shared" si="717"/>
        <v>307.39495798319325</v>
      </c>
      <c r="X3161" s="1878" t="str">
        <f t="shared" si="715"/>
        <v xml:space="preserve">2.- C Lima Caucho 0440707-OT_000355  Reencauche  </v>
      </c>
      <c r="Z3161" s="19" t="str">
        <f t="shared" si="720"/>
        <v>AMC Llantas</v>
      </c>
    </row>
    <row r="3162" spans="2:26" outlineLevel="1">
      <c r="B3162" s="3252"/>
      <c r="E3162" s="621">
        <v>3</v>
      </c>
      <c r="F3162" s="2056" t="s">
        <v>732</v>
      </c>
      <c r="G3162" s="622" t="s">
        <v>737</v>
      </c>
      <c r="H3162" s="623" t="s">
        <v>2356</v>
      </c>
      <c r="I3162" s="622"/>
      <c r="J3162" s="624" t="s">
        <v>1961</v>
      </c>
      <c r="K3162" s="625" t="s">
        <v>2368</v>
      </c>
      <c r="L3162" s="626">
        <v>40291</v>
      </c>
      <c r="M3162" s="627" t="s">
        <v>1815</v>
      </c>
      <c r="N3162" s="259">
        <v>40298</v>
      </c>
      <c r="O3162" s="140">
        <f t="shared" si="723"/>
        <v>40298</v>
      </c>
      <c r="P3162" s="2785"/>
      <c r="Q3162" s="2971"/>
      <c r="R3162" s="628">
        <v>0</v>
      </c>
      <c r="S3162" s="1988" t="s">
        <v>731</v>
      </c>
      <c r="T3162" s="654" t="s">
        <v>1617</v>
      </c>
      <c r="U3162" s="1922"/>
      <c r="V3162" s="2079">
        <f t="shared" si="716"/>
        <v>0</v>
      </c>
      <c r="W3162" s="78">
        <f t="shared" si="717"/>
        <v>0</v>
      </c>
      <c r="X3162" s="1878" t="str">
        <f t="shared" si="715"/>
        <v>3.- C Vikrant 0710505-OT_000355     Llanta Rechazada, no se facturo</v>
      </c>
      <c r="Z3162" s="19" t="str">
        <f t="shared" si="720"/>
        <v>ReencaucheAMC Llantas</v>
      </c>
    </row>
    <row r="3163" spans="2:26" outlineLevel="1">
      <c r="B3163" s="3252"/>
      <c r="C3163" s="2">
        <f>1+C3165</f>
        <v>114</v>
      </c>
      <c r="D3163" s="3">
        <f>1+D3165</f>
        <v>27</v>
      </c>
      <c r="E3163" s="66">
        <v>4</v>
      </c>
      <c r="F3163" s="67" t="s">
        <v>732</v>
      </c>
      <c r="G3163" s="68" t="s">
        <v>757</v>
      </c>
      <c r="H3163" s="69" t="s">
        <v>1162</v>
      </c>
      <c r="I3163" s="68" t="s">
        <v>726</v>
      </c>
      <c r="J3163" s="70" t="s">
        <v>1961</v>
      </c>
      <c r="K3163" s="71" t="s">
        <v>2368</v>
      </c>
      <c r="L3163" s="72">
        <v>40291</v>
      </c>
      <c r="M3163" s="73" t="s">
        <v>729</v>
      </c>
      <c r="N3163" s="74">
        <v>40298</v>
      </c>
      <c r="O3163" s="75">
        <f t="shared" si="723"/>
        <v>40298</v>
      </c>
      <c r="P3163" s="2765"/>
      <c r="Q3163" s="2954"/>
      <c r="R3163" s="76">
        <f>310/(1.19)</f>
        <v>260.50420168067228</v>
      </c>
      <c r="S3163" s="1945" t="s">
        <v>731</v>
      </c>
      <c r="T3163" s="77"/>
      <c r="U3163" s="1893"/>
      <c r="V3163" s="2079">
        <f t="shared" si="716"/>
        <v>0</v>
      </c>
      <c r="W3163" s="78">
        <f t="shared" si="717"/>
        <v>307.39495798319325</v>
      </c>
      <c r="X3163" s="1878" t="str">
        <f t="shared" si="715"/>
        <v xml:space="preserve">4.- C Goodyear 1090704-OT_000355  Reencauche  </v>
      </c>
      <c r="Z3163" s="19" t="str">
        <f t="shared" si="720"/>
        <v>Transpl BandaReencauchadora Espinoza</v>
      </c>
    </row>
    <row r="3164" spans="2:26" outlineLevel="1">
      <c r="B3164" s="3252"/>
      <c r="E3164" s="621">
        <v>5</v>
      </c>
      <c r="F3164" s="2056" t="s">
        <v>732</v>
      </c>
      <c r="G3164" s="622" t="s">
        <v>757</v>
      </c>
      <c r="H3164" s="623" t="s">
        <v>2348</v>
      </c>
      <c r="I3164" s="622"/>
      <c r="J3164" s="624" t="s">
        <v>1961</v>
      </c>
      <c r="K3164" s="625" t="s">
        <v>2368</v>
      </c>
      <c r="L3164" s="626">
        <v>40291</v>
      </c>
      <c r="M3164" s="627" t="s">
        <v>1815</v>
      </c>
      <c r="N3164" s="259">
        <v>40298</v>
      </c>
      <c r="O3164" s="140">
        <f t="shared" si="723"/>
        <v>40298</v>
      </c>
      <c r="P3164" s="2785"/>
      <c r="Q3164" s="2971"/>
      <c r="R3164" s="628">
        <v>0</v>
      </c>
      <c r="S3164" s="1988" t="s">
        <v>731</v>
      </c>
      <c r="T3164" s="654" t="s">
        <v>1617</v>
      </c>
      <c r="U3164" s="1922"/>
      <c r="V3164" s="2079">
        <f t="shared" si="716"/>
        <v>0</v>
      </c>
      <c r="W3164" s="78">
        <f t="shared" si="717"/>
        <v>0</v>
      </c>
      <c r="X3164" s="1878" t="str">
        <f t="shared" si="715"/>
        <v>5.- C Goodyear 1310700-OT_000355     Llanta Rechazada, no se facturo</v>
      </c>
      <c r="Z3164" s="19" t="str">
        <f t="shared" si="720"/>
        <v>Transpl BandaReencauchadora Espinoza</v>
      </c>
    </row>
    <row r="3165" spans="2:26" outlineLevel="1">
      <c r="B3165" s="3252"/>
      <c r="C3165" s="2">
        <f>1+C3166</f>
        <v>113</v>
      </c>
      <c r="D3165" s="3">
        <f>1+D3166</f>
        <v>26</v>
      </c>
      <c r="E3165" s="79">
        <v>6</v>
      </c>
      <c r="F3165" s="80" t="s">
        <v>732</v>
      </c>
      <c r="G3165" s="81" t="s">
        <v>757</v>
      </c>
      <c r="H3165" s="82" t="s">
        <v>2369</v>
      </c>
      <c r="I3165" s="81" t="s">
        <v>726</v>
      </c>
      <c r="J3165" s="83" t="s">
        <v>1961</v>
      </c>
      <c r="K3165" s="84" t="s">
        <v>2368</v>
      </c>
      <c r="L3165" s="85">
        <v>40291</v>
      </c>
      <c r="M3165" s="86" t="s">
        <v>729</v>
      </c>
      <c r="N3165" s="87">
        <v>40298</v>
      </c>
      <c r="O3165" s="88">
        <f t="shared" si="723"/>
        <v>40298</v>
      </c>
      <c r="P3165" s="2766"/>
      <c r="Q3165" s="2955"/>
      <c r="R3165" s="89">
        <f>310/(1.19)</f>
        <v>260.50420168067228</v>
      </c>
      <c r="S3165" s="1946" t="s">
        <v>731</v>
      </c>
      <c r="T3165" s="77"/>
      <c r="U3165" s="1893"/>
      <c r="V3165" s="2079">
        <f t="shared" si="716"/>
        <v>0</v>
      </c>
      <c r="W3165" s="78">
        <f t="shared" si="717"/>
        <v>307.39495798319325</v>
      </c>
      <c r="X3165" s="1878" t="str">
        <f t="shared" si="715"/>
        <v xml:space="preserve">6.- C Goodyear 021072003-OT_000355  Reencauche  </v>
      </c>
      <c r="Z3165" s="19" t="str">
        <f t="shared" si="720"/>
        <v>Sacar_BandaReencauchadora Espinoza</v>
      </c>
    </row>
    <row r="3166" spans="2:26" outlineLevel="1">
      <c r="B3166" s="3252"/>
      <c r="C3166" s="2">
        <f>1+C3167</f>
        <v>112</v>
      </c>
      <c r="D3166" s="3">
        <f>1+D3167</f>
        <v>25</v>
      </c>
      <c r="E3166" s="66">
        <v>1</v>
      </c>
      <c r="F3166" s="67" t="s">
        <v>732</v>
      </c>
      <c r="G3166" s="68" t="s">
        <v>757</v>
      </c>
      <c r="H3166" s="69" t="s">
        <v>2082</v>
      </c>
      <c r="I3166" s="217" t="s">
        <v>740</v>
      </c>
      <c r="J3166" s="70" t="s">
        <v>1543</v>
      </c>
      <c r="K3166" s="71" t="s">
        <v>2360</v>
      </c>
      <c r="L3166" s="72">
        <v>40280</v>
      </c>
      <c r="M3166" s="73" t="s">
        <v>729</v>
      </c>
      <c r="N3166" s="74">
        <v>40284</v>
      </c>
      <c r="O3166" s="75">
        <f t="shared" si="723"/>
        <v>40284</v>
      </c>
      <c r="P3166" s="2765"/>
      <c r="Q3166" s="2954"/>
      <c r="R3166" s="76">
        <f>150/(1.19)</f>
        <v>126.05042016806723</v>
      </c>
      <c r="S3166" s="1945" t="s">
        <v>731</v>
      </c>
      <c r="T3166" s="659" t="s">
        <v>2361</v>
      </c>
      <c r="U3166" s="1939"/>
      <c r="V3166" s="2079">
        <f t="shared" si="716"/>
        <v>0</v>
      </c>
      <c r="W3166" s="78">
        <f t="shared" si="717"/>
        <v>148.73949579831933</v>
      </c>
      <c r="X3166" s="1878" t="str">
        <f t="shared" si="715"/>
        <v>1.- C Goodyear 1700920-OT_000338  Transpl Banda   Con banda transplantada</v>
      </c>
      <c r="Z3166" s="19" t="str">
        <f t="shared" si="720"/>
        <v>Sacar_BandaReencauchadora Espinoza</v>
      </c>
    </row>
    <row r="3167" spans="2:26" outlineLevel="1">
      <c r="B3167" s="3252"/>
      <c r="C3167" s="2">
        <f>+C3171+1</f>
        <v>111</v>
      </c>
      <c r="D3167" s="3">
        <f>1+D3171</f>
        <v>24</v>
      </c>
      <c r="E3167" s="660">
        <v>2</v>
      </c>
      <c r="F3167" s="661" t="s">
        <v>732</v>
      </c>
      <c r="G3167" s="68" t="s">
        <v>733</v>
      </c>
      <c r="H3167" s="69" t="s">
        <v>1508</v>
      </c>
      <c r="I3167" s="217" t="s">
        <v>740</v>
      </c>
      <c r="J3167" s="70" t="s">
        <v>1543</v>
      </c>
      <c r="K3167" s="71" t="s">
        <v>2360</v>
      </c>
      <c r="L3167" s="72">
        <v>40280</v>
      </c>
      <c r="M3167" s="73" t="s">
        <v>729</v>
      </c>
      <c r="N3167" s="74">
        <v>40284</v>
      </c>
      <c r="O3167" s="75">
        <f t="shared" si="723"/>
        <v>40284</v>
      </c>
      <c r="P3167" s="2765"/>
      <c r="Q3167" s="2954"/>
      <c r="R3167" s="76">
        <f>150/(1.19)</f>
        <v>126.05042016806723</v>
      </c>
      <c r="S3167" s="1945" t="s">
        <v>731</v>
      </c>
      <c r="T3167" s="659" t="s">
        <v>2322</v>
      </c>
      <c r="U3167" s="1939"/>
      <c r="V3167" s="2079">
        <f t="shared" si="716"/>
        <v>0</v>
      </c>
      <c r="W3167" s="78">
        <f t="shared" si="717"/>
        <v>148.73949579831933</v>
      </c>
      <c r="X3167" s="1878" t="str">
        <f t="shared" si="715"/>
        <v xml:space="preserve">2.- C Lima Caucho 0320508-OT_000338  Transpl Banda   Con banda transplantada </v>
      </c>
      <c r="Z3167" s="19" t="str">
        <f t="shared" si="720"/>
        <v>RECLAMOReencauchadora RENOVA</v>
      </c>
    </row>
    <row r="3168" spans="2:26" outlineLevel="1">
      <c r="B3168" s="3252"/>
      <c r="E3168" s="346">
        <v>3</v>
      </c>
      <c r="F3168" s="67" t="s">
        <v>732</v>
      </c>
      <c r="G3168" s="90" t="s">
        <v>757</v>
      </c>
      <c r="H3168" s="91" t="s">
        <v>2370</v>
      </c>
      <c r="I3168" s="257" t="s">
        <v>744</v>
      </c>
      <c r="J3168" s="92" t="s">
        <v>1543</v>
      </c>
      <c r="K3168" s="243" t="s">
        <v>2364</v>
      </c>
      <c r="L3168" s="244">
        <v>40280</v>
      </c>
      <c r="M3168" s="245" t="s">
        <v>2325</v>
      </c>
      <c r="N3168" s="74">
        <v>40284</v>
      </c>
      <c r="O3168" s="75">
        <f t="shared" si="723"/>
        <v>40284</v>
      </c>
      <c r="P3168" s="2799"/>
      <c r="Q3168" s="2954"/>
      <c r="R3168" s="248">
        <v>0</v>
      </c>
      <c r="S3168" s="1958" t="s">
        <v>731</v>
      </c>
      <c r="T3168" s="652" t="s">
        <v>2371</v>
      </c>
      <c r="U3168" s="1924"/>
      <c r="V3168" s="2079">
        <f t="shared" si="716"/>
        <v>0</v>
      </c>
      <c r="W3168" s="78">
        <f t="shared" si="717"/>
        <v>0</v>
      </c>
      <c r="X3168" s="1878" t="str">
        <f t="shared" si="715"/>
        <v>3.- C Goodyear 0520502-OT_000339  Sacar_Banda   Llanta casco dañado, banda 11Mm, desechada (N,Bobbio  222volada)</v>
      </c>
      <c r="Z3168" s="19" t="str">
        <f t="shared" si="720"/>
        <v>ReencaucheReencauchadora RENOVA</v>
      </c>
    </row>
    <row r="3169" spans="2:26" outlineLevel="1">
      <c r="B3169" s="3252"/>
      <c r="E3169" s="349">
        <v>4</v>
      </c>
      <c r="F3169" s="80" t="s">
        <v>732</v>
      </c>
      <c r="G3169" s="114" t="s">
        <v>831</v>
      </c>
      <c r="H3169" s="115" t="s">
        <v>2372</v>
      </c>
      <c r="I3169" s="262" t="s">
        <v>744</v>
      </c>
      <c r="J3169" s="93" t="s">
        <v>1543</v>
      </c>
      <c r="K3169" s="350" t="s">
        <v>2364</v>
      </c>
      <c r="L3169" s="351">
        <v>40280</v>
      </c>
      <c r="M3169" s="352" t="s">
        <v>2325</v>
      </c>
      <c r="N3169" s="87">
        <v>40284</v>
      </c>
      <c r="O3169" s="88">
        <f t="shared" si="723"/>
        <v>40284</v>
      </c>
      <c r="P3169" s="2806"/>
      <c r="Q3169" s="2955"/>
      <c r="R3169" s="353">
        <v>0</v>
      </c>
      <c r="S3169" s="1966" t="s">
        <v>731</v>
      </c>
      <c r="T3169" s="652" t="s">
        <v>2371</v>
      </c>
      <c r="U3169" s="1924"/>
      <c r="V3169" s="2079">
        <f t="shared" si="716"/>
        <v>0</v>
      </c>
      <c r="W3169" s="78">
        <f t="shared" si="717"/>
        <v>0</v>
      </c>
      <c r="X3169" s="1878" t="str">
        <f t="shared" si="715"/>
        <v>4.- C Kumho 0960404-OT_000339  Sacar_Banda   Llanta casco dañado, banda 11Mm, desechada (N,Bobbio  222volada)</v>
      </c>
      <c r="Z3169" s="19" t="str">
        <f t="shared" ref="Z3169:Z3190" si="724">CONCATENATE(I3172,J3172)</f>
        <v>ReencaucheReencauchadora RENOVA</v>
      </c>
    </row>
    <row r="3170" spans="2:26" outlineLevel="1">
      <c r="B3170" s="3252"/>
      <c r="E3170" s="346">
        <v>1</v>
      </c>
      <c r="F3170" s="123" t="s">
        <v>732</v>
      </c>
      <c r="G3170" s="662" t="s">
        <v>737</v>
      </c>
      <c r="H3170" s="91" t="s">
        <v>1392</v>
      </c>
      <c r="I3170" s="663" t="s">
        <v>816</v>
      </c>
      <c r="J3170" s="97" t="s">
        <v>760</v>
      </c>
      <c r="K3170" s="243" t="s">
        <v>2373</v>
      </c>
      <c r="L3170" s="244">
        <v>40277</v>
      </c>
      <c r="M3170" s="245" t="s">
        <v>729</v>
      </c>
      <c r="N3170" s="74">
        <v>40291</v>
      </c>
      <c r="O3170" s="75">
        <f t="shared" si="723"/>
        <v>40291</v>
      </c>
      <c r="P3170" s="2799"/>
      <c r="Q3170" s="2954">
        <v>0</v>
      </c>
      <c r="R3170" s="664"/>
      <c r="S3170" s="1958" t="s">
        <v>731</v>
      </c>
      <c r="T3170" s="652" t="s">
        <v>0</v>
      </c>
      <c r="U3170" s="1924"/>
      <c r="V3170" s="2079">
        <f t="shared" si="716"/>
        <v>0</v>
      </c>
      <c r="W3170" s="78">
        <f t="shared" si="717"/>
        <v>0</v>
      </c>
      <c r="X3170" s="1878" t="str">
        <f t="shared" ref="X3170:X3233" si="725">CONCATENATE(E3170,".- ",F3170," ",G3170," ",H3170,"-OT_",K3170," "," ",I3170," ",P3170," ",T3170)</f>
        <v>1.- C Vikrant 1330805-OT_130947  RECLAMO  Desprendimiento de junta en banda 10cm aprox</v>
      </c>
      <c r="Z3170" s="19" t="str">
        <f t="shared" si="724"/>
        <v>ReencaucheReencauchadora RENOVA</v>
      </c>
    </row>
    <row r="3171" spans="2:26" outlineLevel="1">
      <c r="B3171" s="3252"/>
      <c r="C3171" s="2">
        <f t="shared" ref="C3171:C3192" si="726">1+C3172</f>
        <v>110</v>
      </c>
      <c r="D3171" s="3">
        <f t="shared" ref="D3171:D3192" si="727">1+D3172</f>
        <v>23</v>
      </c>
      <c r="E3171" s="66">
        <v>1</v>
      </c>
      <c r="F3171" s="123" t="s">
        <v>732</v>
      </c>
      <c r="G3171" s="599" t="s">
        <v>733</v>
      </c>
      <c r="H3171" s="69" t="s">
        <v>818</v>
      </c>
      <c r="I3171" s="299" t="s">
        <v>726</v>
      </c>
      <c r="J3171" s="301" t="s">
        <v>760</v>
      </c>
      <c r="K3171" s="71" t="s">
        <v>1</v>
      </c>
      <c r="L3171" s="72">
        <v>40277</v>
      </c>
      <c r="M3171" s="73" t="s">
        <v>729</v>
      </c>
      <c r="N3171" s="74">
        <v>40291</v>
      </c>
      <c r="O3171" s="75">
        <f t="shared" si="723"/>
        <v>40291</v>
      </c>
      <c r="P3171" s="2765"/>
      <c r="Q3171" s="2954">
        <v>94.63</v>
      </c>
      <c r="R3171" s="76"/>
      <c r="S3171" s="1945" t="s">
        <v>731</v>
      </c>
      <c r="T3171" s="77"/>
      <c r="U3171" s="1893"/>
      <c r="V3171" s="2079">
        <f t="shared" ref="V3171:V3234" si="728">+Q3171*(1.18)</f>
        <v>111.6634</v>
      </c>
      <c r="W3171" s="78">
        <f t="shared" ref="W3171:W3234" si="729">+R3171*(1.18)</f>
        <v>0</v>
      </c>
      <c r="X3171" s="1878" t="str">
        <f t="shared" si="725"/>
        <v xml:space="preserve">1.- C Lima Caucho 0590708-OT_130943  Reencauche  </v>
      </c>
      <c r="Z3171" s="19" t="str">
        <f t="shared" si="724"/>
        <v>ReencaucheReencauchadora RENOVA</v>
      </c>
    </row>
    <row r="3172" spans="2:26" outlineLevel="1">
      <c r="B3172" s="3252"/>
      <c r="C3172" s="2">
        <f t="shared" si="726"/>
        <v>109</v>
      </c>
      <c r="D3172" s="3">
        <f t="shared" si="727"/>
        <v>22</v>
      </c>
      <c r="E3172" s="66">
        <v>2</v>
      </c>
      <c r="F3172" s="123" t="s">
        <v>732</v>
      </c>
      <c r="G3172" s="599" t="s">
        <v>733</v>
      </c>
      <c r="H3172" s="69" t="s">
        <v>1945</v>
      </c>
      <c r="I3172" s="299" t="s">
        <v>726</v>
      </c>
      <c r="J3172" s="301" t="s">
        <v>760</v>
      </c>
      <c r="K3172" s="71" t="s">
        <v>1</v>
      </c>
      <c r="L3172" s="72">
        <v>40277</v>
      </c>
      <c r="M3172" s="73" t="s">
        <v>729</v>
      </c>
      <c r="N3172" s="74">
        <v>40291</v>
      </c>
      <c r="O3172" s="75">
        <f t="shared" ref="O3172:O3193" si="730">+N3172</f>
        <v>40291</v>
      </c>
      <c r="P3172" s="2765"/>
      <c r="Q3172" s="2954">
        <v>94.63</v>
      </c>
      <c r="R3172" s="76"/>
      <c r="S3172" s="1945" t="s">
        <v>731</v>
      </c>
      <c r="T3172" s="77"/>
      <c r="U3172" s="1893"/>
      <c r="V3172" s="2079">
        <f t="shared" si="728"/>
        <v>111.6634</v>
      </c>
      <c r="W3172" s="78">
        <f t="shared" si="729"/>
        <v>0</v>
      </c>
      <c r="X3172" s="1878" t="str">
        <f t="shared" si="725"/>
        <v xml:space="preserve">2.- C Lima Caucho 1291207-OT_130943  Reencauche  </v>
      </c>
      <c r="Z3172" s="19" t="str">
        <f t="shared" si="724"/>
        <v>ReencaucheReencauchadora RENOVA</v>
      </c>
    </row>
    <row r="3173" spans="2:26" outlineLevel="1">
      <c r="B3173" s="3252"/>
      <c r="C3173" s="2">
        <f t="shared" si="726"/>
        <v>108</v>
      </c>
      <c r="D3173" s="3">
        <f t="shared" si="727"/>
        <v>21</v>
      </c>
      <c r="E3173" s="66">
        <v>3</v>
      </c>
      <c r="F3173" s="123" t="s">
        <v>732</v>
      </c>
      <c r="G3173" s="599" t="s">
        <v>733</v>
      </c>
      <c r="H3173" s="69" t="s">
        <v>2</v>
      </c>
      <c r="I3173" s="299" t="s">
        <v>726</v>
      </c>
      <c r="J3173" s="301" t="s">
        <v>760</v>
      </c>
      <c r="K3173" s="71" t="s">
        <v>3</v>
      </c>
      <c r="L3173" s="72">
        <v>40277</v>
      </c>
      <c r="M3173" s="73" t="s">
        <v>729</v>
      </c>
      <c r="N3173" s="74">
        <v>40291</v>
      </c>
      <c r="O3173" s="75">
        <f t="shared" si="730"/>
        <v>40291</v>
      </c>
      <c r="P3173" s="2765"/>
      <c r="Q3173" s="2954">
        <v>94.63</v>
      </c>
      <c r="R3173" s="76"/>
      <c r="S3173" s="1945" t="s">
        <v>731</v>
      </c>
      <c r="T3173" s="77"/>
      <c r="U3173" s="1893"/>
      <c r="V3173" s="2079">
        <f t="shared" si="728"/>
        <v>111.6634</v>
      </c>
      <c r="W3173" s="78">
        <f t="shared" si="729"/>
        <v>0</v>
      </c>
      <c r="X3173" s="1878" t="str">
        <f t="shared" si="725"/>
        <v xml:space="preserve">3.- C Lima Caucho 0430707-OT_130945  Reencauche  </v>
      </c>
      <c r="Z3173" s="19" t="str">
        <f t="shared" si="724"/>
        <v>ReencaucheReencauchadora RENOVA</v>
      </c>
    </row>
    <row r="3174" spans="2:26" outlineLevel="1">
      <c r="B3174" s="3252"/>
      <c r="C3174" s="2">
        <f t="shared" si="726"/>
        <v>107</v>
      </c>
      <c r="D3174" s="3">
        <f t="shared" si="727"/>
        <v>20</v>
      </c>
      <c r="E3174" s="665">
        <v>4</v>
      </c>
      <c r="F3174" s="666" t="s">
        <v>732</v>
      </c>
      <c r="G3174" s="600" t="s">
        <v>737</v>
      </c>
      <c r="H3174" s="82" t="s">
        <v>1756</v>
      </c>
      <c r="I3174" s="603" t="s">
        <v>726</v>
      </c>
      <c r="J3174" s="605" t="s">
        <v>760</v>
      </c>
      <c r="K3174" s="84" t="s">
        <v>3</v>
      </c>
      <c r="L3174" s="85">
        <v>40277</v>
      </c>
      <c r="M3174" s="86" t="s">
        <v>729</v>
      </c>
      <c r="N3174" s="87">
        <v>40291</v>
      </c>
      <c r="O3174" s="88">
        <f t="shared" si="730"/>
        <v>40291</v>
      </c>
      <c r="P3174" s="2766"/>
      <c r="Q3174" s="2955">
        <v>94.63</v>
      </c>
      <c r="R3174" s="353"/>
      <c r="S3174" s="1946" t="s">
        <v>731</v>
      </c>
      <c r="T3174" s="77"/>
      <c r="U3174" s="1893"/>
      <c r="V3174" s="2079">
        <f t="shared" si="728"/>
        <v>111.6634</v>
      </c>
      <c r="W3174" s="78">
        <f t="shared" si="729"/>
        <v>0</v>
      </c>
      <c r="X3174" s="1878" t="str">
        <f t="shared" si="725"/>
        <v xml:space="preserve">4.- C Vikrant 1190805-OT_130945  Reencauche  </v>
      </c>
      <c r="Z3174" s="19" t="str">
        <f t="shared" si="724"/>
        <v>ReencaucheReencauchadora RENOVA</v>
      </c>
    </row>
    <row r="3175" spans="2:26" outlineLevel="1">
      <c r="B3175" s="3252"/>
      <c r="C3175" s="2">
        <f t="shared" si="726"/>
        <v>106</v>
      </c>
      <c r="D3175" s="3">
        <f t="shared" si="727"/>
        <v>19</v>
      </c>
      <c r="E3175" s="66">
        <v>1</v>
      </c>
      <c r="F3175" s="123" t="s">
        <v>732</v>
      </c>
      <c r="G3175" s="599" t="s">
        <v>733</v>
      </c>
      <c r="H3175" s="69" t="s">
        <v>1083</v>
      </c>
      <c r="I3175" s="299" t="s">
        <v>726</v>
      </c>
      <c r="J3175" s="301" t="s">
        <v>760</v>
      </c>
      <c r="K3175" s="71" t="s">
        <v>1</v>
      </c>
      <c r="L3175" s="72">
        <v>40277</v>
      </c>
      <c r="M3175" s="73" t="s">
        <v>729</v>
      </c>
      <c r="N3175" s="74">
        <v>40283</v>
      </c>
      <c r="O3175" s="75">
        <f t="shared" si="730"/>
        <v>40283</v>
      </c>
      <c r="P3175" s="2765"/>
      <c r="Q3175" s="2954">
        <v>94.63</v>
      </c>
      <c r="R3175" s="76"/>
      <c r="S3175" s="1945" t="s">
        <v>731</v>
      </c>
      <c r="T3175" s="77"/>
      <c r="U3175" s="1893"/>
      <c r="V3175" s="2079">
        <f t="shared" si="728"/>
        <v>111.6634</v>
      </c>
      <c r="W3175" s="78">
        <f t="shared" si="729"/>
        <v>0</v>
      </c>
      <c r="X3175" s="1878" t="str">
        <f t="shared" si="725"/>
        <v xml:space="preserve">1.- C Lima Caucho 1271207-OT_130943  Reencauche  </v>
      </c>
      <c r="Z3175" s="19" t="str">
        <f t="shared" si="724"/>
        <v>ReencaucheReencauchadora RENOVA</v>
      </c>
    </row>
    <row r="3176" spans="2:26" outlineLevel="1">
      <c r="B3176" s="3252"/>
      <c r="C3176" s="2">
        <f t="shared" si="726"/>
        <v>105</v>
      </c>
      <c r="D3176" s="3">
        <f t="shared" si="727"/>
        <v>18</v>
      </c>
      <c r="E3176" s="66">
        <v>2</v>
      </c>
      <c r="F3176" s="123" t="s">
        <v>732</v>
      </c>
      <c r="G3176" s="599" t="s">
        <v>733</v>
      </c>
      <c r="H3176" s="69" t="s">
        <v>851</v>
      </c>
      <c r="I3176" s="299" t="s">
        <v>726</v>
      </c>
      <c r="J3176" s="301" t="s">
        <v>760</v>
      </c>
      <c r="K3176" s="71" t="s">
        <v>1</v>
      </c>
      <c r="L3176" s="72">
        <v>40277</v>
      </c>
      <c r="M3176" s="73" t="s">
        <v>729</v>
      </c>
      <c r="N3176" s="74">
        <v>40283</v>
      </c>
      <c r="O3176" s="75">
        <f t="shared" si="730"/>
        <v>40283</v>
      </c>
      <c r="P3176" s="2765"/>
      <c r="Q3176" s="2954">
        <v>94.63</v>
      </c>
      <c r="R3176" s="76"/>
      <c r="S3176" s="1945" t="s">
        <v>731</v>
      </c>
      <c r="T3176" s="77"/>
      <c r="U3176" s="1893"/>
      <c r="V3176" s="2079">
        <f t="shared" si="728"/>
        <v>111.6634</v>
      </c>
      <c r="W3176" s="78">
        <f t="shared" si="729"/>
        <v>0</v>
      </c>
      <c r="X3176" s="1878" t="str">
        <f t="shared" si="725"/>
        <v xml:space="preserve">2.- C Lima Caucho 1211207-OT_130943  Reencauche  </v>
      </c>
      <c r="Z3176" s="19" t="str">
        <f t="shared" si="724"/>
        <v>ReencaucheReencauchadora RENOVA</v>
      </c>
    </row>
    <row r="3177" spans="2:26" outlineLevel="1">
      <c r="B3177" s="3252"/>
      <c r="C3177" s="2">
        <f t="shared" si="726"/>
        <v>104</v>
      </c>
      <c r="D3177" s="3">
        <f t="shared" si="727"/>
        <v>17</v>
      </c>
      <c r="E3177" s="66">
        <v>3</v>
      </c>
      <c r="F3177" s="123" t="s">
        <v>732</v>
      </c>
      <c r="G3177" s="599" t="s">
        <v>733</v>
      </c>
      <c r="H3177" s="69" t="s">
        <v>1733</v>
      </c>
      <c r="I3177" s="299" t="s">
        <v>726</v>
      </c>
      <c r="J3177" s="301" t="s">
        <v>760</v>
      </c>
      <c r="K3177" s="71" t="s">
        <v>1</v>
      </c>
      <c r="L3177" s="72">
        <v>40277</v>
      </c>
      <c r="M3177" s="73" t="s">
        <v>729</v>
      </c>
      <c r="N3177" s="74">
        <v>40283</v>
      </c>
      <c r="O3177" s="75">
        <f t="shared" si="730"/>
        <v>40283</v>
      </c>
      <c r="P3177" s="2765"/>
      <c r="Q3177" s="2954">
        <v>94.63</v>
      </c>
      <c r="R3177" s="76"/>
      <c r="S3177" s="1945" t="s">
        <v>731</v>
      </c>
      <c r="T3177" s="77"/>
      <c r="U3177" s="1893"/>
      <c r="V3177" s="2079">
        <f t="shared" si="728"/>
        <v>111.6634</v>
      </c>
      <c r="W3177" s="78">
        <f t="shared" si="729"/>
        <v>0</v>
      </c>
      <c r="X3177" s="1878" t="str">
        <f t="shared" si="725"/>
        <v xml:space="preserve">3.- C Lima Caucho 1101208-OT_130943  Reencauche  </v>
      </c>
      <c r="Z3177" s="19" t="str">
        <f t="shared" si="724"/>
        <v>ReencaucheReencauchadora RENOVA</v>
      </c>
    </row>
    <row r="3178" spans="2:26" outlineLevel="1">
      <c r="B3178" s="3252"/>
      <c r="C3178" s="2">
        <f t="shared" si="726"/>
        <v>103</v>
      </c>
      <c r="D3178" s="3">
        <f t="shared" si="727"/>
        <v>16</v>
      </c>
      <c r="E3178" s="66">
        <v>4</v>
      </c>
      <c r="F3178" s="123" t="s">
        <v>732</v>
      </c>
      <c r="G3178" s="599" t="s">
        <v>733</v>
      </c>
      <c r="H3178" s="69" t="s">
        <v>1886</v>
      </c>
      <c r="I3178" s="299" t="s">
        <v>726</v>
      </c>
      <c r="J3178" s="301" t="s">
        <v>760</v>
      </c>
      <c r="K3178" s="71" t="s">
        <v>1</v>
      </c>
      <c r="L3178" s="72">
        <v>40277</v>
      </c>
      <c r="M3178" s="73" t="s">
        <v>729</v>
      </c>
      <c r="N3178" s="74">
        <v>40283</v>
      </c>
      <c r="O3178" s="75">
        <f t="shared" si="730"/>
        <v>40283</v>
      </c>
      <c r="P3178" s="2765"/>
      <c r="Q3178" s="2954">
        <v>94.63</v>
      </c>
      <c r="R3178" s="76"/>
      <c r="S3178" s="1945" t="s">
        <v>731</v>
      </c>
      <c r="T3178" s="77"/>
      <c r="U3178" s="1893"/>
      <c r="V3178" s="2079">
        <f t="shared" si="728"/>
        <v>111.6634</v>
      </c>
      <c r="W3178" s="78">
        <f t="shared" si="729"/>
        <v>0</v>
      </c>
      <c r="X3178" s="1878" t="str">
        <f t="shared" si="725"/>
        <v xml:space="preserve">4.- C Lima Caucho 1501207-OT_130943  Reencauche  </v>
      </c>
      <c r="Z3178" s="19" t="str">
        <f t="shared" si="724"/>
        <v>ReencaucheReencauchadora RENOVA</v>
      </c>
    </row>
    <row r="3179" spans="2:26" outlineLevel="1">
      <c r="B3179" s="3252"/>
      <c r="C3179" s="2">
        <f t="shared" si="726"/>
        <v>102</v>
      </c>
      <c r="D3179" s="3">
        <f t="shared" si="727"/>
        <v>15</v>
      </c>
      <c r="E3179" s="66">
        <v>5</v>
      </c>
      <c r="F3179" s="123" t="s">
        <v>732</v>
      </c>
      <c r="G3179" s="599" t="s">
        <v>733</v>
      </c>
      <c r="H3179" s="69" t="s">
        <v>4</v>
      </c>
      <c r="I3179" s="299" t="s">
        <v>726</v>
      </c>
      <c r="J3179" s="301" t="s">
        <v>760</v>
      </c>
      <c r="K3179" s="71" t="s">
        <v>1</v>
      </c>
      <c r="L3179" s="72">
        <v>40277</v>
      </c>
      <c r="M3179" s="73" t="s">
        <v>729</v>
      </c>
      <c r="N3179" s="74">
        <v>40283</v>
      </c>
      <c r="O3179" s="75">
        <f t="shared" si="730"/>
        <v>40283</v>
      </c>
      <c r="P3179" s="2765"/>
      <c r="Q3179" s="2954">
        <v>94.63</v>
      </c>
      <c r="R3179" s="76"/>
      <c r="S3179" s="1945" t="s">
        <v>731</v>
      </c>
      <c r="T3179" s="77"/>
      <c r="U3179" s="1893"/>
      <c r="V3179" s="2079">
        <f t="shared" si="728"/>
        <v>111.6634</v>
      </c>
      <c r="W3179" s="78">
        <f t="shared" si="729"/>
        <v>0</v>
      </c>
      <c r="X3179" s="1878" t="str">
        <f t="shared" si="725"/>
        <v xml:space="preserve">5.- C Lima Caucho 1521207-OT_130943  Reencauche  </v>
      </c>
      <c r="Z3179" s="19" t="str">
        <f t="shared" si="724"/>
        <v>ReencaucheReencauchadora RENOVA</v>
      </c>
    </row>
    <row r="3180" spans="2:26" outlineLevel="1">
      <c r="B3180" s="3252"/>
      <c r="C3180" s="2">
        <f t="shared" si="726"/>
        <v>101</v>
      </c>
      <c r="D3180" s="3">
        <f t="shared" si="727"/>
        <v>14</v>
      </c>
      <c r="E3180" s="66">
        <v>6</v>
      </c>
      <c r="F3180" s="123" t="s">
        <v>732</v>
      </c>
      <c r="G3180" s="599" t="s">
        <v>733</v>
      </c>
      <c r="H3180" s="69" t="s">
        <v>952</v>
      </c>
      <c r="I3180" s="299" t="s">
        <v>726</v>
      </c>
      <c r="J3180" s="301" t="s">
        <v>760</v>
      </c>
      <c r="K3180" s="71" t="s">
        <v>1</v>
      </c>
      <c r="L3180" s="72">
        <v>40277</v>
      </c>
      <c r="M3180" s="73" t="s">
        <v>729</v>
      </c>
      <c r="N3180" s="74">
        <v>40283</v>
      </c>
      <c r="O3180" s="75">
        <f t="shared" si="730"/>
        <v>40283</v>
      </c>
      <c r="P3180" s="2765"/>
      <c r="Q3180" s="2954">
        <v>94.63</v>
      </c>
      <c r="R3180" s="76"/>
      <c r="S3180" s="1945" t="s">
        <v>731</v>
      </c>
      <c r="T3180" s="77"/>
      <c r="U3180" s="1893"/>
      <c r="V3180" s="2079">
        <f t="shared" si="728"/>
        <v>111.6634</v>
      </c>
      <c r="W3180" s="78">
        <f t="shared" si="729"/>
        <v>0</v>
      </c>
      <c r="X3180" s="1878" t="str">
        <f t="shared" si="725"/>
        <v xml:space="preserve">6.- C Lima Caucho 1511207-OT_130943  Reencauche  </v>
      </c>
      <c r="Z3180" s="19" t="str">
        <f t="shared" si="724"/>
        <v>ReencaucheReencauchadora RENOVA</v>
      </c>
    </row>
    <row r="3181" spans="2:26" outlineLevel="1">
      <c r="B3181" s="3252"/>
      <c r="C3181" s="2">
        <f t="shared" si="726"/>
        <v>100</v>
      </c>
      <c r="D3181" s="3">
        <f t="shared" si="727"/>
        <v>13</v>
      </c>
      <c r="E3181" s="66">
        <v>7</v>
      </c>
      <c r="F3181" s="123" t="s">
        <v>732</v>
      </c>
      <c r="G3181" s="599" t="s">
        <v>733</v>
      </c>
      <c r="H3181" s="69" t="s">
        <v>1418</v>
      </c>
      <c r="I3181" s="299" t="s">
        <v>726</v>
      </c>
      <c r="J3181" s="301" t="s">
        <v>760</v>
      </c>
      <c r="K3181" s="71" t="s">
        <v>1</v>
      </c>
      <c r="L3181" s="72">
        <v>40277</v>
      </c>
      <c r="M3181" s="73" t="s">
        <v>729</v>
      </c>
      <c r="N3181" s="74">
        <v>40283</v>
      </c>
      <c r="O3181" s="75">
        <f t="shared" si="730"/>
        <v>40283</v>
      </c>
      <c r="P3181" s="2765"/>
      <c r="Q3181" s="2954">
        <v>94.63</v>
      </c>
      <c r="R3181" s="76"/>
      <c r="S3181" s="1945" t="s">
        <v>731</v>
      </c>
      <c r="T3181" s="77"/>
      <c r="U3181" s="1893"/>
      <c r="V3181" s="2079">
        <f t="shared" si="728"/>
        <v>111.6634</v>
      </c>
      <c r="W3181" s="78">
        <f t="shared" si="729"/>
        <v>0</v>
      </c>
      <c r="X3181" s="1878" t="str">
        <f t="shared" si="725"/>
        <v xml:space="preserve">7.- C Lima Caucho 0570807-OT_130943  Reencauche  </v>
      </c>
      <c r="Z3181" s="19" t="str">
        <f t="shared" si="724"/>
        <v>ReencaucheReencauchadora RENOVA</v>
      </c>
    </row>
    <row r="3182" spans="2:26" outlineLevel="1">
      <c r="B3182" s="3252"/>
      <c r="C3182" s="2">
        <f t="shared" si="726"/>
        <v>99</v>
      </c>
      <c r="D3182" s="3">
        <f t="shared" si="727"/>
        <v>12</v>
      </c>
      <c r="E3182" s="66">
        <v>8</v>
      </c>
      <c r="F3182" s="123" t="s">
        <v>732</v>
      </c>
      <c r="G3182" s="599" t="s">
        <v>733</v>
      </c>
      <c r="H3182" s="69" t="s">
        <v>2166</v>
      </c>
      <c r="I3182" s="299" t="s">
        <v>726</v>
      </c>
      <c r="J3182" s="301" t="s">
        <v>760</v>
      </c>
      <c r="K3182" s="71" t="s">
        <v>1</v>
      </c>
      <c r="L3182" s="72">
        <v>40277</v>
      </c>
      <c r="M3182" s="73" t="s">
        <v>729</v>
      </c>
      <c r="N3182" s="74">
        <v>40283</v>
      </c>
      <c r="O3182" s="75">
        <f t="shared" si="730"/>
        <v>40283</v>
      </c>
      <c r="P3182" s="2765"/>
      <c r="Q3182" s="2954">
        <v>94.63</v>
      </c>
      <c r="R3182" s="76"/>
      <c r="S3182" s="1945" t="s">
        <v>731</v>
      </c>
      <c r="T3182" s="77"/>
      <c r="U3182" s="1893"/>
      <c r="V3182" s="2079">
        <f t="shared" si="728"/>
        <v>111.6634</v>
      </c>
      <c r="W3182" s="78">
        <f t="shared" si="729"/>
        <v>0</v>
      </c>
      <c r="X3182" s="1878" t="str">
        <f t="shared" si="725"/>
        <v xml:space="preserve">8.- C Lima Caucho 0600807-OT_130943  Reencauche  </v>
      </c>
      <c r="Z3182" s="19" t="str">
        <f t="shared" si="724"/>
        <v>ReencaucheReencauchadora RENOVA</v>
      </c>
    </row>
    <row r="3183" spans="2:26" outlineLevel="1">
      <c r="B3183" s="3252"/>
      <c r="C3183" s="2">
        <f t="shared" si="726"/>
        <v>98</v>
      </c>
      <c r="D3183" s="3">
        <f t="shared" si="727"/>
        <v>11</v>
      </c>
      <c r="E3183" s="66">
        <v>9</v>
      </c>
      <c r="F3183" s="123" t="s">
        <v>732</v>
      </c>
      <c r="G3183" s="599" t="s">
        <v>733</v>
      </c>
      <c r="H3183" s="69" t="s">
        <v>17</v>
      </c>
      <c r="I3183" s="299" t="s">
        <v>726</v>
      </c>
      <c r="J3183" s="301" t="s">
        <v>760</v>
      </c>
      <c r="K3183" s="71" t="s">
        <v>3</v>
      </c>
      <c r="L3183" s="72">
        <v>40277</v>
      </c>
      <c r="M3183" s="73" t="s">
        <v>729</v>
      </c>
      <c r="N3183" s="74">
        <v>40283</v>
      </c>
      <c r="O3183" s="75">
        <f t="shared" si="730"/>
        <v>40283</v>
      </c>
      <c r="P3183" s="2765"/>
      <c r="Q3183" s="2954">
        <v>94.63</v>
      </c>
      <c r="R3183" s="76"/>
      <c r="S3183" s="1945" t="s">
        <v>731</v>
      </c>
      <c r="T3183" s="77"/>
      <c r="U3183" s="1893"/>
      <c r="V3183" s="2079">
        <f t="shared" si="728"/>
        <v>111.6634</v>
      </c>
      <c r="W3183" s="78">
        <f t="shared" si="729"/>
        <v>0</v>
      </c>
      <c r="X3183" s="1878" t="str">
        <f t="shared" si="725"/>
        <v xml:space="preserve">9.- C Lima Caucho 0130207-OT_130945  Reencauche  </v>
      </c>
      <c r="Z3183" s="19" t="str">
        <f t="shared" si="724"/>
        <v>ReencaucheReencauchadora RENOVA</v>
      </c>
    </row>
    <row r="3184" spans="2:26" outlineLevel="1">
      <c r="B3184" s="3252"/>
      <c r="C3184" s="2">
        <f t="shared" si="726"/>
        <v>97</v>
      </c>
      <c r="D3184" s="3">
        <f t="shared" si="727"/>
        <v>10</v>
      </c>
      <c r="E3184" s="66">
        <v>10</v>
      </c>
      <c r="F3184" s="123" t="s">
        <v>732</v>
      </c>
      <c r="G3184" s="599" t="s">
        <v>733</v>
      </c>
      <c r="H3184" s="69" t="s">
        <v>1484</v>
      </c>
      <c r="I3184" s="299" t="s">
        <v>726</v>
      </c>
      <c r="J3184" s="301" t="s">
        <v>760</v>
      </c>
      <c r="K3184" s="71" t="s">
        <v>3</v>
      </c>
      <c r="L3184" s="72">
        <v>40277</v>
      </c>
      <c r="M3184" s="73" t="s">
        <v>729</v>
      </c>
      <c r="N3184" s="74">
        <v>40283</v>
      </c>
      <c r="O3184" s="75">
        <f t="shared" si="730"/>
        <v>40283</v>
      </c>
      <c r="P3184" s="2765"/>
      <c r="Q3184" s="2954">
        <v>94.63</v>
      </c>
      <c r="R3184" s="76"/>
      <c r="S3184" s="1945" t="s">
        <v>731</v>
      </c>
      <c r="T3184" s="77"/>
      <c r="U3184" s="1893"/>
      <c r="V3184" s="2079">
        <f t="shared" si="728"/>
        <v>111.6634</v>
      </c>
      <c r="W3184" s="78">
        <f t="shared" si="729"/>
        <v>0</v>
      </c>
      <c r="X3184" s="1878" t="str">
        <f t="shared" si="725"/>
        <v xml:space="preserve">10.- C Lima Caucho 1261207-OT_130945  Reencauche  </v>
      </c>
      <c r="Z3184" s="19" t="str">
        <f t="shared" si="724"/>
        <v>ReencaucheReencauchadora RENOVA</v>
      </c>
    </row>
    <row r="3185" spans="2:26" outlineLevel="1">
      <c r="B3185" s="3252"/>
      <c r="C3185" s="2">
        <f t="shared" si="726"/>
        <v>96</v>
      </c>
      <c r="D3185" s="3">
        <f t="shared" si="727"/>
        <v>9</v>
      </c>
      <c r="E3185" s="66">
        <v>11</v>
      </c>
      <c r="F3185" s="123" t="s">
        <v>732</v>
      </c>
      <c r="G3185" s="599" t="s">
        <v>814</v>
      </c>
      <c r="H3185" s="69" t="s">
        <v>1480</v>
      </c>
      <c r="I3185" s="299" t="s">
        <v>726</v>
      </c>
      <c r="J3185" s="301" t="s">
        <v>760</v>
      </c>
      <c r="K3185" s="71" t="s">
        <v>3</v>
      </c>
      <c r="L3185" s="72">
        <v>40277</v>
      </c>
      <c r="M3185" s="73" t="s">
        <v>729</v>
      </c>
      <c r="N3185" s="74">
        <v>40283</v>
      </c>
      <c r="O3185" s="75">
        <f t="shared" si="730"/>
        <v>40283</v>
      </c>
      <c r="P3185" s="2765"/>
      <c r="Q3185" s="2954">
        <v>94.63</v>
      </c>
      <c r="R3185" s="76"/>
      <c r="S3185" s="1945" t="s">
        <v>731</v>
      </c>
      <c r="T3185" s="77"/>
      <c r="U3185" s="1893"/>
      <c r="V3185" s="2079">
        <f t="shared" si="728"/>
        <v>111.6634</v>
      </c>
      <c r="W3185" s="78">
        <f t="shared" si="729"/>
        <v>0</v>
      </c>
      <c r="X3185" s="1878" t="str">
        <f t="shared" si="725"/>
        <v xml:space="preserve">11.- C Birla 0510706-OT_130945  Reencauche  </v>
      </c>
      <c r="Z3185" s="19" t="str">
        <f t="shared" si="724"/>
        <v>ReencaucheReencauchadora RENOVA</v>
      </c>
    </row>
    <row r="3186" spans="2:26" outlineLevel="1">
      <c r="B3186" s="3252"/>
      <c r="C3186" s="2">
        <f t="shared" si="726"/>
        <v>95</v>
      </c>
      <c r="D3186" s="3">
        <f t="shared" si="727"/>
        <v>8</v>
      </c>
      <c r="E3186" s="66">
        <v>12</v>
      </c>
      <c r="F3186" s="123" t="s">
        <v>732</v>
      </c>
      <c r="G3186" s="599" t="s">
        <v>814</v>
      </c>
      <c r="H3186" s="69" t="s">
        <v>815</v>
      </c>
      <c r="I3186" s="299" t="s">
        <v>726</v>
      </c>
      <c r="J3186" s="301" t="s">
        <v>760</v>
      </c>
      <c r="K3186" s="71" t="s">
        <v>3</v>
      </c>
      <c r="L3186" s="72">
        <v>40277</v>
      </c>
      <c r="M3186" s="73" t="s">
        <v>729</v>
      </c>
      <c r="N3186" s="74">
        <v>40283</v>
      </c>
      <c r="O3186" s="75">
        <f t="shared" si="730"/>
        <v>40283</v>
      </c>
      <c r="P3186" s="2765"/>
      <c r="Q3186" s="2954">
        <v>94.63</v>
      </c>
      <c r="R3186" s="76"/>
      <c r="S3186" s="1945" t="s">
        <v>731</v>
      </c>
      <c r="T3186" s="77"/>
      <c r="U3186" s="1893"/>
      <c r="V3186" s="2079">
        <f t="shared" si="728"/>
        <v>111.6634</v>
      </c>
      <c r="W3186" s="78">
        <f t="shared" si="729"/>
        <v>0</v>
      </c>
      <c r="X3186" s="1878" t="str">
        <f t="shared" si="725"/>
        <v xml:space="preserve">12.- C Birla 0570806-OT_130945  Reencauche  </v>
      </c>
      <c r="Z3186" s="19" t="str">
        <f t="shared" si="724"/>
        <v>ReencaucheReencauchadora RENOVA</v>
      </c>
    </row>
    <row r="3187" spans="2:26" outlineLevel="1">
      <c r="B3187" s="3252"/>
      <c r="C3187" s="2">
        <f t="shared" si="726"/>
        <v>94</v>
      </c>
      <c r="D3187" s="3">
        <f t="shared" si="727"/>
        <v>7</v>
      </c>
      <c r="E3187" s="66">
        <v>13</v>
      </c>
      <c r="F3187" s="123" t="s">
        <v>732</v>
      </c>
      <c r="G3187" s="599" t="s">
        <v>737</v>
      </c>
      <c r="H3187" s="69" t="s">
        <v>1424</v>
      </c>
      <c r="I3187" s="299" t="s">
        <v>726</v>
      </c>
      <c r="J3187" s="301" t="s">
        <v>760</v>
      </c>
      <c r="K3187" s="71" t="s">
        <v>3</v>
      </c>
      <c r="L3187" s="72">
        <v>40277</v>
      </c>
      <c r="M3187" s="73" t="s">
        <v>729</v>
      </c>
      <c r="N3187" s="74">
        <v>40283</v>
      </c>
      <c r="O3187" s="75">
        <f t="shared" si="730"/>
        <v>40283</v>
      </c>
      <c r="P3187" s="2765"/>
      <c r="Q3187" s="2954">
        <v>94.63</v>
      </c>
      <c r="R3187" s="76"/>
      <c r="S3187" s="1945" t="s">
        <v>731</v>
      </c>
      <c r="T3187" s="77"/>
      <c r="U3187" s="1893"/>
      <c r="V3187" s="2079">
        <f t="shared" si="728"/>
        <v>111.6634</v>
      </c>
      <c r="W3187" s="78">
        <f t="shared" si="729"/>
        <v>0</v>
      </c>
      <c r="X3187" s="1878" t="str">
        <f t="shared" si="725"/>
        <v xml:space="preserve">13.- C Vikrant 0720505-OT_130945  Reencauche  </v>
      </c>
      <c r="Z3187" s="19" t="str">
        <f t="shared" si="724"/>
        <v>ReencaucheReencauchadora RENOVA</v>
      </c>
    </row>
    <row r="3188" spans="2:26" outlineLevel="1">
      <c r="B3188" s="3252"/>
      <c r="C3188" s="2">
        <f t="shared" si="726"/>
        <v>93</v>
      </c>
      <c r="D3188" s="3">
        <f t="shared" si="727"/>
        <v>6</v>
      </c>
      <c r="E3188" s="66">
        <v>14</v>
      </c>
      <c r="F3188" s="123" t="s">
        <v>732</v>
      </c>
      <c r="G3188" s="599" t="s">
        <v>737</v>
      </c>
      <c r="H3188" s="69" t="s">
        <v>18</v>
      </c>
      <c r="I3188" s="299" t="s">
        <v>726</v>
      </c>
      <c r="J3188" s="301" t="s">
        <v>760</v>
      </c>
      <c r="K3188" s="71" t="s">
        <v>3</v>
      </c>
      <c r="L3188" s="72">
        <v>40277</v>
      </c>
      <c r="M3188" s="73" t="s">
        <v>19</v>
      </c>
      <c r="N3188" s="74">
        <v>40283</v>
      </c>
      <c r="O3188" s="75">
        <f t="shared" si="730"/>
        <v>40283</v>
      </c>
      <c r="P3188" s="2765"/>
      <c r="Q3188" s="2954">
        <v>94.63</v>
      </c>
      <c r="R3188" s="76"/>
      <c r="S3188" s="1945" t="s">
        <v>731</v>
      </c>
      <c r="T3188" s="77"/>
      <c r="U3188" s="1893"/>
      <c r="V3188" s="2079">
        <f t="shared" si="728"/>
        <v>111.6634</v>
      </c>
      <c r="W3188" s="78">
        <f t="shared" si="729"/>
        <v>0</v>
      </c>
      <c r="X3188" s="1878" t="str">
        <f t="shared" si="725"/>
        <v xml:space="preserve">14.- C Vikrant 1360805-OT_130945  Reencauche  </v>
      </c>
      <c r="Z3188" s="19" t="str">
        <f t="shared" si="724"/>
        <v>ReencaucheReencauchadora RENOVA</v>
      </c>
    </row>
    <row r="3189" spans="2:26" outlineLevel="1">
      <c r="B3189" s="3252"/>
      <c r="C3189" s="2">
        <f t="shared" si="726"/>
        <v>92</v>
      </c>
      <c r="D3189" s="3">
        <f t="shared" si="727"/>
        <v>5</v>
      </c>
      <c r="E3189" s="66">
        <v>15</v>
      </c>
      <c r="F3189" s="123" t="s">
        <v>732</v>
      </c>
      <c r="G3189" s="599" t="s">
        <v>737</v>
      </c>
      <c r="H3189" s="69" t="s">
        <v>2062</v>
      </c>
      <c r="I3189" s="299" t="s">
        <v>726</v>
      </c>
      <c r="J3189" s="301" t="s">
        <v>760</v>
      </c>
      <c r="K3189" s="71" t="s">
        <v>3</v>
      </c>
      <c r="L3189" s="72">
        <v>40277</v>
      </c>
      <c r="M3189" s="73" t="s">
        <v>729</v>
      </c>
      <c r="N3189" s="74">
        <v>40283</v>
      </c>
      <c r="O3189" s="75">
        <f t="shared" si="730"/>
        <v>40283</v>
      </c>
      <c r="P3189" s="2765"/>
      <c r="Q3189" s="2954">
        <v>94.63</v>
      </c>
      <c r="R3189" s="76"/>
      <c r="S3189" s="1945" t="s">
        <v>731</v>
      </c>
      <c r="T3189" s="77"/>
      <c r="U3189" s="1893"/>
      <c r="V3189" s="2079">
        <f t="shared" si="728"/>
        <v>111.6634</v>
      </c>
      <c r="W3189" s="78">
        <f t="shared" si="729"/>
        <v>0</v>
      </c>
      <c r="X3189" s="1878" t="str">
        <f t="shared" si="725"/>
        <v xml:space="preserve">15.- C Vikrant 1531105-OT_130945  Reencauche  </v>
      </c>
      <c r="Z3189" s="19" t="str">
        <f t="shared" si="724"/>
        <v>ReencaucheReencauchadora RENOVA</v>
      </c>
    </row>
    <row r="3190" spans="2:26" outlineLevel="1">
      <c r="B3190" s="3252"/>
      <c r="C3190" s="2">
        <f t="shared" si="726"/>
        <v>91</v>
      </c>
      <c r="D3190" s="3">
        <f t="shared" si="727"/>
        <v>4</v>
      </c>
      <c r="E3190" s="66">
        <v>16</v>
      </c>
      <c r="F3190" s="123" t="s">
        <v>732</v>
      </c>
      <c r="G3190" s="599" t="s">
        <v>757</v>
      </c>
      <c r="H3190" s="69" t="s">
        <v>20</v>
      </c>
      <c r="I3190" s="299" t="s">
        <v>726</v>
      </c>
      <c r="J3190" s="301" t="s">
        <v>760</v>
      </c>
      <c r="K3190" s="71" t="s">
        <v>3</v>
      </c>
      <c r="L3190" s="72">
        <v>40277</v>
      </c>
      <c r="M3190" s="73" t="s">
        <v>729</v>
      </c>
      <c r="N3190" s="74">
        <v>40283</v>
      </c>
      <c r="O3190" s="75">
        <f t="shared" si="730"/>
        <v>40283</v>
      </c>
      <c r="P3190" s="2765"/>
      <c r="Q3190" s="2954">
        <v>94.63</v>
      </c>
      <c r="R3190" s="76"/>
      <c r="S3190" s="1945" t="s">
        <v>731</v>
      </c>
      <c r="T3190" s="77"/>
      <c r="U3190" s="1893"/>
      <c r="V3190" s="2079">
        <f t="shared" si="728"/>
        <v>111.6634</v>
      </c>
      <c r="W3190" s="78">
        <f t="shared" si="729"/>
        <v>0</v>
      </c>
      <c r="X3190" s="1878" t="str">
        <f t="shared" si="725"/>
        <v xml:space="preserve">16.- C Goodyear 1210804-OT_130945  Reencauche  </v>
      </c>
      <c r="Z3190" s="19" t="str">
        <f t="shared" si="724"/>
        <v>ReencaucheReencauchadora RENOVA</v>
      </c>
    </row>
    <row r="3191" spans="2:26">
      <c r="B3191" s="3252"/>
      <c r="C3191" s="2">
        <f t="shared" si="726"/>
        <v>90</v>
      </c>
      <c r="D3191" s="3">
        <f t="shared" si="727"/>
        <v>3</v>
      </c>
      <c r="E3191" s="66">
        <v>17</v>
      </c>
      <c r="F3191" s="123" t="s">
        <v>732</v>
      </c>
      <c r="G3191" s="599" t="s">
        <v>757</v>
      </c>
      <c r="H3191" s="69" t="s">
        <v>1572</v>
      </c>
      <c r="I3191" s="299" t="s">
        <v>726</v>
      </c>
      <c r="J3191" s="301" t="s">
        <v>760</v>
      </c>
      <c r="K3191" s="71" t="s">
        <v>21</v>
      </c>
      <c r="L3191" s="72">
        <v>40277</v>
      </c>
      <c r="M3191" s="73" t="s">
        <v>729</v>
      </c>
      <c r="N3191" s="74">
        <v>40283</v>
      </c>
      <c r="O3191" s="75">
        <f t="shared" si="730"/>
        <v>40283</v>
      </c>
      <c r="P3191" s="2765"/>
      <c r="Q3191" s="2954">
        <v>94.63</v>
      </c>
      <c r="R3191" s="76"/>
      <c r="S3191" s="1945" t="s">
        <v>731</v>
      </c>
      <c r="T3191" s="77"/>
      <c r="U3191" s="1893"/>
      <c r="V3191" s="2079">
        <f t="shared" si="728"/>
        <v>111.6634</v>
      </c>
      <c r="W3191" s="78">
        <f t="shared" si="729"/>
        <v>0</v>
      </c>
      <c r="X3191" s="1878" t="str">
        <f t="shared" si="725"/>
        <v xml:space="preserve">17.- C Goodyear 0570502-OT_130946  Reencauche  </v>
      </c>
    </row>
    <row r="3192" spans="2:26" outlineLevel="1">
      <c r="B3192" s="3252"/>
      <c r="C3192" s="2">
        <f t="shared" si="726"/>
        <v>89</v>
      </c>
      <c r="D3192" s="3">
        <f t="shared" si="727"/>
        <v>2</v>
      </c>
      <c r="E3192" s="66">
        <v>18</v>
      </c>
      <c r="F3192" s="123" t="s">
        <v>732</v>
      </c>
      <c r="G3192" s="599" t="s">
        <v>757</v>
      </c>
      <c r="H3192" s="69" t="s">
        <v>22</v>
      </c>
      <c r="I3192" s="299" t="s">
        <v>726</v>
      </c>
      <c r="J3192" s="301" t="s">
        <v>760</v>
      </c>
      <c r="K3192" s="71" t="s">
        <v>21</v>
      </c>
      <c r="L3192" s="72">
        <v>40277</v>
      </c>
      <c r="M3192" s="73" t="s">
        <v>729</v>
      </c>
      <c r="N3192" s="74">
        <v>40283</v>
      </c>
      <c r="O3192" s="75">
        <f t="shared" si="730"/>
        <v>40283</v>
      </c>
      <c r="P3192" s="2765"/>
      <c r="Q3192" s="2954">
        <v>94.63</v>
      </c>
      <c r="R3192" s="76"/>
      <c r="S3192" s="1945" t="s">
        <v>731</v>
      </c>
      <c r="T3192" s="77"/>
      <c r="U3192" s="1893"/>
      <c r="V3192" s="2079">
        <f t="shared" si="728"/>
        <v>111.6634</v>
      </c>
      <c r="W3192" s="78">
        <f t="shared" si="729"/>
        <v>0</v>
      </c>
      <c r="X3192" s="1878" t="str">
        <f t="shared" si="725"/>
        <v xml:space="preserve">18.- C Goodyear 058082004-OT_130946  Reencauche  </v>
      </c>
      <c r="Z3192" s="19" t="str">
        <f t="shared" ref="Z3192:Z3239" si="731">CONCATENATE(I3195,J3195)</f>
        <v>ReencaucheReencauchadora RENOVA</v>
      </c>
    </row>
    <row r="3193" spans="2:26" ht="15.75" outlineLevel="1" thickBot="1">
      <c r="B3193" s="3253"/>
      <c r="C3193" s="420">
        <f>1+C3195</f>
        <v>88</v>
      </c>
      <c r="D3193" s="421">
        <v>1</v>
      </c>
      <c r="E3193" s="660">
        <v>19</v>
      </c>
      <c r="F3193" s="667" t="s">
        <v>732</v>
      </c>
      <c r="G3193" s="668" t="s">
        <v>757</v>
      </c>
      <c r="H3193" s="330" t="s">
        <v>23</v>
      </c>
      <c r="I3193" s="613" t="s">
        <v>726</v>
      </c>
      <c r="J3193" s="615" t="s">
        <v>760</v>
      </c>
      <c r="K3193" s="333" t="s">
        <v>21</v>
      </c>
      <c r="L3193" s="334">
        <v>40277</v>
      </c>
      <c r="M3193" s="335" t="s">
        <v>729</v>
      </c>
      <c r="N3193" s="336">
        <v>40283</v>
      </c>
      <c r="O3193" s="337">
        <f t="shared" si="730"/>
        <v>40283</v>
      </c>
      <c r="P3193" s="2798"/>
      <c r="Q3193" s="2979">
        <v>94.63</v>
      </c>
      <c r="R3193" s="338"/>
      <c r="S3193" s="1965" t="s">
        <v>731</v>
      </c>
      <c r="T3193" s="77"/>
      <c r="U3193" s="1893"/>
      <c r="V3193" s="2079">
        <f t="shared" si="728"/>
        <v>111.6634</v>
      </c>
      <c r="W3193" s="78">
        <f t="shared" si="729"/>
        <v>0</v>
      </c>
      <c r="X3193" s="1878" t="str">
        <f t="shared" si="725"/>
        <v xml:space="preserve">19.- C Goodyear 0461001-OT_130946  Reencauche  </v>
      </c>
      <c r="Z3193" s="19" t="str">
        <f t="shared" si="731"/>
        <v>ReencaucheReencauchadora RENOVA</v>
      </c>
    </row>
    <row r="3194" spans="2:26" ht="15.75" outlineLevel="1" thickBot="1">
      <c r="B3194" s="1">
        <f>+B3195</f>
        <v>40238</v>
      </c>
      <c r="C3194" s="1"/>
      <c r="D3194" s="173">
        <f>+D3195</f>
        <v>44</v>
      </c>
      <c r="E3194" s="660"/>
      <c r="F3194" s="667"/>
      <c r="G3194" s="68"/>
      <c r="H3194" s="69"/>
      <c r="I3194" s="299"/>
      <c r="J3194" s="301"/>
      <c r="K3194" s="71"/>
      <c r="L3194" s="72"/>
      <c r="M3194" s="73"/>
      <c r="N3194" s="74"/>
      <c r="O3194" s="75"/>
      <c r="P3194" s="2765"/>
      <c r="Q3194" s="2954"/>
      <c r="R3194" s="76"/>
      <c r="S3194" s="1945"/>
      <c r="T3194" s="77"/>
      <c r="U3194" s="1893"/>
      <c r="V3194" s="2079">
        <f t="shared" si="728"/>
        <v>0</v>
      </c>
      <c r="W3194" s="78">
        <f t="shared" si="729"/>
        <v>0</v>
      </c>
      <c r="X3194" s="1878" t="str">
        <f t="shared" si="725"/>
        <v xml:space="preserve">.-   -OT_    </v>
      </c>
      <c r="Z3194" s="19" t="str">
        <f t="shared" si="731"/>
        <v>ReencaucheReencauchadora RENOVA</v>
      </c>
    </row>
    <row r="3195" spans="2:26" outlineLevel="1">
      <c r="B3195" s="3251">
        <v>40238</v>
      </c>
      <c r="C3195" s="367">
        <f t="shared" ref="C3195:C3203" si="732">1+C3196</f>
        <v>87</v>
      </c>
      <c r="D3195" s="669">
        <f t="shared" ref="D3195:D3203" si="733">1+D3196</f>
        <v>44</v>
      </c>
      <c r="E3195" s="66">
        <v>1</v>
      </c>
      <c r="F3195" s="123" t="s">
        <v>732</v>
      </c>
      <c r="G3195" s="599" t="s">
        <v>733</v>
      </c>
      <c r="H3195" s="69" t="s">
        <v>2159</v>
      </c>
      <c r="I3195" s="299" t="s">
        <v>726</v>
      </c>
      <c r="J3195" s="301" t="s">
        <v>760</v>
      </c>
      <c r="K3195" s="71" t="s">
        <v>24</v>
      </c>
      <c r="L3195" s="72">
        <v>40256</v>
      </c>
      <c r="M3195" s="73" t="s">
        <v>729</v>
      </c>
      <c r="N3195" s="74">
        <v>40263</v>
      </c>
      <c r="O3195" s="75">
        <f t="shared" ref="O3195:O3242" si="734">+N3195</f>
        <v>40263</v>
      </c>
      <c r="P3195" s="2765"/>
      <c r="Q3195" s="2954">
        <v>94.63</v>
      </c>
      <c r="R3195" s="76"/>
      <c r="S3195" s="1945" t="s">
        <v>731</v>
      </c>
      <c r="T3195" s="77"/>
      <c r="U3195" s="1893"/>
      <c r="V3195" s="2079">
        <f t="shared" si="728"/>
        <v>111.6634</v>
      </c>
      <c r="W3195" s="78">
        <f t="shared" si="729"/>
        <v>0</v>
      </c>
      <c r="X3195" s="1878" t="str">
        <f t="shared" si="725"/>
        <v xml:space="preserve">1.- C Lima Caucho 1171107-OT_130602  Reencauche  </v>
      </c>
      <c r="Z3195" s="19" t="str">
        <f t="shared" si="731"/>
        <v>ReencaucheReencauchadora RENOVA</v>
      </c>
    </row>
    <row r="3196" spans="2:26" outlineLevel="1">
      <c r="B3196" s="3252"/>
      <c r="C3196" s="367">
        <f t="shared" si="732"/>
        <v>86</v>
      </c>
      <c r="D3196" s="670">
        <f t="shared" si="733"/>
        <v>43</v>
      </c>
      <c r="E3196" s="66">
        <v>2</v>
      </c>
      <c r="F3196" s="123" t="s">
        <v>732</v>
      </c>
      <c r="G3196" s="599" t="s">
        <v>733</v>
      </c>
      <c r="H3196" s="69" t="s">
        <v>1408</v>
      </c>
      <c r="I3196" s="299" t="s">
        <v>726</v>
      </c>
      <c r="J3196" s="301" t="s">
        <v>760</v>
      </c>
      <c r="K3196" s="71" t="s">
        <v>24</v>
      </c>
      <c r="L3196" s="72">
        <v>40256</v>
      </c>
      <c r="M3196" s="73" t="s">
        <v>729</v>
      </c>
      <c r="N3196" s="74">
        <v>40263</v>
      </c>
      <c r="O3196" s="75">
        <f t="shared" si="734"/>
        <v>40263</v>
      </c>
      <c r="P3196" s="2765"/>
      <c r="Q3196" s="2954">
        <v>94.63</v>
      </c>
      <c r="R3196" s="76"/>
      <c r="S3196" s="1945" t="s">
        <v>731</v>
      </c>
      <c r="T3196" s="77"/>
      <c r="U3196" s="1893"/>
      <c r="V3196" s="2079">
        <f t="shared" si="728"/>
        <v>111.6634</v>
      </c>
      <c r="W3196" s="78">
        <f t="shared" si="729"/>
        <v>0</v>
      </c>
      <c r="X3196" s="1878" t="str">
        <f t="shared" si="725"/>
        <v xml:space="preserve">2.- C Lima Caucho 0970908-OT_130602  Reencauche  </v>
      </c>
      <c r="Z3196" s="19" t="str">
        <f t="shared" si="731"/>
        <v>ReencaucheReencauchadora RENOVA</v>
      </c>
    </row>
    <row r="3197" spans="2:26" outlineLevel="1">
      <c r="B3197" s="3252"/>
      <c r="C3197" s="367">
        <f t="shared" si="732"/>
        <v>85</v>
      </c>
      <c r="D3197" s="670">
        <f t="shared" si="733"/>
        <v>42</v>
      </c>
      <c r="E3197" s="66">
        <v>3</v>
      </c>
      <c r="F3197" s="123" t="s">
        <v>732</v>
      </c>
      <c r="G3197" s="599" t="s">
        <v>733</v>
      </c>
      <c r="H3197" s="69" t="s">
        <v>965</v>
      </c>
      <c r="I3197" s="299" t="s">
        <v>726</v>
      </c>
      <c r="J3197" s="301" t="s">
        <v>760</v>
      </c>
      <c r="K3197" s="71" t="s">
        <v>24</v>
      </c>
      <c r="L3197" s="72">
        <v>40256</v>
      </c>
      <c r="M3197" s="73" t="s">
        <v>729</v>
      </c>
      <c r="N3197" s="74">
        <v>40263</v>
      </c>
      <c r="O3197" s="75">
        <f t="shared" si="734"/>
        <v>40263</v>
      </c>
      <c r="P3197" s="2765"/>
      <c r="Q3197" s="2954">
        <v>94.63</v>
      </c>
      <c r="R3197" s="76"/>
      <c r="S3197" s="1945" t="s">
        <v>731</v>
      </c>
      <c r="T3197" s="77"/>
      <c r="U3197" s="1893"/>
      <c r="V3197" s="2079">
        <f t="shared" si="728"/>
        <v>111.6634</v>
      </c>
      <c r="W3197" s="78">
        <f t="shared" si="729"/>
        <v>0</v>
      </c>
      <c r="X3197" s="1878" t="str">
        <f t="shared" si="725"/>
        <v xml:space="preserve">3.- C Lima Caucho 0290508-OT_130602  Reencauche  </v>
      </c>
      <c r="Z3197" s="19" t="str">
        <f t="shared" si="731"/>
        <v>ReencaucheReencauchadora RENOVA</v>
      </c>
    </row>
    <row r="3198" spans="2:26" outlineLevel="1">
      <c r="B3198" s="3252"/>
      <c r="C3198" s="367">
        <f t="shared" si="732"/>
        <v>84</v>
      </c>
      <c r="D3198" s="670">
        <f t="shared" si="733"/>
        <v>41</v>
      </c>
      <c r="E3198" s="66">
        <v>4</v>
      </c>
      <c r="F3198" s="123" t="s">
        <v>732</v>
      </c>
      <c r="G3198" s="599" t="s">
        <v>733</v>
      </c>
      <c r="H3198" s="69" t="s">
        <v>2056</v>
      </c>
      <c r="I3198" s="299" t="s">
        <v>726</v>
      </c>
      <c r="J3198" s="301" t="s">
        <v>760</v>
      </c>
      <c r="K3198" s="71" t="s">
        <v>24</v>
      </c>
      <c r="L3198" s="72">
        <v>40256</v>
      </c>
      <c r="M3198" s="73" t="s">
        <v>729</v>
      </c>
      <c r="N3198" s="74">
        <v>40263</v>
      </c>
      <c r="O3198" s="75">
        <f t="shared" si="734"/>
        <v>40263</v>
      </c>
      <c r="P3198" s="2765"/>
      <c r="Q3198" s="2954">
        <v>94.63</v>
      </c>
      <c r="R3198" s="76"/>
      <c r="S3198" s="1945" t="s">
        <v>731</v>
      </c>
      <c r="T3198" s="77"/>
      <c r="U3198" s="1893"/>
      <c r="V3198" s="2079">
        <f t="shared" si="728"/>
        <v>111.6634</v>
      </c>
      <c r="W3198" s="78">
        <f t="shared" si="729"/>
        <v>0</v>
      </c>
      <c r="X3198" s="1878" t="str">
        <f t="shared" si="725"/>
        <v xml:space="preserve">4.- C Lima Caucho 1351207-OT_130602  Reencauche  </v>
      </c>
      <c r="Z3198" s="19" t="str">
        <f t="shared" si="731"/>
        <v>ReencaucheReencauchadora RENOVA</v>
      </c>
    </row>
    <row r="3199" spans="2:26" outlineLevel="1">
      <c r="B3199" s="3252"/>
      <c r="C3199" s="367">
        <f t="shared" si="732"/>
        <v>83</v>
      </c>
      <c r="D3199" s="670">
        <f t="shared" si="733"/>
        <v>40</v>
      </c>
      <c r="E3199" s="66">
        <v>5</v>
      </c>
      <c r="F3199" s="123" t="s">
        <v>732</v>
      </c>
      <c r="G3199" s="599" t="s">
        <v>757</v>
      </c>
      <c r="H3199" s="69" t="s">
        <v>2091</v>
      </c>
      <c r="I3199" s="299" t="s">
        <v>726</v>
      </c>
      <c r="J3199" s="301" t="s">
        <v>760</v>
      </c>
      <c r="K3199" s="71" t="s">
        <v>24</v>
      </c>
      <c r="L3199" s="72">
        <v>40256</v>
      </c>
      <c r="M3199" s="73" t="s">
        <v>729</v>
      </c>
      <c r="N3199" s="74">
        <v>40263</v>
      </c>
      <c r="O3199" s="75">
        <f t="shared" si="734"/>
        <v>40263</v>
      </c>
      <c r="P3199" s="2765"/>
      <c r="Q3199" s="2954">
        <v>94.63</v>
      </c>
      <c r="R3199" s="76"/>
      <c r="S3199" s="1945" t="s">
        <v>731</v>
      </c>
      <c r="T3199" s="77"/>
      <c r="U3199" s="1893"/>
      <c r="V3199" s="2079">
        <f t="shared" si="728"/>
        <v>111.6634</v>
      </c>
      <c r="W3199" s="78">
        <f t="shared" si="729"/>
        <v>0</v>
      </c>
      <c r="X3199" s="1878" t="str">
        <f t="shared" si="725"/>
        <v xml:space="preserve">5.- C Goodyear 037082003-OT_130602  Reencauche  </v>
      </c>
      <c r="Z3199" s="19" t="str">
        <f t="shared" si="731"/>
        <v>ReencaucheReencauchadora RENOVA</v>
      </c>
    </row>
    <row r="3200" spans="2:26" outlineLevel="1">
      <c r="B3200" s="3252"/>
      <c r="C3200" s="367">
        <f t="shared" si="732"/>
        <v>82</v>
      </c>
      <c r="D3200" s="670">
        <f t="shared" si="733"/>
        <v>39</v>
      </c>
      <c r="E3200" s="66">
        <v>6</v>
      </c>
      <c r="F3200" s="123" t="s">
        <v>732</v>
      </c>
      <c r="G3200" s="599" t="s">
        <v>757</v>
      </c>
      <c r="H3200" s="69" t="s">
        <v>1926</v>
      </c>
      <c r="I3200" s="299" t="s">
        <v>726</v>
      </c>
      <c r="J3200" s="301" t="s">
        <v>760</v>
      </c>
      <c r="K3200" s="71" t="s">
        <v>24</v>
      </c>
      <c r="L3200" s="72">
        <v>40256</v>
      </c>
      <c r="M3200" s="73" t="s">
        <v>729</v>
      </c>
      <c r="N3200" s="74">
        <v>40263</v>
      </c>
      <c r="O3200" s="75">
        <f t="shared" si="734"/>
        <v>40263</v>
      </c>
      <c r="P3200" s="2765"/>
      <c r="Q3200" s="2954">
        <v>94.63</v>
      </c>
      <c r="R3200" s="76"/>
      <c r="S3200" s="1945" t="s">
        <v>731</v>
      </c>
      <c r="T3200" s="77"/>
      <c r="U3200" s="1893"/>
      <c r="V3200" s="2079">
        <f t="shared" si="728"/>
        <v>111.6634</v>
      </c>
      <c r="W3200" s="78">
        <f t="shared" si="729"/>
        <v>0</v>
      </c>
      <c r="X3200" s="1878" t="str">
        <f t="shared" si="725"/>
        <v xml:space="preserve">6.- C Goodyear 0380302-OT_130602  Reencauche  </v>
      </c>
      <c r="Z3200" s="19" t="str">
        <f t="shared" si="731"/>
        <v>ReencaucheReencauchadora RENOVA</v>
      </c>
    </row>
    <row r="3201" spans="2:26" outlineLevel="1">
      <c r="B3201" s="3252"/>
      <c r="C3201" s="367">
        <f t="shared" si="732"/>
        <v>81</v>
      </c>
      <c r="D3201" s="670">
        <f t="shared" si="733"/>
        <v>38</v>
      </c>
      <c r="E3201" s="671">
        <v>7</v>
      </c>
      <c r="F3201" s="672" t="s">
        <v>732</v>
      </c>
      <c r="G3201" s="673" t="s">
        <v>757</v>
      </c>
      <c r="H3201" s="194" t="s">
        <v>2137</v>
      </c>
      <c r="I3201" s="674" t="s">
        <v>726</v>
      </c>
      <c r="J3201" s="675" t="s">
        <v>760</v>
      </c>
      <c r="K3201" s="196" t="s">
        <v>25</v>
      </c>
      <c r="L3201" s="197">
        <v>40256</v>
      </c>
      <c r="M3201" s="198" t="s">
        <v>729</v>
      </c>
      <c r="N3201" s="199">
        <v>40263</v>
      </c>
      <c r="O3201" s="200">
        <f t="shared" si="734"/>
        <v>40263</v>
      </c>
      <c r="P3201" s="2778"/>
      <c r="Q3201" s="2967">
        <v>94.63</v>
      </c>
      <c r="R3201" s="201"/>
      <c r="S3201" s="1953" t="s">
        <v>731</v>
      </c>
      <c r="T3201" s="77"/>
      <c r="U3201" s="1893"/>
      <c r="V3201" s="2079">
        <f t="shared" si="728"/>
        <v>111.6634</v>
      </c>
      <c r="W3201" s="78">
        <f t="shared" si="729"/>
        <v>0</v>
      </c>
      <c r="X3201" s="1878" t="str">
        <f t="shared" si="725"/>
        <v xml:space="preserve">7.- C Goodyear 1260804-OT_130603  Reencauche  </v>
      </c>
      <c r="Z3201" s="19" t="str">
        <f t="shared" si="731"/>
        <v>ReencaucheReencauchadora RENOVA</v>
      </c>
    </row>
    <row r="3202" spans="2:26" outlineLevel="1">
      <c r="B3202" s="3252"/>
      <c r="C3202" s="367">
        <f t="shared" si="732"/>
        <v>80</v>
      </c>
      <c r="D3202" s="670">
        <f t="shared" si="733"/>
        <v>37</v>
      </c>
      <c r="E3202" s="66">
        <v>1</v>
      </c>
      <c r="F3202" s="123" t="s">
        <v>732</v>
      </c>
      <c r="G3202" s="599" t="s">
        <v>733</v>
      </c>
      <c r="H3202" s="69" t="s">
        <v>997</v>
      </c>
      <c r="I3202" s="299" t="s">
        <v>726</v>
      </c>
      <c r="J3202" s="301" t="s">
        <v>760</v>
      </c>
      <c r="K3202" s="71" t="s">
        <v>24</v>
      </c>
      <c r="L3202" s="72">
        <v>40256</v>
      </c>
      <c r="M3202" s="73" t="s">
        <v>729</v>
      </c>
      <c r="N3202" s="74">
        <v>40262</v>
      </c>
      <c r="O3202" s="75">
        <f t="shared" si="734"/>
        <v>40262</v>
      </c>
      <c r="P3202" s="2765"/>
      <c r="Q3202" s="2954">
        <v>94.63</v>
      </c>
      <c r="R3202" s="76"/>
      <c r="S3202" s="1945" t="s">
        <v>731</v>
      </c>
      <c r="T3202" s="77"/>
      <c r="U3202" s="1893"/>
      <c r="V3202" s="2079">
        <f t="shared" si="728"/>
        <v>111.6634</v>
      </c>
      <c r="W3202" s="78">
        <f t="shared" si="729"/>
        <v>0</v>
      </c>
      <c r="X3202" s="1878" t="str">
        <f t="shared" si="725"/>
        <v xml:space="preserve">1.- C Lima Caucho 0230108-OT_130602  Reencauche  </v>
      </c>
      <c r="Z3202" s="19" t="str">
        <f t="shared" si="731"/>
        <v>ReencaucheReencauchadora RENOVA</v>
      </c>
    </row>
    <row r="3203" spans="2:26" outlineLevel="1">
      <c r="B3203" s="3252"/>
      <c r="C3203" s="367">
        <f t="shared" si="732"/>
        <v>79</v>
      </c>
      <c r="D3203" s="670">
        <f t="shared" si="733"/>
        <v>36</v>
      </c>
      <c r="E3203" s="66">
        <v>2</v>
      </c>
      <c r="F3203" s="123" t="s">
        <v>732</v>
      </c>
      <c r="G3203" s="599" t="s">
        <v>737</v>
      </c>
      <c r="H3203" s="69" t="s">
        <v>1434</v>
      </c>
      <c r="I3203" s="299" t="s">
        <v>726</v>
      </c>
      <c r="J3203" s="301" t="s">
        <v>760</v>
      </c>
      <c r="K3203" s="71" t="s">
        <v>24</v>
      </c>
      <c r="L3203" s="72">
        <v>40256</v>
      </c>
      <c r="M3203" s="73" t="s">
        <v>729</v>
      </c>
      <c r="N3203" s="74">
        <v>40262</v>
      </c>
      <c r="O3203" s="75">
        <f t="shared" si="734"/>
        <v>40262</v>
      </c>
      <c r="P3203" s="2765"/>
      <c r="Q3203" s="2954">
        <v>94.63</v>
      </c>
      <c r="R3203" s="76"/>
      <c r="S3203" s="1945" t="s">
        <v>731</v>
      </c>
      <c r="T3203" s="77"/>
      <c r="U3203" s="1893"/>
      <c r="V3203" s="2079">
        <f t="shared" si="728"/>
        <v>111.6634</v>
      </c>
      <c r="W3203" s="78">
        <f t="shared" si="729"/>
        <v>0</v>
      </c>
      <c r="X3203" s="1878" t="str">
        <f t="shared" si="725"/>
        <v xml:space="preserve">2.- C Vikrant 1581105-OT_130602  Reencauche  </v>
      </c>
      <c r="Z3203" s="19" t="str">
        <f t="shared" si="731"/>
        <v>ReencaucheReencauchadora RENOVA</v>
      </c>
    </row>
    <row r="3204" spans="2:26" outlineLevel="1">
      <c r="B3204" s="3252"/>
      <c r="C3204" s="367">
        <v>78</v>
      </c>
      <c r="D3204" s="670">
        <f t="shared" ref="D3204:D3217" si="735">1+D3205</f>
        <v>35</v>
      </c>
      <c r="E3204" s="66">
        <v>3</v>
      </c>
      <c r="F3204" s="123" t="s">
        <v>732</v>
      </c>
      <c r="G3204" s="599" t="s">
        <v>737</v>
      </c>
      <c r="H3204" s="69" t="s">
        <v>1841</v>
      </c>
      <c r="I3204" s="299" t="s">
        <v>726</v>
      </c>
      <c r="J3204" s="301" t="s">
        <v>760</v>
      </c>
      <c r="K3204" s="71" t="s">
        <v>24</v>
      </c>
      <c r="L3204" s="72">
        <v>40256</v>
      </c>
      <c r="M3204" s="73" t="s">
        <v>729</v>
      </c>
      <c r="N3204" s="74">
        <v>40262</v>
      </c>
      <c r="O3204" s="75">
        <f t="shared" si="734"/>
        <v>40262</v>
      </c>
      <c r="P3204" s="2765"/>
      <c r="Q3204" s="2954">
        <v>94.63</v>
      </c>
      <c r="R3204" s="76"/>
      <c r="S3204" s="1945" t="s">
        <v>731</v>
      </c>
      <c r="T3204" s="77"/>
      <c r="U3204" s="1893"/>
      <c r="V3204" s="2079">
        <f t="shared" si="728"/>
        <v>111.6634</v>
      </c>
      <c r="W3204" s="78">
        <f t="shared" si="729"/>
        <v>0</v>
      </c>
      <c r="X3204" s="1878" t="str">
        <f t="shared" si="725"/>
        <v xml:space="preserve">3.- C Vikrant 0460506-OT_130602  Reencauche  </v>
      </c>
      <c r="Z3204" s="19" t="str">
        <f t="shared" si="731"/>
        <v>ReencaucheReencauchadora RENOVA</v>
      </c>
    </row>
    <row r="3205" spans="2:26" outlineLevel="1">
      <c r="B3205" s="3252"/>
      <c r="C3205" s="367">
        <v>77</v>
      </c>
      <c r="D3205" s="670">
        <f t="shared" si="735"/>
        <v>34</v>
      </c>
      <c r="E3205" s="66">
        <v>4</v>
      </c>
      <c r="F3205" s="123" t="s">
        <v>732</v>
      </c>
      <c r="G3205" s="599" t="s">
        <v>737</v>
      </c>
      <c r="H3205" s="69" t="s">
        <v>26</v>
      </c>
      <c r="I3205" s="299" t="s">
        <v>726</v>
      </c>
      <c r="J3205" s="301" t="s">
        <v>760</v>
      </c>
      <c r="K3205" s="71" t="s">
        <v>24</v>
      </c>
      <c r="L3205" s="72">
        <v>40256</v>
      </c>
      <c r="M3205" s="73" t="s">
        <v>729</v>
      </c>
      <c r="N3205" s="74">
        <v>40262</v>
      </c>
      <c r="O3205" s="75">
        <f t="shared" si="734"/>
        <v>40262</v>
      </c>
      <c r="P3205" s="2765"/>
      <c r="Q3205" s="2954">
        <v>94.63</v>
      </c>
      <c r="R3205" s="76"/>
      <c r="S3205" s="1945" t="s">
        <v>731</v>
      </c>
      <c r="T3205" s="77"/>
      <c r="U3205" s="1893"/>
      <c r="V3205" s="2079">
        <f t="shared" si="728"/>
        <v>111.6634</v>
      </c>
      <c r="W3205" s="78">
        <f t="shared" si="729"/>
        <v>0</v>
      </c>
      <c r="X3205" s="1878" t="str">
        <f t="shared" si="725"/>
        <v xml:space="preserve">4.- C Vikrant 0700505-OT_130602  Reencauche  </v>
      </c>
      <c r="Z3205" s="19" t="str">
        <f t="shared" si="731"/>
        <v>ReencaucheReencauchadora RENOVA</v>
      </c>
    </row>
    <row r="3206" spans="2:26" outlineLevel="1">
      <c r="B3206" s="3252"/>
      <c r="C3206" s="367">
        <v>76</v>
      </c>
      <c r="D3206" s="670">
        <f t="shared" si="735"/>
        <v>33</v>
      </c>
      <c r="E3206" s="66">
        <v>5</v>
      </c>
      <c r="F3206" s="123" t="s">
        <v>732</v>
      </c>
      <c r="G3206" s="599" t="s">
        <v>757</v>
      </c>
      <c r="H3206" s="69" t="s">
        <v>2028</v>
      </c>
      <c r="I3206" s="299" t="s">
        <v>726</v>
      </c>
      <c r="J3206" s="301" t="s">
        <v>760</v>
      </c>
      <c r="K3206" s="71" t="s">
        <v>25</v>
      </c>
      <c r="L3206" s="72">
        <v>40256</v>
      </c>
      <c r="M3206" s="73" t="s">
        <v>729</v>
      </c>
      <c r="N3206" s="74">
        <v>40262</v>
      </c>
      <c r="O3206" s="75">
        <f t="shared" si="734"/>
        <v>40262</v>
      </c>
      <c r="P3206" s="2765"/>
      <c r="Q3206" s="2954">
        <v>94.63</v>
      </c>
      <c r="R3206" s="76"/>
      <c r="S3206" s="1945" t="s">
        <v>731</v>
      </c>
      <c r="T3206" s="77"/>
      <c r="U3206" s="1893"/>
      <c r="V3206" s="2079">
        <f t="shared" si="728"/>
        <v>111.6634</v>
      </c>
      <c r="W3206" s="78">
        <f t="shared" si="729"/>
        <v>0</v>
      </c>
      <c r="X3206" s="1878" t="str">
        <f t="shared" si="725"/>
        <v xml:space="preserve">5.- C Goodyear 0320302-OT_130603  Reencauche  </v>
      </c>
      <c r="Z3206" s="19" t="str">
        <f t="shared" si="731"/>
        <v>ReencaucheReencauchadora RENOVA</v>
      </c>
    </row>
    <row r="3207" spans="2:26" outlineLevel="1">
      <c r="B3207" s="3252"/>
      <c r="C3207" s="367">
        <v>75</v>
      </c>
      <c r="D3207" s="670">
        <f t="shared" si="735"/>
        <v>32</v>
      </c>
      <c r="E3207" s="66">
        <v>6</v>
      </c>
      <c r="F3207" s="123" t="s">
        <v>732</v>
      </c>
      <c r="G3207" s="599" t="s">
        <v>757</v>
      </c>
      <c r="H3207" s="69" t="s">
        <v>1055</v>
      </c>
      <c r="I3207" s="299" t="s">
        <v>726</v>
      </c>
      <c r="J3207" s="301" t="s">
        <v>760</v>
      </c>
      <c r="K3207" s="71" t="s">
        <v>25</v>
      </c>
      <c r="L3207" s="72">
        <v>40256</v>
      </c>
      <c r="M3207" s="73" t="s">
        <v>729</v>
      </c>
      <c r="N3207" s="74">
        <v>40262</v>
      </c>
      <c r="O3207" s="75">
        <f t="shared" si="734"/>
        <v>40262</v>
      </c>
      <c r="P3207" s="2765"/>
      <c r="Q3207" s="2954">
        <v>94.63</v>
      </c>
      <c r="R3207" s="76"/>
      <c r="S3207" s="1945" t="s">
        <v>731</v>
      </c>
      <c r="T3207" s="77"/>
      <c r="U3207" s="1893"/>
      <c r="V3207" s="2079">
        <f t="shared" si="728"/>
        <v>111.6634</v>
      </c>
      <c r="W3207" s="78">
        <f t="shared" si="729"/>
        <v>0</v>
      </c>
      <c r="X3207" s="1878" t="str">
        <f t="shared" si="725"/>
        <v xml:space="preserve">6.- C Goodyear 0330302-OT_130603  Reencauche  </v>
      </c>
      <c r="Z3207" s="19" t="str">
        <f t="shared" si="731"/>
        <v>ReencaucheReencauchadora RENOVA</v>
      </c>
    </row>
    <row r="3208" spans="2:26" outlineLevel="1">
      <c r="B3208" s="3252"/>
      <c r="C3208" s="367">
        <v>74</v>
      </c>
      <c r="D3208" s="670">
        <f t="shared" si="735"/>
        <v>31</v>
      </c>
      <c r="E3208" s="66">
        <v>7</v>
      </c>
      <c r="F3208" s="123" t="s">
        <v>732</v>
      </c>
      <c r="G3208" s="599" t="s">
        <v>757</v>
      </c>
      <c r="H3208" s="69" t="s">
        <v>1845</v>
      </c>
      <c r="I3208" s="299" t="s">
        <v>726</v>
      </c>
      <c r="J3208" s="301" t="s">
        <v>760</v>
      </c>
      <c r="K3208" s="71" t="s">
        <v>25</v>
      </c>
      <c r="L3208" s="72">
        <v>40256</v>
      </c>
      <c r="M3208" s="73" t="s">
        <v>729</v>
      </c>
      <c r="N3208" s="74">
        <v>40262</v>
      </c>
      <c r="O3208" s="75">
        <f t="shared" si="734"/>
        <v>40262</v>
      </c>
      <c r="P3208" s="2765"/>
      <c r="Q3208" s="2954">
        <v>94.63</v>
      </c>
      <c r="R3208" s="76"/>
      <c r="S3208" s="1945" t="s">
        <v>731</v>
      </c>
      <c r="T3208" s="77"/>
      <c r="U3208" s="1893"/>
      <c r="V3208" s="2079">
        <f t="shared" si="728"/>
        <v>111.6634</v>
      </c>
      <c r="W3208" s="78">
        <f t="shared" si="729"/>
        <v>0</v>
      </c>
      <c r="X3208" s="1878" t="str">
        <f t="shared" si="725"/>
        <v xml:space="preserve">7.- C Goodyear 0100205-OT_130603  Reencauche  </v>
      </c>
      <c r="Z3208" s="19" t="str">
        <f t="shared" si="731"/>
        <v>ReencaucheReencauchadora RENOVA</v>
      </c>
    </row>
    <row r="3209" spans="2:26" outlineLevel="1">
      <c r="B3209" s="3252"/>
      <c r="C3209" s="367">
        <v>73</v>
      </c>
      <c r="D3209" s="670">
        <f t="shared" si="735"/>
        <v>30</v>
      </c>
      <c r="E3209" s="66">
        <v>8</v>
      </c>
      <c r="F3209" s="123" t="s">
        <v>732</v>
      </c>
      <c r="G3209" s="599" t="s">
        <v>769</v>
      </c>
      <c r="H3209" s="69" t="s">
        <v>1643</v>
      </c>
      <c r="I3209" s="299" t="s">
        <v>726</v>
      </c>
      <c r="J3209" s="301" t="s">
        <v>760</v>
      </c>
      <c r="K3209" s="71" t="s">
        <v>25</v>
      </c>
      <c r="L3209" s="72">
        <v>40256</v>
      </c>
      <c r="M3209" s="73" t="s">
        <v>729</v>
      </c>
      <c r="N3209" s="74">
        <v>40262</v>
      </c>
      <c r="O3209" s="75">
        <f t="shared" si="734"/>
        <v>40262</v>
      </c>
      <c r="P3209" s="2765"/>
      <c r="Q3209" s="2954">
        <v>94.63</v>
      </c>
      <c r="R3209" s="76"/>
      <c r="S3209" s="1945" t="s">
        <v>731</v>
      </c>
      <c r="T3209" s="77"/>
      <c r="U3209" s="1893"/>
      <c r="V3209" s="2079">
        <f t="shared" si="728"/>
        <v>111.6634</v>
      </c>
      <c r="W3209" s="78">
        <f t="shared" si="729"/>
        <v>0</v>
      </c>
      <c r="X3209" s="1878" t="str">
        <f t="shared" si="725"/>
        <v xml:space="preserve">8.- C Lu He 0240209-OT_130603  Reencauche  </v>
      </c>
      <c r="Z3209" s="19" t="str">
        <f t="shared" si="731"/>
        <v>ReencaucheReencauchadora RENOVA</v>
      </c>
    </row>
    <row r="3210" spans="2:26" outlineLevel="1">
      <c r="B3210" s="3252"/>
      <c r="C3210" s="367">
        <v>72</v>
      </c>
      <c r="D3210" s="670">
        <f t="shared" si="735"/>
        <v>29</v>
      </c>
      <c r="E3210" s="66">
        <v>9</v>
      </c>
      <c r="F3210" s="123" t="s">
        <v>732</v>
      </c>
      <c r="G3210" s="599" t="s">
        <v>769</v>
      </c>
      <c r="H3210" s="69" t="s">
        <v>27</v>
      </c>
      <c r="I3210" s="299" t="s">
        <v>726</v>
      </c>
      <c r="J3210" s="301" t="s">
        <v>760</v>
      </c>
      <c r="K3210" s="71" t="s">
        <v>25</v>
      </c>
      <c r="L3210" s="72">
        <v>40256</v>
      </c>
      <c r="M3210" s="73" t="s">
        <v>729</v>
      </c>
      <c r="N3210" s="74">
        <v>40262</v>
      </c>
      <c r="O3210" s="75">
        <f t="shared" si="734"/>
        <v>40262</v>
      </c>
      <c r="P3210" s="2765"/>
      <c r="Q3210" s="2954">
        <v>94.63</v>
      </c>
      <c r="R3210" s="76"/>
      <c r="S3210" s="1945" t="s">
        <v>731</v>
      </c>
      <c r="T3210" s="77"/>
      <c r="U3210" s="1893"/>
      <c r="V3210" s="2079">
        <f t="shared" si="728"/>
        <v>111.6634</v>
      </c>
      <c r="W3210" s="78">
        <f t="shared" si="729"/>
        <v>0</v>
      </c>
      <c r="X3210" s="1878" t="str">
        <f t="shared" si="725"/>
        <v xml:space="preserve">9.- C Lu He 0430509-OT_130603  Reencauche  </v>
      </c>
      <c r="Z3210" s="19" t="str">
        <f t="shared" si="731"/>
        <v>ReencaucheReencauchadora Espinoza</v>
      </c>
    </row>
    <row r="3211" spans="2:26" outlineLevel="1">
      <c r="B3211" s="3252"/>
      <c r="C3211" s="367">
        <v>71</v>
      </c>
      <c r="D3211" s="670">
        <f t="shared" si="735"/>
        <v>28</v>
      </c>
      <c r="E3211" s="66">
        <v>10</v>
      </c>
      <c r="F3211" s="123" t="s">
        <v>732</v>
      </c>
      <c r="G3211" s="599" t="s">
        <v>769</v>
      </c>
      <c r="H3211" s="69" t="s">
        <v>1499</v>
      </c>
      <c r="I3211" s="299" t="s">
        <v>726</v>
      </c>
      <c r="J3211" s="301" t="s">
        <v>760</v>
      </c>
      <c r="K3211" s="71" t="s">
        <v>25</v>
      </c>
      <c r="L3211" s="72">
        <v>40256</v>
      </c>
      <c r="M3211" s="73" t="s">
        <v>729</v>
      </c>
      <c r="N3211" s="74">
        <v>40262</v>
      </c>
      <c r="O3211" s="75">
        <f t="shared" si="734"/>
        <v>40262</v>
      </c>
      <c r="P3211" s="2765"/>
      <c r="Q3211" s="2954">
        <v>94.63</v>
      </c>
      <c r="R3211" s="76"/>
      <c r="S3211" s="1945" t="s">
        <v>731</v>
      </c>
      <c r="T3211" s="77"/>
      <c r="U3211" s="1893"/>
      <c r="V3211" s="2079">
        <f t="shared" si="728"/>
        <v>111.6634</v>
      </c>
      <c r="W3211" s="78">
        <f t="shared" si="729"/>
        <v>0</v>
      </c>
      <c r="X3211" s="1878" t="str">
        <f t="shared" si="725"/>
        <v xml:space="preserve">10.- C Lu He 0440509-OT_130603  Reencauche  </v>
      </c>
      <c r="Z3211" s="19" t="str">
        <f t="shared" si="731"/>
        <v>Transpl BandaReencauchadora Espinoza</v>
      </c>
    </row>
    <row r="3212" spans="2:26" outlineLevel="1">
      <c r="B3212" s="3252"/>
      <c r="C3212" s="367">
        <v>70</v>
      </c>
      <c r="D3212" s="670">
        <f t="shared" si="735"/>
        <v>27</v>
      </c>
      <c r="E3212" s="665">
        <v>11</v>
      </c>
      <c r="F3212" s="661" t="s">
        <v>732</v>
      </c>
      <c r="G3212" s="90" t="s">
        <v>831</v>
      </c>
      <c r="H3212" s="91" t="s">
        <v>28</v>
      </c>
      <c r="I3212" s="663" t="s">
        <v>726</v>
      </c>
      <c r="J3212" s="97" t="s">
        <v>760</v>
      </c>
      <c r="K3212" s="243" t="s">
        <v>25</v>
      </c>
      <c r="L3212" s="244">
        <v>40256</v>
      </c>
      <c r="M3212" s="676" t="s">
        <v>729</v>
      </c>
      <c r="N3212" s="74">
        <v>40291</v>
      </c>
      <c r="O3212" s="75">
        <f t="shared" si="734"/>
        <v>40291</v>
      </c>
      <c r="P3212" s="2799"/>
      <c r="Q3212" s="2954">
        <v>0</v>
      </c>
      <c r="R3212" s="248"/>
      <c r="S3212" s="1958" t="s">
        <v>731</v>
      </c>
      <c r="T3212" s="652" t="s">
        <v>3857</v>
      </c>
      <c r="U3212" s="1924"/>
      <c r="V3212" s="2079">
        <f t="shared" si="728"/>
        <v>0</v>
      </c>
      <c r="W3212" s="78">
        <f t="shared" si="729"/>
        <v>0</v>
      </c>
      <c r="X3212" s="1878" t="str">
        <f t="shared" si="725"/>
        <v>11.- C Kumho 1060604-OT_130603  Reencauche   RECHAZADA-250310 Llanta con casco soplado, banda pelada, REINGR A RENOVA 260310</v>
      </c>
      <c r="Z3212" s="19" t="str">
        <f t="shared" si="731"/>
        <v>ReencaucheReencauchadora Espinoza</v>
      </c>
    </row>
    <row r="3213" spans="2:26" outlineLevel="1">
      <c r="B3213" s="3252"/>
      <c r="C3213" s="367">
        <v>69</v>
      </c>
      <c r="D3213" s="670">
        <f t="shared" si="735"/>
        <v>26</v>
      </c>
      <c r="E3213" s="66">
        <v>1</v>
      </c>
      <c r="F3213" s="67" t="s">
        <v>732</v>
      </c>
      <c r="G3213" s="40" t="s">
        <v>814</v>
      </c>
      <c r="H3213" s="41" t="s">
        <v>38</v>
      </c>
      <c r="I3213" s="40" t="s">
        <v>726</v>
      </c>
      <c r="J3213" s="677" t="s">
        <v>1543</v>
      </c>
      <c r="K3213" s="43" t="s">
        <v>39</v>
      </c>
      <c r="L3213" s="44">
        <v>40252</v>
      </c>
      <c r="M3213" s="45" t="s">
        <v>729</v>
      </c>
      <c r="N3213" s="46">
        <v>40257</v>
      </c>
      <c r="O3213" s="47">
        <f t="shared" si="734"/>
        <v>40257</v>
      </c>
      <c r="P3213" s="2763"/>
      <c r="Q3213" s="2952"/>
      <c r="R3213" s="48">
        <f>300/(1.19)</f>
        <v>252.10084033613447</v>
      </c>
      <c r="S3213" s="1943" t="s">
        <v>731</v>
      </c>
      <c r="T3213" s="678" t="s">
        <v>40</v>
      </c>
      <c r="U3213" s="1940"/>
      <c r="V3213" s="2079">
        <f t="shared" si="728"/>
        <v>0</v>
      </c>
      <c r="W3213" s="78">
        <f t="shared" si="729"/>
        <v>297.47899159663865</v>
      </c>
      <c r="X3213" s="1878" t="str">
        <f t="shared" si="725"/>
        <v>1.- C Birla 0600806-OT_000119  Reencauche  Reencauchado con banda de 19mm</v>
      </c>
      <c r="Z3213" s="19" t="str">
        <f t="shared" si="731"/>
        <v>ReencaucheReencauchadora Espinoza</v>
      </c>
    </row>
    <row r="3214" spans="2:26" outlineLevel="1">
      <c r="B3214" s="3252"/>
      <c r="C3214" s="367">
        <v>68</v>
      </c>
      <c r="D3214" s="670">
        <f t="shared" si="735"/>
        <v>25</v>
      </c>
      <c r="E3214" s="572">
        <v>2</v>
      </c>
      <c r="F3214" s="573" t="s">
        <v>732</v>
      </c>
      <c r="G3214" s="679" t="s">
        <v>757</v>
      </c>
      <c r="H3214" s="680" t="s">
        <v>1814</v>
      </c>
      <c r="I3214" s="290" t="s">
        <v>740</v>
      </c>
      <c r="J3214" s="681" t="s">
        <v>1543</v>
      </c>
      <c r="K3214" s="682" t="s">
        <v>39</v>
      </c>
      <c r="L3214" s="683">
        <v>40252</v>
      </c>
      <c r="M3214" s="684" t="s">
        <v>729</v>
      </c>
      <c r="N3214" s="295">
        <v>40257</v>
      </c>
      <c r="O3214" s="296">
        <f t="shared" si="734"/>
        <v>40257</v>
      </c>
      <c r="P3214" s="2828"/>
      <c r="Q3214" s="2976"/>
      <c r="R3214" s="685">
        <f>150/(1.19)</f>
        <v>126.05042016806723</v>
      </c>
      <c r="S3214" s="1991" t="s">
        <v>731</v>
      </c>
      <c r="T3214" s="659" t="s">
        <v>41</v>
      </c>
      <c r="U3214" s="1939"/>
      <c r="V3214" s="2079">
        <f t="shared" si="728"/>
        <v>0</v>
      </c>
      <c r="W3214" s="78">
        <f t="shared" si="729"/>
        <v>148.73949579831933</v>
      </c>
      <c r="X3214" s="1878" t="str">
        <f t="shared" si="725"/>
        <v>2.- C Goodyear 009032003-OT_000119  Transpl Banda   Con banda transplantada de 0590806</v>
      </c>
      <c r="Z3214" s="19" t="str">
        <f t="shared" si="731"/>
        <v>ReencaucheReencauchadora Espinoza</v>
      </c>
    </row>
    <row r="3215" spans="2:26" outlineLevel="1">
      <c r="B3215" s="3252"/>
      <c r="C3215" s="367">
        <v>67</v>
      </c>
      <c r="D3215" s="670">
        <f t="shared" si="735"/>
        <v>24</v>
      </c>
      <c r="E3215" s="66">
        <v>3</v>
      </c>
      <c r="F3215" s="67" t="s">
        <v>732</v>
      </c>
      <c r="G3215" s="686" t="s">
        <v>757</v>
      </c>
      <c r="H3215" s="687" t="s">
        <v>1835</v>
      </c>
      <c r="I3215" s="686" t="s">
        <v>726</v>
      </c>
      <c r="J3215" s="688" t="s">
        <v>1543</v>
      </c>
      <c r="K3215" s="689" t="s">
        <v>39</v>
      </c>
      <c r="L3215" s="690">
        <v>40252</v>
      </c>
      <c r="M3215" s="691" t="s">
        <v>729</v>
      </c>
      <c r="N3215" s="74">
        <v>40257</v>
      </c>
      <c r="O3215" s="75">
        <f t="shared" si="734"/>
        <v>40257</v>
      </c>
      <c r="P3215" s="2829"/>
      <c r="Q3215" s="2954"/>
      <c r="R3215" s="692">
        <f>300/(1.19)</f>
        <v>252.10084033613447</v>
      </c>
      <c r="S3215" s="1992" t="s">
        <v>731</v>
      </c>
      <c r="T3215" s="678" t="s">
        <v>40</v>
      </c>
      <c r="U3215" s="1940"/>
      <c r="V3215" s="2079">
        <f t="shared" si="728"/>
        <v>0</v>
      </c>
      <c r="W3215" s="78">
        <f t="shared" si="729"/>
        <v>297.47899159663865</v>
      </c>
      <c r="X3215" s="1878" t="str">
        <f t="shared" si="725"/>
        <v>3.- C Goodyear 0010102-OT_000119  Reencauche  Reencauchado con banda de 19mm</v>
      </c>
      <c r="Z3215" s="19" t="str">
        <f t="shared" si="731"/>
        <v>ReencaucheReencauchadora Espinoza</v>
      </c>
    </row>
    <row r="3216" spans="2:26" outlineLevel="1">
      <c r="B3216" s="3252"/>
      <c r="C3216" s="367">
        <v>66</v>
      </c>
      <c r="D3216" s="670">
        <f t="shared" si="735"/>
        <v>23</v>
      </c>
      <c r="E3216" s="66">
        <v>4</v>
      </c>
      <c r="F3216" s="67" t="s">
        <v>732</v>
      </c>
      <c r="G3216" s="686" t="s">
        <v>737</v>
      </c>
      <c r="H3216" s="687" t="s">
        <v>2122</v>
      </c>
      <c r="I3216" s="686" t="s">
        <v>726</v>
      </c>
      <c r="J3216" s="688" t="s">
        <v>1543</v>
      </c>
      <c r="K3216" s="689" t="s">
        <v>42</v>
      </c>
      <c r="L3216" s="690">
        <v>40252</v>
      </c>
      <c r="M3216" s="691" t="s">
        <v>729</v>
      </c>
      <c r="N3216" s="74">
        <v>40264</v>
      </c>
      <c r="O3216" s="75">
        <f t="shared" si="734"/>
        <v>40264</v>
      </c>
      <c r="P3216" s="2829"/>
      <c r="Q3216" s="2954"/>
      <c r="R3216" s="692">
        <f>300/(1.19)</f>
        <v>252.10084033613447</v>
      </c>
      <c r="S3216" s="1992" t="s">
        <v>731</v>
      </c>
      <c r="T3216" s="678" t="s">
        <v>40</v>
      </c>
      <c r="U3216" s="1940"/>
      <c r="V3216" s="2079">
        <f t="shared" si="728"/>
        <v>0</v>
      </c>
      <c r="W3216" s="78">
        <f t="shared" si="729"/>
        <v>297.47899159663865</v>
      </c>
      <c r="X3216" s="1878" t="str">
        <f t="shared" si="725"/>
        <v>4.- C Vikrant 0841206-OT_00019  Reencauche  Reencauchado con banda de 19mm</v>
      </c>
      <c r="Z3216" s="19" t="str">
        <f t="shared" si="731"/>
        <v>Sacar_BandaReencauchadora Espinoza</v>
      </c>
    </row>
    <row r="3217" spans="2:26" outlineLevel="1">
      <c r="B3217" s="3252"/>
      <c r="C3217" s="367">
        <v>65</v>
      </c>
      <c r="D3217" s="670">
        <f t="shared" si="735"/>
        <v>22</v>
      </c>
      <c r="E3217" s="66">
        <v>5</v>
      </c>
      <c r="F3217" s="67" t="s">
        <v>732</v>
      </c>
      <c r="G3217" s="68" t="s">
        <v>831</v>
      </c>
      <c r="H3217" s="69" t="s">
        <v>2363</v>
      </c>
      <c r="I3217" s="68" t="s">
        <v>726</v>
      </c>
      <c r="J3217" s="70" t="s">
        <v>1543</v>
      </c>
      <c r="K3217" s="71" t="s">
        <v>43</v>
      </c>
      <c r="L3217" s="72">
        <v>40252</v>
      </c>
      <c r="M3217" s="73" t="s">
        <v>729</v>
      </c>
      <c r="N3217" s="74">
        <v>40264</v>
      </c>
      <c r="O3217" s="75">
        <f t="shared" si="734"/>
        <v>40264</v>
      </c>
      <c r="P3217" s="2765"/>
      <c r="Q3217" s="2954"/>
      <c r="R3217" s="76">
        <f>300/(1.19)</f>
        <v>252.10084033613447</v>
      </c>
      <c r="S3217" s="1945" t="s">
        <v>731</v>
      </c>
      <c r="T3217" s="693" t="s">
        <v>44</v>
      </c>
      <c r="U3217" s="1893"/>
      <c r="V3217" s="2079">
        <f t="shared" si="728"/>
        <v>0</v>
      </c>
      <c r="W3217" s="78">
        <f t="shared" si="729"/>
        <v>297.47899159663865</v>
      </c>
      <c r="X3217" s="1878" t="str">
        <f t="shared" si="725"/>
        <v>5.- C Kumho 0190104-OT_000120  Reencauche  Reencauchado con banda de 17mm</v>
      </c>
      <c r="Z3217" s="19" t="str">
        <f t="shared" si="731"/>
        <v>Reencauchadora RENOVA</v>
      </c>
    </row>
    <row r="3218" spans="2:26" outlineLevel="1">
      <c r="B3218" s="3252"/>
      <c r="C3218" s="367">
        <v>64</v>
      </c>
      <c r="D3218" s="670">
        <v>21</v>
      </c>
      <c r="E3218" s="66">
        <v>6</v>
      </c>
      <c r="F3218" s="67" t="s">
        <v>732</v>
      </c>
      <c r="G3218" s="686" t="s">
        <v>831</v>
      </c>
      <c r="H3218" s="687" t="s">
        <v>45</v>
      </c>
      <c r="I3218" s="686" t="s">
        <v>726</v>
      </c>
      <c r="J3218" s="688" t="s">
        <v>1543</v>
      </c>
      <c r="K3218" s="689" t="s">
        <v>46</v>
      </c>
      <c r="L3218" s="690">
        <v>40252</v>
      </c>
      <c r="M3218" s="691" t="s">
        <v>729</v>
      </c>
      <c r="N3218" s="74">
        <v>40264</v>
      </c>
      <c r="O3218" s="75">
        <f t="shared" si="734"/>
        <v>40264</v>
      </c>
      <c r="P3218" s="2829"/>
      <c r="Q3218" s="2954"/>
      <c r="R3218" s="692">
        <f>300/(1.19)</f>
        <v>252.10084033613447</v>
      </c>
      <c r="S3218" s="1992" t="s">
        <v>731</v>
      </c>
      <c r="T3218" s="693" t="s">
        <v>44</v>
      </c>
      <c r="U3218" s="1893"/>
      <c r="V3218" s="2079">
        <f t="shared" si="728"/>
        <v>0</v>
      </c>
      <c r="W3218" s="78">
        <f t="shared" si="729"/>
        <v>297.47899159663865</v>
      </c>
      <c r="X3218" s="1878" t="str">
        <f t="shared" si="725"/>
        <v>6.- C Kumho 1841004-OT_00120  Reencauche  Reencauchado con banda de 17mm</v>
      </c>
      <c r="Z3218" s="19" t="str">
        <f t="shared" si="731"/>
        <v>Reencauchadora RENOVA</v>
      </c>
    </row>
    <row r="3219" spans="2:26" outlineLevel="1">
      <c r="B3219" s="3252"/>
      <c r="C3219" s="367"/>
      <c r="D3219" s="670"/>
      <c r="E3219" s="660">
        <v>7</v>
      </c>
      <c r="F3219" s="661" t="s">
        <v>732</v>
      </c>
      <c r="G3219" s="90" t="s">
        <v>814</v>
      </c>
      <c r="H3219" s="91" t="s">
        <v>47</v>
      </c>
      <c r="I3219" s="257" t="s">
        <v>744</v>
      </c>
      <c r="J3219" s="92" t="s">
        <v>1543</v>
      </c>
      <c r="K3219" s="243" t="s">
        <v>46</v>
      </c>
      <c r="L3219" s="244">
        <v>40252</v>
      </c>
      <c r="M3219" s="245" t="s">
        <v>2325</v>
      </c>
      <c r="N3219" s="74">
        <v>40257</v>
      </c>
      <c r="O3219" s="75">
        <f t="shared" si="734"/>
        <v>40257</v>
      </c>
      <c r="P3219" s="2799"/>
      <c r="Q3219" s="2954"/>
      <c r="R3219" s="248">
        <v>0</v>
      </c>
      <c r="S3219" s="1958" t="s">
        <v>731</v>
      </c>
      <c r="T3219" s="652" t="s">
        <v>48</v>
      </c>
      <c r="U3219" s="1924"/>
      <c r="V3219" s="2079">
        <f t="shared" si="728"/>
        <v>0</v>
      </c>
      <c r="W3219" s="78">
        <f t="shared" si="729"/>
        <v>0</v>
      </c>
      <c r="X3219" s="1878" t="str">
        <f t="shared" si="725"/>
        <v>7.- C Birla 0590806-OT_00120  Sacar_Banda   Llanta con casco lateral dañado, banda Ok pasa a desecho</v>
      </c>
      <c r="Z3219" s="19" t="str">
        <f t="shared" si="731"/>
        <v>Reencauchadora RENOVA</v>
      </c>
    </row>
    <row r="3220" spans="2:26" outlineLevel="1">
      <c r="B3220" s="3252"/>
      <c r="C3220" s="367"/>
      <c r="D3220" s="670"/>
      <c r="E3220" s="694"/>
      <c r="F3220" s="2057" t="s">
        <v>732</v>
      </c>
      <c r="G3220" s="695" t="s">
        <v>757</v>
      </c>
      <c r="H3220" s="696" t="s">
        <v>1835</v>
      </c>
      <c r="I3220" s="695"/>
      <c r="J3220" s="697" t="s">
        <v>760</v>
      </c>
      <c r="K3220" s="698" t="s">
        <v>49</v>
      </c>
      <c r="L3220" s="699">
        <v>40241</v>
      </c>
      <c r="M3220" s="700" t="s">
        <v>1815</v>
      </c>
      <c r="N3220" s="701">
        <v>40248</v>
      </c>
      <c r="O3220" s="702">
        <f t="shared" si="734"/>
        <v>40248</v>
      </c>
      <c r="P3220" s="2830"/>
      <c r="Q3220" s="2995">
        <v>0</v>
      </c>
      <c r="R3220" s="703"/>
      <c r="S3220" s="1993" t="s">
        <v>731</v>
      </c>
      <c r="T3220" s="654" t="s">
        <v>1617</v>
      </c>
      <c r="U3220" s="1922"/>
      <c r="V3220" s="2079">
        <f t="shared" si="728"/>
        <v>0</v>
      </c>
      <c r="W3220" s="78">
        <f t="shared" si="729"/>
        <v>0</v>
      </c>
      <c r="X3220" s="1878" t="str">
        <f t="shared" si="725"/>
        <v>.- C Goodyear 0010102-OT_129525     Llanta Rechazada, no se facturo</v>
      </c>
      <c r="Z3220" s="19" t="str">
        <f t="shared" si="731"/>
        <v>ReencaucheReencauchadora RENOVA</v>
      </c>
    </row>
    <row r="3221" spans="2:26" outlineLevel="1">
      <c r="B3221" s="3252"/>
      <c r="C3221" s="367"/>
      <c r="D3221" s="670"/>
      <c r="E3221" s="621"/>
      <c r="F3221" s="2056" t="s">
        <v>732</v>
      </c>
      <c r="G3221" s="704" t="s">
        <v>757</v>
      </c>
      <c r="H3221" s="705" t="s">
        <v>1814</v>
      </c>
      <c r="I3221" s="704"/>
      <c r="J3221" s="706" t="s">
        <v>760</v>
      </c>
      <c r="K3221" s="707" t="s">
        <v>49</v>
      </c>
      <c r="L3221" s="708">
        <v>40241</v>
      </c>
      <c r="M3221" s="709" t="s">
        <v>1815</v>
      </c>
      <c r="N3221" s="259">
        <v>40248</v>
      </c>
      <c r="O3221" s="140">
        <f t="shared" si="734"/>
        <v>40248</v>
      </c>
      <c r="P3221" s="2831"/>
      <c r="Q3221" s="2971">
        <v>0</v>
      </c>
      <c r="R3221" s="710"/>
      <c r="S3221" s="1994" t="s">
        <v>731</v>
      </c>
      <c r="T3221" s="654" t="s">
        <v>1617</v>
      </c>
      <c r="U3221" s="1922"/>
      <c r="V3221" s="2079">
        <f t="shared" si="728"/>
        <v>0</v>
      </c>
      <c r="W3221" s="78">
        <f t="shared" si="729"/>
        <v>0</v>
      </c>
      <c r="X3221" s="1878" t="str">
        <f t="shared" si="725"/>
        <v>.- C Goodyear 009032003-OT_129525     Llanta Rechazada, no se facturo</v>
      </c>
      <c r="Z3221" s="19" t="str">
        <f t="shared" si="731"/>
        <v>ReencaucheReencauchadora RENOVA</v>
      </c>
    </row>
    <row r="3222" spans="2:26" outlineLevel="1">
      <c r="B3222" s="3252"/>
      <c r="C3222" s="367"/>
      <c r="D3222" s="670"/>
      <c r="E3222" s="621" t="s">
        <v>50</v>
      </c>
      <c r="F3222" s="2056" t="s">
        <v>732</v>
      </c>
      <c r="G3222" s="622" t="s">
        <v>757</v>
      </c>
      <c r="H3222" s="623" t="s">
        <v>51</v>
      </c>
      <c r="I3222" s="622"/>
      <c r="J3222" s="624" t="s">
        <v>760</v>
      </c>
      <c r="K3222" s="625" t="s">
        <v>52</v>
      </c>
      <c r="L3222" s="626">
        <v>40241</v>
      </c>
      <c r="M3222" s="711" t="s">
        <v>1815</v>
      </c>
      <c r="N3222" s="259">
        <v>40248</v>
      </c>
      <c r="O3222" s="140">
        <f t="shared" si="734"/>
        <v>40248</v>
      </c>
      <c r="P3222" s="2825"/>
      <c r="Q3222" s="2971">
        <v>0</v>
      </c>
      <c r="R3222" s="628"/>
      <c r="S3222" s="1988" t="s">
        <v>731</v>
      </c>
      <c r="T3222" s="654" t="s">
        <v>53</v>
      </c>
      <c r="U3222" s="1922"/>
      <c r="V3222" s="2079">
        <f t="shared" si="728"/>
        <v>0</v>
      </c>
      <c r="W3222" s="78">
        <f t="shared" si="729"/>
        <v>0</v>
      </c>
      <c r="X3222" s="1878" t="str">
        <f t="shared" si="725"/>
        <v>xx.- C Goodyear 048092003-OT_129526     Llanta Rechazada, no se facturo, pelada y soplada</v>
      </c>
      <c r="Z3222" s="19" t="str">
        <f t="shared" si="731"/>
        <v>ReencaucheReencauchadora RENOVA</v>
      </c>
    </row>
    <row r="3223" spans="2:26" outlineLevel="1">
      <c r="B3223" s="3252"/>
      <c r="C3223" s="367">
        <f t="shared" ref="C3223:C3241" si="736">1+C3224</f>
        <v>63</v>
      </c>
      <c r="D3223" s="670">
        <f t="shared" ref="D3223:D3241" si="737">1+D3224</f>
        <v>20</v>
      </c>
      <c r="E3223" s="66">
        <v>1</v>
      </c>
      <c r="F3223" s="67" t="s">
        <v>732</v>
      </c>
      <c r="G3223" s="299" t="s">
        <v>769</v>
      </c>
      <c r="H3223" s="69" t="s">
        <v>54</v>
      </c>
      <c r="I3223" s="299" t="s">
        <v>726</v>
      </c>
      <c r="J3223" s="301" t="s">
        <v>760</v>
      </c>
      <c r="K3223" s="71" t="s">
        <v>49</v>
      </c>
      <c r="L3223" s="72">
        <v>40241</v>
      </c>
      <c r="M3223" s="73" t="s">
        <v>729</v>
      </c>
      <c r="N3223" s="74">
        <v>40249</v>
      </c>
      <c r="O3223" s="75">
        <f t="shared" si="734"/>
        <v>40249</v>
      </c>
      <c r="P3223" s="2765"/>
      <c r="Q3223" s="2954">
        <v>94.63</v>
      </c>
      <c r="R3223" s="76"/>
      <c r="S3223" s="1945" t="s">
        <v>731</v>
      </c>
      <c r="T3223" s="693"/>
      <c r="U3223" s="1893"/>
      <c r="V3223" s="2079">
        <f t="shared" si="728"/>
        <v>111.6634</v>
      </c>
      <c r="W3223" s="78">
        <f t="shared" si="729"/>
        <v>0</v>
      </c>
      <c r="X3223" s="1878" t="str">
        <f t="shared" si="725"/>
        <v xml:space="preserve">1.- C Lu He 0200209-OT_129525  Reencauche  </v>
      </c>
      <c r="Z3223" s="19" t="str">
        <f t="shared" si="731"/>
        <v>ReencaucheReencauchadora RENOVA</v>
      </c>
    </row>
    <row r="3224" spans="2:26" outlineLevel="1">
      <c r="B3224" s="3252"/>
      <c r="C3224" s="367">
        <f t="shared" si="736"/>
        <v>62</v>
      </c>
      <c r="D3224" s="670">
        <f t="shared" si="737"/>
        <v>19</v>
      </c>
      <c r="E3224" s="66">
        <v>2</v>
      </c>
      <c r="F3224" s="67" t="s">
        <v>732</v>
      </c>
      <c r="G3224" s="299" t="s">
        <v>733</v>
      </c>
      <c r="H3224" s="69" t="s">
        <v>1417</v>
      </c>
      <c r="I3224" s="299" t="s">
        <v>726</v>
      </c>
      <c r="J3224" s="301" t="s">
        <v>760</v>
      </c>
      <c r="K3224" s="71" t="s">
        <v>52</v>
      </c>
      <c r="L3224" s="72">
        <v>40241</v>
      </c>
      <c r="M3224" s="73" t="s">
        <v>729</v>
      </c>
      <c r="N3224" s="74">
        <v>40249</v>
      </c>
      <c r="O3224" s="75">
        <f t="shared" si="734"/>
        <v>40249</v>
      </c>
      <c r="P3224" s="2765"/>
      <c r="Q3224" s="2954">
        <v>94.63</v>
      </c>
      <c r="R3224" s="76"/>
      <c r="S3224" s="1945" t="s">
        <v>731</v>
      </c>
      <c r="T3224" s="693"/>
      <c r="U3224" s="1893"/>
      <c r="V3224" s="2079">
        <f t="shared" si="728"/>
        <v>111.6634</v>
      </c>
      <c r="W3224" s="78">
        <f t="shared" si="729"/>
        <v>0</v>
      </c>
      <c r="X3224" s="1878" t="str">
        <f t="shared" si="725"/>
        <v xml:space="preserve">2.- C Lima Caucho 0450707-OT_129526  Reencauche  </v>
      </c>
      <c r="Z3224" s="19" t="str">
        <f t="shared" si="731"/>
        <v>ReencaucheReencauchadora RENOVA</v>
      </c>
    </row>
    <row r="3225" spans="2:26" outlineLevel="1">
      <c r="B3225" s="3252"/>
      <c r="C3225" s="367">
        <f t="shared" si="736"/>
        <v>61</v>
      </c>
      <c r="D3225" s="670">
        <f t="shared" si="737"/>
        <v>18</v>
      </c>
      <c r="E3225" s="66">
        <v>3</v>
      </c>
      <c r="F3225" s="67" t="s">
        <v>732</v>
      </c>
      <c r="G3225" s="299" t="s">
        <v>1233</v>
      </c>
      <c r="H3225" s="69" t="s">
        <v>2020</v>
      </c>
      <c r="I3225" s="299" t="s">
        <v>726</v>
      </c>
      <c r="J3225" s="301" t="s">
        <v>760</v>
      </c>
      <c r="K3225" s="71" t="s">
        <v>52</v>
      </c>
      <c r="L3225" s="72">
        <v>40241</v>
      </c>
      <c r="M3225" s="73" t="s">
        <v>729</v>
      </c>
      <c r="N3225" s="74">
        <v>40249</v>
      </c>
      <c r="O3225" s="75">
        <f t="shared" si="734"/>
        <v>40249</v>
      </c>
      <c r="P3225" s="2765"/>
      <c r="Q3225" s="2954">
        <v>94.63</v>
      </c>
      <c r="R3225" s="76"/>
      <c r="S3225" s="1945" t="s">
        <v>731</v>
      </c>
      <c r="T3225" s="712"/>
      <c r="U3225" s="1935"/>
      <c r="V3225" s="2079">
        <f t="shared" si="728"/>
        <v>111.6634</v>
      </c>
      <c r="W3225" s="78">
        <f t="shared" si="729"/>
        <v>0</v>
      </c>
      <c r="X3225" s="1878" t="str">
        <f t="shared" si="725"/>
        <v xml:space="preserve">3.- C Saratoga 0120306-OT_129526  Reencauche  </v>
      </c>
      <c r="Z3225" s="19" t="str">
        <f t="shared" si="731"/>
        <v>ReencaucheReencauchadora RENOVA</v>
      </c>
    </row>
    <row r="3226" spans="2:26" outlineLevel="1">
      <c r="B3226" s="3252"/>
      <c r="C3226" s="367">
        <f t="shared" si="736"/>
        <v>60</v>
      </c>
      <c r="D3226" s="670">
        <f t="shared" si="737"/>
        <v>17</v>
      </c>
      <c r="E3226" s="671">
        <v>4</v>
      </c>
      <c r="F3226" s="713" t="s">
        <v>732</v>
      </c>
      <c r="G3226" s="674" t="s">
        <v>1108</v>
      </c>
      <c r="H3226" s="194" t="s">
        <v>55</v>
      </c>
      <c r="I3226" s="674" t="s">
        <v>726</v>
      </c>
      <c r="J3226" s="675" t="s">
        <v>760</v>
      </c>
      <c r="K3226" s="196" t="s">
        <v>52</v>
      </c>
      <c r="L3226" s="197">
        <v>40241</v>
      </c>
      <c r="M3226" s="198" t="s">
        <v>729</v>
      </c>
      <c r="N3226" s="199">
        <v>40249</v>
      </c>
      <c r="O3226" s="75">
        <f t="shared" si="734"/>
        <v>40249</v>
      </c>
      <c r="P3226" s="2765"/>
      <c r="Q3226" s="2954">
        <v>94.63</v>
      </c>
      <c r="R3226" s="201"/>
      <c r="S3226" s="1953" t="s">
        <v>731</v>
      </c>
      <c r="T3226" s="693"/>
      <c r="U3226" s="1893"/>
      <c r="V3226" s="2079">
        <f t="shared" si="728"/>
        <v>111.6634</v>
      </c>
      <c r="W3226" s="78">
        <f t="shared" si="729"/>
        <v>0</v>
      </c>
      <c r="X3226" s="1878" t="str">
        <f t="shared" si="725"/>
        <v xml:space="preserve">4.- C Hankook 1801004-OT_129526  Reencauche  </v>
      </c>
      <c r="Z3226" s="19" t="str">
        <f t="shared" si="731"/>
        <v>ReencaucheReencauchadora RENOVA</v>
      </c>
    </row>
    <row r="3227" spans="2:26" outlineLevel="1">
      <c r="B3227" s="3252"/>
      <c r="C3227" s="367">
        <f t="shared" si="736"/>
        <v>59</v>
      </c>
      <c r="D3227" s="670">
        <f t="shared" si="737"/>
        <v>16</v>
      </c>
      <c r="E3227" s="66">
        <v>1</v>
      </c>
      <c r="F3227" s="67" t="s">
        <v>732</v>
      </c>
      <c r="G3227" s="68" t="s">
        <v>737</v>
      </c>
      <c r="H3227" s="69" t="s">
        <v>1489</v>
      </c>
      <c r="I3227" s="68" t="s">
        <v>726</v>
      </c>
      <c r="J3227" s="70" t="s">
        <v>760</v>
      </c>
      <c r="K3227" s="71" t="s">
        <v>49</v>
      </c>
      <c r="L3227" s="72">
        <v>40241</v>
      </c>
      <c r="M3227" s="73" t="s">
        <v>729</v>
      </c>
      <c r="N3227" s="74">
        <v>40248</v>
      </c>
      <c r="O3227" s="75">
        <f t="shared" si="734"/>
        <v>40248</v>
      </c>
      <c r="P3227" s="2765"/>
      <c r="Q3227" s="2954">
        <v>94.63</v>
      </c>
      <c r="R3227" s="76"/>
      <c r="S3227" s="1945" t="s">
        <v>731</v>
      </c>
      <c r="T3227" s="693"/>
      <c r="U3227" s="1893"/>
      <c r="V3227" s="2079">
        <f t="shared" si="728"/>
        <v>111.6634</v>
      </c>
      <c r="W3227" s="78">
        <f t="shared" si="729"/>
        <v>0</v>
      </c>
      <c r="X3227" s="1878" t="str">
        <f t="shared" si="725"/>
        <v xml:space="preserve">1.- C Vikrant 0650906-OT_129525  Reencauche  </v>
      </c>
      <c r="Z3227" s="19" t="str">
        <f t="shared" si="731"/>
        <v>ReencaucheReencauchadora RENOVA</v>
      </c>
    </row>
    <row r="3228" spans="2:26" outlineLevel="1">
      <c r="B3228" s="3252"/>
      <c r="C3228" s="367">
        <f t="shared" si="736"/>
        <v>58</v>
      </c>
      <c r="D3228" s="670">
        <f t="shared" si="737"/>
        <v>15</v>
      </c>
      <c r="E3228" s="66">
        <v>2</v>
      </c>
      <c r="F3228" s="67" t="s">
        <v>732</v>
      </c>
      <c r="G3228" s="299" t="s">
        <v>737</v>
      </c>
      <c r="H3228" s="69" t="s">
        <v>1185</v>
      </c>
      <c r="I3228" s="299" t="s">
        <v>726</v>
      </c>
      <c r="J3228" s="301" t="s">
        <v>760</v>
      </c>
      <c r="K3228" s="71" t="s">
        <v>49</v>
      </c>
      <c r="L3228" s="72">
        <v>40241</v>
      </c>
      <c r="M3228" s="73" t="s">
        <v>729</v>
      </c>
      <c r="N3228" s="74">
        <v>40248</v>
      </c>
      <c r="O3228" s="75">
        <f t="shared" si="734"/>
        <v>40248</v>
      </c>
      <c r="P3228" s="2765"/>
      <c r="Q3228" s="2954">
        <v>94.63</v>
      </c>
      <c r="R3228" s="76"/>
      <c r="S3228" s="1945" t="s">
        <v>731</v>
      </c>
      <c r="T3228" s="693"/>
      <c r="U3228" s="1893"/>
      <c r="V3228" s="2079">
        <f t="shared" si="728"/>
        <v>111.6634</v>
      </c>
      <c r="W3228" s="78">
        <f t="shared" si="729"/>
        <v>0</v>
      </c>
      <c r="X3228" s="1878" t="str">
        <f t="shared" si="725"/>
        <v xml:space="preserve">2.- C Vikrant 1200805-OT_129525  Reencauche  </v>
      </c>
      <c r="Z3228" s="19" t="str">
        <f t="shared" si="731"/>
        <v>ReencaucheReencauchadora RENOVA</v>
      </c>
    </row>
    <row r="3229" spans="2:26" outlineLevel="1">
      <c r="B3229" s="3252"/>
      <c r="C3229" s="367">
        <f t="shared" si="736"/>
        <v>57</v>
      </c>
      <c r="D3229" s="670">
        <f t="shared" si="737"/>
        <v>14</v>
      </c>
      <c r="E3229" s="66">
        <v>3</v>
      </c>
      <c r="F3229" s="67" t="s">
        <v>732</v>
      </c>
      <c r="G3229" s="299" t="s">
        <v>757</v>
      </c>
      <c r="H3229" s="69" t="s">
        <v>1698</v>
      </c>
      <c r="I3229" s="299" t="s">
        <v>726</v>
      </c>
      <c r="J3229" s="301" t="s">
        <v>760</v>
      </c>
      <c r="K3229" s="71" t="s">
        <v>49</v>
      </c>
      <c r="L3229" s="72">
        <v>40241</v>
      </c>
      <c r="M3229" s="73" t="s">
        <v>729</v>
      </c>
      <c r="N3229" s="74">
        <v>40248</v>
      </c>
      <c r="O3229" s="75">
        <f t="shared" si="734"/>
        <v>40248</v>
      </c>
      <c r="P3229" s="2765"/>
      <c r="Q3229" s="2954">
        <v>94.63</v>
      </c>
      <c r="R3229" s="76"/>
      <c r="S3229" s="1945" t="s">
        <v>731</v>
      </c>
      <c r="T3229" s="693"/>
      <c r="U3229" s="1893"/>
      <c r="V3229" s="2079">
        <f t="shared" si="728"/>
        <v>111.6634</v>
      </c>
      <c r="W3229" s="78">
        <f t="shared" si="729"/>
        <v>0</v>
      </c>
      <c r="X3229" s="1878" t="str">
        <f t="shared" si="725"/>
        <v xml:space="preserve">3.- C Goodyear 055032004-OT_129525  Reencauche  </v>
      </c>
      <c r="Z3229" s="19" t="str">
        <f t="shared" si="731"/>
        <v>ReencaucheReencauchadora RENOVA</v>
      </c>
    </row>
    <row r="3230" spans="2:26" outlineLevel="1">
      <c r="B3230" s="3252"/>
      <c r="C3230" s="367">
        <f t="shared" si="736"/>
        <v>56</v>
      </c>
      <c r="D3230" s="670">
        <f t="shared" si="737"/>
        <v>13</v>
      </c>
      <c r="E3230" s="66">
        <v>4</v>
      </c>
      <c r="F3230" s="67" t="s">
        <v>732</v>
      </c>
      <c r="G3230" s="299" t="s">
        <v>737</v>
      </c>
      <c r="H3230" s="714" t="s">
        <v>1948</v>
      </c>
      <c r="I3230" s="299" t="s">
        <v>726</v>
      </c>
      <c r="J3230" s="301" t="s">
        <v>760</v>
      </c>
      <c r="K3230" s="71" t="s">
        <v>49</v>
      </c>
      <c r="L3230" s="72">
        <v>40241</v>
      </c>
      <c r="M3230" s="73" t="s">
        <v>729</v>
      </c>
      <c r="N3230" s="74">
        <v>40248</v>
      </c>
      <c r="O3230" s="75">
        <f t="shared" si="734"/>
        <v>40248</v>
      </c>
      <c r="P3230" s="2765"/>
      <c r="Q3230" s="2954">
        <v>94.63</v>
      </c>
      <c r="R3230" s="76"/>
      <c r="S3230" s="1945" t="s">
        <v>731</v>
      </c>
      <c r="T3230" s="693"/>
      <c r="U3230" s="1893"/>
      <c r="V3230" s="2079">
        <f t="shared" si="728"/>
        <v>111.6634</v>
      </c>
      <c r="W3230" s="78">
        <f t="shared" si="729"/>
        <v>0</v>
      </c>
      <c r="X3230" s="1878" t="str">
        <f t="shared" si="725"/>
        <v xml:space="preserve">4.- C Vikrant 0910505-OT_129525  Reencauche  </v>
      </c>
      <c r="Z3230" s="19" t="str">
        <f t="shared" si="731"/>
        <v>ReencaucheReencauchadora RENOVA</v>
      </c>
    </row>
    <row r="3231" spans="2:26" outlineLevel="1">
      <c r="B3231" s="3252"/>
      <c r="C3231" s="367">
        <f t="shared" si="736"/>
        <v>55</v>
      </c>
      <c r="D3231" s="670">
        <f t="shared" si="737"/>
        <v>12</v>
      </c>
      <c r="E3231" s="66">
        <v>5</v>
      </c>
      <c r="F3231" s="67" t="s">
        <v>732</v>
      </c>
      <c r="G3231" s="299" t="s">
        <v>737</v>
      </c>
      <c r="H3231" s="69" t="s">
        <v>1769</v>
      </c>
      <c r="I3231" s="299" t="s">
        <v>726</v>
      </c>
      <c r="J3231" s="301" t="s">
        <v>760</v>
      </c>
      <c r="K3231" s="71" t="s">
        <v>49</v>
      </c>
      <c r="L3231" s="72">
        <v>40241</v>
      </c>
      <c r="M3231" s="73" t="s">
        <v>729</v>
      </c>
      <c r="N3231" s="74">
        <v>40248</v>
      </c>
      <c r="O3231" s="75">
        <f t="shared" si="734"/>
        <v>40248</v>
      </c>
      <c r="P3231" s="2765"/>
      <c r="Q3231" s="2954">
        <v>94.63</v>
      </c>
      <c r="R3231" s="76"/>
      <c r="S3231" s="1945" t="s">
        <v>731</v>
      </c>
      <c r="T3231" s="693"/>
      <c r="U3231" s="1893"/>
      <c r="V3231" s="2079">
        <f t="shared" si="728"/>
        <v>111.6634</v>
      </c>
      <c r="W3231" s="78">
        <f t="shared" si="729"/>
        <v>0</v>
      </c>
      <c r="X3231" s="1878" t="str">
        <f t="shared" si="725"/>
        <v xml:space="preserve">5.- C Vikrant 1400805-OT_129525  Reencauche  </v>
      </c>
      <c r="Z3231" s="19" t="str">
        <f t="shared" si="731"/>
        <v>ReencaucheReencauchadora RENOVA</v>
      </c>
    </row>
    <row r="3232" spans="2:26" outlineLevel="1">
      <c r="B3232" s="3252"/>
      <c r="C3232" s="367">
        <f t="shared" si="736"/>
        <v>54</v>
      </c>
      <c r="D3232" s="670">
        <f t="shared" si="737"/>
        <v>11</v>
      </c>
      <c r="E3232" s="66">
        <v>6</v>
      </c>
      <c r="F3232" s="67" t="s">
        <v>732</v>
      </c>
      <c r="G3232" s="299" t="s">
        <v>737</v>
      </c>
      <c r="H3232" s="69" t="s">
        <v>1081</v>
      </c>
      <c r="I3232" s="299" t="s">
        <v>726</v>
      </c>
      <c r="J3232" s="301" t="s">
        <v>760</v>
      </c>
      <c r="K3232" s="71" t="s">
        <v>49</v>
      </c>
      <c r="L3232" s="72">
        <v>40241</v>
      </c>
      <c r="M3232" s="73" t="s">
        <v>729</v>
      </c>
      <c r="N3232" s="74">
        <v>40248</v>
      </c>
      <c r="O3232" s="75">
        <f t="shared" si="734"/>
        <v>40248</v>
      </c>
      <c r="P3232" s="2765"/>
      <c r="Q3232" s="2954">
        <v>94.63</v>
      </c>
      <c r="R3232" s="76"/>
      <c r="S3232" s="1945" t="s">
        <v>731</v>
      </c>
      <c r="T3232" s="693"/>
      <c r="U3232" s="1893"/>
      <c r="V3232" s="2079">
        <f t="shared" si="728"/>
        <v>111.6634</v>
      </c>
      <c r="W3232" s="78">
        <f t="shared" si="729"/>
        <v>0</v>
      </c>
      <c r="X3232" s="1878" t="str">
        <f t="shared" si="725"/>
        <v xml:space="preserve">6.- C Vikrant 0941206-OT_129525  Reencauche  </v>
      </c>
      <c r="Z3232" s="19" t="str">
        <f t="shared" si="731"/>
        <v>ReencaucheReencauchadora RENOVA</v>
      </c>
    </row>
    <row r="3233" spans="2:26" outlineLevel="1">
      <c r="B3233" s="3252"/>
      <c r="C3233" s="367">
        <f t="shared" si="736"/>
        <v>53</v>
      </c>
      <c r="D3233" s="670">
        <f t="shared" si="737"/>
        <v>10</v>
      </c>
      <c r="E3233" s="66">
        <v>7</v>
      </c>
      <c r="F3233" s="67" t="s">
        <v>732</v>
      </c>
      <c r="G3233" s="299" t="s">
        <v>1108</v>
      </c>
      <c r="H3233" s="69" t="s">
        <v>1179</v>
      </c>
      <c r="I3233" s="299" t="s">
        <v>726</v>
      </c>
      <c r="J3233" s="301" t="s">
        <v>760</v>
      </c>
      <c r="K3233" s="71" t="s">
        <v>49</v>
      </c>
      <c r="L3233" s="72">
        <v>40241</v>
      </c>
      <c r="M3233" s="73" t="s">
        <v>729</v>
      </c>
      <c r="N3233" s="74">
        <v>40248</v>
      </c>
      <c r="O3233" s="75">
        <f t="shared" si="734"/>
        <v>40248</v>
      </c>
      <c r="P3233" s="2765"/>
      <c r="Q3233" s="2954">
        <v>94.63</v>
      </c>
      <c r="R3233" s="76"/>
      <c r="S3233" s="1945" t="s">
        <v>731</v>
      </c>
      <c r="T3233" s="693"/>
      <c r="U3233" s="1893"/>
      <c r="V3233" s="2079">
        <f t="shared" si="728"/>
        <v>111.6634</v>
      </c>
      <c r="W3233" s="78">
        <f t="shared" si="729"/>
        <v>0</v>
      </c>
      <c r="X3233" s="1878" t="str">
        <f t="shared" si="725"/>
        <v xml:space="preserve">7.- C Hankook 043032004-OT_129525  Reencauche  </v>
      </c>
      <c r="Z3233" s="19" t="str">
        <f t="shared" si="731"/>
        <v>ReencaucheReencauchadora RENOVA</v>
      </c>
    </row>
    <row r="3234" spans="2:26" outlineLevel="1">
      <c r="B3234" s="3252"/>
      <c r="C3234" s="367">
        <f t="shared" si="736"/>
        <v>52</v>
      </c>
      <c r="D3234" s="670">
        <f t="shared" si="737"/>
        <v>9</v>
      </c>
      <c r="E3234" s="66">
        <v>8</v>
      </c>
      <c r="F3234" s="67" t="s">
        <v>732</v>
      </c>
      <c r="G3234" s="299" t="s">
        <v>737</v>
      </c>
      <c r="H3234" s="69" t="s">
        <v>1277</v>
      </c>
      <c r="I3234" s="299" t="s">
        <v>726</v>
      </c>
      <c r="J3234" s="301" t="s">
        <v>760</v>
      </c>
      <c r="K3234" s="71" t="s">
        <v>52</v>
      </c>
      <c r="L3234" s="72">
        <v>40241</v>
      </c>
      <c r="M3234" s="73" t="s">
        <v>729</v>
      </c>
      <c r="N3234" s="74">
        <v>40248</v>
      </c>
      <c r="O3234" s="75">
        <f t="shared" si="734"/>
        <v>40248</v>
      </c>
      <c r="P3234" s="2765"/>
      <c r="Q3234" s="2954">
        <v>94.63</v>
      </c>
      <c r="R3234" s="76"/>
      <c r="S3234" s="1945" t="s">
        <v>731</v>
      </c>
      <c r="T3234" s="693"/>
      <c r="U3234" s="1893"/>
      <c r="V3234" s="2079">
        <f t="shared" si="728"/>
        <v>111.6634</v>
      </c>
      <c r="W3234" s="78">
        <f t="shared" si="729"/>
        <v>0</v>
      </c>
      <c r="X3234" s="1878" t="str">
        <f t="shared" ref="X3234:X3289" si="738">CONCATENATE(E3234,".- ",F3234," ",G3234," ",H3234,"-OT_",K3234," "," ",I3234," ",P3234," ",T3234)</f>
        <v xml:space="preserve">8.- C Vikrant 1070705-OT_129526  Reencauche  </v>
      </c>
      <c r="Z3234" s="19" t="str">
        <f t="shared" si="731"/>
        <v>ReencaucheReencauchadora RENOVA</v>
      </c>
    </row>
    <row r="3235" spans="2:26" outlineLevel="1">
      <c r="B3235" s="3252"/>
      <c r="C3235" s="367">
        <f t="shared" si="736"/>
        <v>51</v>
      </c>
      <c r="D3235" s="670">
        <f t="shared" si="737"/>
        <v>8</v>
      </c>
      <c r="E3235" s="66">
        <v>9</v>
      </c>
      <c r="F3235" s="67" t="s">
        <v>732</v>
      </c>
      <c r="G3235" s="299" t="s">
        <v>737</v>
      </c>
      <c r="H3235" s="69" t="s">
        <v>56</v>
      </c>
      <c r="I3235" s="299" t="s">
        <v>726</v>
      </c>
      <c r="J3235" s="301" t="s">
        <v>760</v>
      </c>
      <c r="K3235" s="71" t="s">
        <v>52</v>
      </c>
      <c r="L3235" s="72">
        <v>40241</v>
      </c>
      <c r="M3235" s="73" t="s">
        <v>729</v>
      </c>
      <c r="N3235" s="74">
        <v>40248</v>
      </c>
      <c r="O3235" s="75">
        <f t="shared" si="734"/>
        <v>40248</v>
      </c>
      <c r="P3235" s="2765"/>
      <c r="Q3235" s="2954">
        <v>94.63</v>
      </c>
      <c r="R3235" s="76"/>
      <c r="S3235" s="1945" t="s">
        <v>731</v>
      </c>
      <c r="T3235" s="693"/>
      <c r="U3235" s="1893"/>
      <c r="V3235" s="2079">
        <f t="shared" ref="V3235:V3289" si="739">+Q3235*(1.18)</f>
        <v>111.6634</v>
      </c>
      <c r="W3235" s="78">
        <f t="shared" ref="W3235:W3289" si="740">+R3235*(1.18)</f>
        <v>0</v>
      </c>
      <c r="X3235" s="1878" t="str">
        <f t="shared" si="738"/>
        <v xml:space="preserve">9.- C Vikrant 0730505-OT_129526  Reencauche  </v>
      </c>
      <c r="Z3235" s="19" t="str">
        <f t="shared" si="731"/>
        <v>ReencaucheReencauchadora RENOVA</v>
      </c>
    </row>
    <row r="3236" spans="2:26" outlineLevel="1">
      <c r="B3236" s="3252"/>
      <c r="C3236" s="367">
        <f t="shared" si="736"/>
        <v>50</v>
      </c>
      <c r="D3236" s="670">
        <f t="shared" si="737"/>
        <v>7</v>
      </c>
      <c r="E3236" s="66">
        <v>10</v>
      </c>
      <c r="F3236" s="67" t="s">
        <v>732</v>
      </c>
      <c r="G3236" s="299" t="s">
        <v>757</v>
      </c>
      <c r="H3236" s="69" t="s">
        <v>1768</v>
      </c>
      <c r="I3236" s="299" t="s">
        <v>726</v>
      </c>
      <c r="J3236" s="301" t="s">
        <v>760</v>
      </c>
      <c r="K3236" s="71" t="s">
        <v>52</v>
      </c>
      <c r="L3236" s="72">
        <v>40241</v>
      </c>
      <c r="M3236" s="73" t="s">
        <v>729</v>
      </c>
      <c r="N3236" s="74">
        <v>40248</v>
      </c>
      <c r="O3236" s="75">
        <f t="shared" si="734"/>
        <v>40248</v>
      </c>
      <c r="P3236" s="2765"/>
      <c r="Q3236" s="2954">
        <v>94.63</v>
      </c>
      <c r="R3236" s="76"/>
      <c r="S3236" s="1945" t="s">
        <v>731</v>
      </c>
      <c r="T3236" s="693"/>
      <c r="U3236" s="1893"/>
      <c r="V3236" s="2079">
        <f t="shared" si="739"/>
        <v>111.6634</v>
      </c>
      <c r="W3236" s="78">
        <f t="shared" si="740"/>
        <v>0</v>
      </c>
      <c r="X3236" s="1878" t="str">
        <f t="shared" si="738"/>
        <v xml:space="preserve">10.- C Goodyear 1931204-OT_129526  Reencauche  </v>
      </c>
      <c r="Z3236" s="19" t="str">
        <f t="shared" si="731"/>
        <v>ReencaucheReencauchadora RENOVA</v>
      </c>
    </row>
    <row r="3237" spans="2:26" outlineLevel="1">
      <c r="B3237" s="3252"/>
      <c r="C3237" s="367">
        <f t="shared" si="736"/>
        <v>49</v>
      </c>
      <c r="D3237" s="670">
        <f t="shared" si="737"/>
        <v>6</v>
      </c>
      <c r="E3237" s="66">
        <v>11</v>
      </c>
      <c r="F3237" s="67" t="s">
        <v>732</v>
      </c>
      <c r="G3237" s="299" t="s">
        <v>757</v>
      </c>
      <c r="H3237" s="69" t="s">
        <v>1758</v>
      </c>
      <c r="I3237" s="299" t="s">
        <v>726</v>
      </c>
      <c r="J3237" s="301" t="s">
        <v>760</v>
      </c>
      <c r="K3237" s="71" t="s">
        <v>52</v>
      </c>
      <c r="L3237" s="72">
        <v>40241</v>
      </c>
      <c r="M3237" s="73" t="s">
        <v>729</v>
      </c>
      <c r="N3237" s="74">
        <v>40248</v>
      </c>
      <c r="O3237" s="75">
        <f t="shared" si="734"/>
        <v>40248</v>
      </c>
      <c r="P3237" s="2765"/>
      <c r="Q3237" s="2954">
        <v>94.63</v>
      </c>
      <c r="R3237" s="76"/>
      <c r="S3237" s="1945" t="s">
        <v>731</v>
      </c>
      <c r="T3237" s="693"/>
      <c r="U3237" s="1893"/>
      <c r="V3237" s="2079">
        <f t="shared" si="739"/>
        <v>111.6634</v>
      </c>
      <c r="W3237" s="78">
        <f t="shared" si="740"/>
        <v>0</v>
      </c>
      <c r="X3237" s="1878" t="str">
        <f t="shared" si="738"/>
        <v xml:space="preserve">11.- C Goodyear 019072003-OT_129526  Reencauche  </v>
      </c>
      <c r="Z3237" s="19" t="str">
        <f t="shared" si="731"/>
        <v>ReencaucheReencauchadora RENOVA</v>
      </c>
    </row>
    <row r="3238" spans="2:26" outlineLevel="1">
      <c r="B3238" s="3252"/>
      <c r="C3238" s="367">
        <f t="shared" si="736"/>
        <v>48</v>
      </c>
      <c r="D3238" s="670">
        <f t="shared" si="737"/>
        <v>5</v>
      </c>
      <c r="E3238" s="66">
        <v>12</v>
      </c>
      <c r="F3238" s="67" t="s">
        <v>732</v>
      </c>
      <c r="G3238" s="299" t="s">
        <v>1108</v>
      </c>
      <c r="H3238" s="69" t="s">
        <v>58</v>
      </c>
      <c r="I3238" s="299" t="s">
        <v>726</v>
      </c>
      <c r="J3238" s="301" t="s">
        <v>760</v>
      </c>
      <c r="K3238" s="71" t="s">
        <v>52</v>
      </c>
      <c r="L3238" s="72">
        <v>40241</v>
      </c>
      <c r="M3238" s="73" t="s">
        <v>729</v>
      </c>
      <c r="N3238" s="74">
        <v>40248</v>
      </c>
      <c r="O3238" s="75">
        <f t="shared" si="734"/>
        <v>40248</v>
      </c>
      <c r="P3238" s="2765"/>
      <c r="Q3238" s="2954">
        <v>94.63</v>
      </c>
      <c r="R3238" s="76"/>
      <c r="S3238" s="1945" t="s">
        <v>731</v>
      </c>
      <c r="T3238" s="693"/>
      <c r="U3238" s="1893"/>
      <c r="V3238" s="2079">
        <f t="shared" si="739"/>
        <v>111.6634</v>
      </c>
      <c r="W3238" s="78">
        <f t="shared" si="740"/>
        <v>0</v>
      </c>
      <c r="X3238" s="1878" t="str">
        <f t="shared" si="738"/>
        <v xml:space="preserve">12.- C Hankook 0270305-OT_129526  Reencauche  </v>
      </c>
      <c r="Z3238" s="19" t="str">
        <f t="shared" si="731"/>
        <v>ReencaucheReencauchadora RENOVA</v>
      </c>
    </row>
    <row r="3239" spans="2:26" outlineLevel="1">
      <c r="B3239" s="3252"/>
      <c r="C3239" s="367">
        <f t="shared" si="736"/>
        <v>47</v>
      </c>
      <c r="D3239" s="670">
        <f t="shared" si="737"/>
        <v>4</v>
      </c>
      <c r="E3239" s="66">
        <v>13</v>
      </c>
      <c r="F3239" s="67" t="s">
        <v>732</v>
      </c>
      <c r="G3239" s="299" t="s">
        <v>1233</v>
      </c>
      <c r="H3239" s="69" t="s">
        <v>59</v>
      </c>
      <c r="I3239" s="299" t="s">
        <v>726</v>
      </c>
      <c r="J3239" s="301" t="s">
        <v>760</v>
      </c>
      <c r="K3239" s="71" t="s">
        <v>52</v>
      </c>
      <c r="L3239" s="72">
        <v>40241</v>
      </c>
      <c r="M3239" s="73" t="s">
        <v>729</v>
      </c>
      <c r="N3239" s="74">
        <v>40248</v>
      </c>
      <c r="O3239" s="75">
        <f t="shared" si="734"/>
        <v>40248</v>
      </c>
      <c r="P3239" s="2765"/>
      <c r="Q3239" s="2954">
        <v>94.63</v>
      </c>
      <c r="R3239" s="76"/>
      <c r="S3239" s="1945" t="s">
        <v>731</v>
      </c>
      <c r="T3239" s="712"/>
      <c r="U3239" s="1935"/>
      <c r="V3239" s="2079">
        <f t="shared" si="739"/>
        <v>111.6634</v>
      </c>
      <c r="W3239" s="78">
        <f t="shared" si="740"/>
        <v>0</v>
      </c>
      <c r="X3239" s="1878" t="str">
        <f t="shared" si="738"/>
        <v xml:space="preserve">13.- C Saratoga 0030306-OT_129526  Reencauche  </v>
      </c>
      <c r="Z3239" s="19" t="str">
        <f t="shared" si="731"/>
        <v>ReencaucheReencauchadora RENOVA</v>
      </c>
    </row>
    <row r="3240" spans="2:26">
      <c r="B3240" s="3252"/>
      <c r="C3240" s="367">
        <f t="shared" si="736"/>
        <v>46</v>
      </c>
      <c r="D3240" s="670">
        <f t="shared" si="737"/>
        <v>3</v>
      </c>
      <c r="E3240" s="66">
        <v>14</v>
      </c>
      <c r="F3240" s="67" t="s">
        <v>732</v>
      </c>
      <c r="G3240" s="68" t="s">
        <v>757</v>
      </c>
      <c r="H3240" s="69" t="s">
        <v>852</v>
      </c>
      <c r="I3240" s="299" t="s">
        <v>726</v>
      </c>
      <c r="J3240" s="301" t="s">
        <v>760</v>
      </c>
      <c r="K3240" s="71" t="s">
        <v>60</v>
      </c>
      <c r="L3240" s="72">
        <v>40241</v>
      </c>
      <c r="M3240" s="73" t="s">
        <v>729</v>
      </c>
      <c r="N3240" s="74">
        <v>40248</v>
      </c>
      <c r="O3240" s="75">
        <f t="shared" si="734"/>
        <v>40248</v>
      </c>
      <c r="P3240" s="2765"/>
      <c r="Q3240" s="2954">
        <v>94.63</v>
      </c>
      <c r="R3240" s="76"/>
      <c r="S3240" s="1945" t="s">
        <v>731</v>
      </c>
      <c r="T3240" s="693"/>
      <c r="U3240" s="1893"/>
      <c r="V3240" s="2079">
        <f t="shared" si="739"/>
        <v>111.6634</v>
      </c>
      <c r="W3240" s="78">
        <f t="shared" si="740"/>
        <v>0</v>
      </c>
      <c r="X3240" s="1878" t="str">
        <f t="shared" si="738"/>
        <v xml:space="preserve">14.- C Goodyear 1890920-OT_129527  Reencauche  </v>
      </c>
    </row>
    <row r="3241" spans="2:26" outlineLevel="1">
      <c r="B3241" s="3252"/>
      <c r="C3241" s="367">
        <f t="shared" si="736"/>
        <v>45</v>
      </c>
      <c r="D3241" s="670">
        <f t="shared" si="737"/>
        <v>2</v>
      </c>
      <c r="E3241" s="66">
        <v>15</v>
      </c>
      <c r="F3241" s="67" t="s">
        <v>732</v>
      </c>
      <c r="G3241" s="68" t="s">
        <v>769</v>
      </c>
      <c r="H3241" s="69" t="s">
        <v>1783</v>
      </c>
      <c r="I3241" s="299" t="s">
        <v>726</v>
      </c>
      <c r="J3241" s="301" t="s">
        <v>760</v>
      </c>
      <c r="K3241" s="71" t="s">
        <v>60</v>
      </c>
      <c r="L3241" s="72">
        <v>40241</v>
      </c>
      <c r="M3241" s="73" t="s">
        <v>729</v>
      </c>
      <c r="N3241" s="74">
        <v>40248</v>
      </c>
      <c r="O3241" s="75">
        <f t="shared" si="734"/>
        <v>40248</v>
      </c>
      <c r="P3241" s="2765"/>
      <c r="Q3241" s="2954">
        <v>94.63</v>
      </c>
      <c r="R3241" s="76"/>
      <c r="S3241" s="1945" t="s">
        <v>731</v>
      </c>
      <c r="T3241" s="693"/>
      <c r="U3241" s="1893"/>
      <c r="V3241" s="2079">
        <f t="shared" si="739"/>
        <v>111.6634</v>
      </c>
      <c r="W3241" s="78">
        <f t="shared" si="740"/>
        <v>0</v>
      </c>
      <c r="X3241" s="1878" t="str">
        <f t="shared" si="738"/>
        <v xml:space="preserve">15.- C Lu He 0450509-OT_129527  Reencauche  </v>
      </c>
      <c r="Z3241" s="19" t="str">
        <f t="shared" ref="Z3241:Z3268" si="741">CONCATENATE(I3244,J3244)</f>
        <v>ReencaucheReencauchadora Espinoza</v>
      </c>
    </row>
    <row r="3242" spans="2:26" ht="15.75" outlineLevel="1" thickBot="1">
      <c r="B3242" s="3253"/>
      <c r="C3242" s="420">
        <f>1+C3244</f>
        <v>44</v>
      </c>
      <c r="D3242" s="428">
        <v>1</v>
      </c>
      <c r="E3242" s="660">
        <v>16</v>
      </c>
      <c r="F3242" s="661" t="s">
        <v>732</v>
      </c>
      <c r="G3242" s="329" t="s">
        <v>831</v>
      </c>
      <c r="H3242" s="330" t="s">
        <v>61</v>
      </c>
      <c r="I3242" s="613" t="s">
        <v>726</v>
      </c>
      <c r="J3242" s="615" t="s">
        <v>760</v>
      </c>
      <c r="K3242" s="333" t="s">
        <v>60</v>
      </c>
      <c r="L3242" s="334">
        <v>40241</v>
      </c>
      <c r="M3242" s="335" t="s">
        <v>729</v>
      </c>
      <c r="N3242" s="336">
        <v>40248</v>
      </c>
      <c r="O3242" s="337">
        <f t="shared" si="734"/>
        <v>40248</v>
      </c>
      <c r="P3242" s="2798"/>
      <c r="Q3242" s="2980">
        <v>94.63</v>
      </c>
      <c r="R3242" s="338"/>
      <c r="S3242" s="1965" t="s">
        <v>731</v>
      </c>
      <c r="T3242" s="693"/>
      <c r="U3242" s="1893"/>
      <c r="V3242" s="2079">
        <f t="shared" si="739"/>
        <v>111.6634</v>
      </c>
      <c r="W3242" s="78">
        <f t="shared" si="740"/>
        <v>0</v>
      </c>
      <c r="X3242" s="1878" t="str">
        <f t="shared" si="738"/>
        <v xml:space="preserve">16.- C Kumho 0220305-OT_129527  Reencauche  </v>
      </c>
      <c r="Z3242" s="19" t="str">
        <f t="shared" si="741"/>
        <v>ReencaucheReencauchadora Espinoza</v>
      </c>
    </row>
    <row r="3243" spans="2:26" ht="15.75" outlineLevel="1" thickBot="1">
      <c r="B3243" s="1">
        <f>+B3244</f>
        <v>40210</v>
      </c>
      <c r="C3243" s="1"/>
      <c r="D3243" s="173">
        <f>+D3244</f>
        <v>26</v>
      </c>
      <c r="E3243" s="660"/>
      <c r="F3243" s="661"/>
      <c r="G3243" s="68"/>
      <c r="H3243" s="69"/>
      <c r="I3243" s="299"/>
      <c r="J3243" s="301"/>
      <c r="K3243" s="71"/>
      <c r="L3243" s="72"/>
      <c r="M3243" s="73"/>
      <c r="N3243" s="74"/>
      <c r="O3243" s="75"/>
      <c r="P3243" s="2765"/>
      <c r="Q3243" s="2954"/>
      <c r="R3243" s="76"/>
      <c r="S3243" s="1945"/>
      <c r="T3243" s="693"/>
      <c r="U3243" s="1893"/>
      <c r="V3243" s="2079">
        <f t="shared" si="739"/>
        <v>0</v>
      </c>
      <c r="W3243" s="78">
        <f t="shared" si="740"/>
        <v>0</v>
      </c>
      <c r="X3243" s="1878" t="str">
        <f t="shared" si="738"/>
        <v xml:space="preserve">.-   -OT_    </v>
      </c>
      <c r="Z3243" s="19" t="str">
        <f t="shared" si="741"/>
        <v>ReencaucheReencauchadora Espinoza</v>
      </c>
    </row>
    <row r="3244" spans="2:26" outlineLevel="1">
      <c r="B3244" s="3251">
        <v>40210</v>
      </c>
      <c r="C3244" s="367">
        <f t="shared" ref="C3244:D3249" si="742">1+C3245</f>
        <v>43</v>
      </c>
      <c r="D3244" s="669">
        <f t="shared" si="742"/>
        <v>26</v>
      </c>
      <c r="E3244" s="66">
        <v>1</v>
      </c>
      <c r="F3244" s="67" t="s">
        <v>732</v>
      </c>
      <c r="G3244" s="299" t="s">
        <v>733</v>
      </c>
      <c r="H3244" s="300" t="s">
        <v>62</v>
      </c>
      <c r="I3244" s="299" t="s">
        <v>726</v>
      </c>
      <c r="J3244" s="301" t="s">
        <v>1543</v>
      </c>
      <c r="K3244" s="715" t="s">
        <v>63</v>
      </c>
      <c r="L3244" s="99">
        <v>40227</v>
      </c>
      <c r="M3244" s="716" t="s">
        <v>729</v>
      </c>
      <c r="N3244" s="153">
        <v>40247</v>
      </c>
      <c r="O3244" s="154">
        <f t="shared" ref="O3244:O3271" si="743">+N3244</f>
        <v>40247</v>
      </c>
      <c r="P3244" s="344"/>
      <c r="Q3244" s="2959"/>
      <c r="R3244" s="103">
        <f t="shared" ref="R3244:R3249" si="744">300/(1.19)</f>
        <v>252.10084033613447</v>
      </c>
      <c r="S3244" s="1945" t="s">
        <v>731</v>
      </c>
      <c r="T3244" s="693"/>
      <c r="U3244" s="1893"/>
      <c r="V3244" s="2079">
        <f t="shared" si="739"/>
        <v>0</v>
      </c>
      <c r="W3244" s="78">
        <f t="shared" si="740"/>
        <v>297.47899159663865</v>
      </c>
      <c r="X3244" s="1878" t="str">
        <f t="shared" si="738"/>
        <v xml:space="preserve">1.- C Lima Caucho 0240207-OT_000302, 000303  Reencauche  </v>
      </c>
      <c r="Z3244" s="19" t="str">
        <f t="shared" si="741"/>
        <v>ReencaucheReencauchadora Espinoza</v>
      </c>
    </row>
    <row r="3245" spans="2:26" outlineLevel="1">
      <c r="B3245" s="3252"/>
      <c r="C3245" s="367">
        <f t="shared" si="742"/>
        <v>42</v>
      </c>
      <c r="D3245" s="670">
        <f t="shared" si="742"/>
        <v>25</v>
      </c>
      <c r="E3245" s="343">
        <v>2</v>
      </c>
      <c r="F3245" s="94" t="s">
        <v>732</v>
      </c>
      <c r="G3245" s="717" t="s">
        <v>757</v>
      </c>
      <c r="H3245" s="718" t="s">
        <v>2366</v>
      </c>
      <c r="I3245" s="717" t="s">
        <v>726</v>
      </c>
      <c r="J3245" s="719" t="s">
        <v>1543</v>
      </c>
      <c r="K3245" s="720" t="s">
        <v>63</v>
      </c>
      <c r="L3245" s="721">
        <v>40227</v>
      </c>
      <c r="M3245" s="722" t="s">
        <v>729</v>
      </c>
      <c r="N3245" s="74">
        <v>40241</v>
      </c>
      <c r="O3245" s="75">
        <f t="shared" si="743"/>
        <v>40241</v>
      </c>
      <c r="P3245" s="2832"/>
      <c r="Q3245" s="2954"/>
      <c r="R3245" s="723">
        <f t="shared" si="744"/>
        <v>252.10084033613447</v>
      </c>
      <c r="S3245" s="1995" t="s">
        <v>731</v>
      </c>
      <c r="T3245" s="693"/>
      <c r="U3245" s="1893"/>
      <c r="V3245" s="2079">
        <f t="shared" si="739"/>
        <v>0</v>
      </c>
      <c r="W3245" s="78">
        <f t="shared" si="740"/>
        <v>297.47899159663865</v>
      </c>
      <c r="X3245" s="1878" t="str">
        <f t="shared" si="738"/>
        <v xml:space="preserve">2.- C Goodyear 027072003-OT_000302, 000303  Reencauche  </v>
      </c>
      <c r="Z3245" s="19" t="str">
        <f t="shared" si="741"/>
        <v>ReencaucheReencauchadora Espinoza</v>
      </c>
    </row>
    <row r="3246" spans="2:26" outlineLevel="1">
      <c r="B3246" s="3252"/>
      <c r="C3246" s="367">
        <f t="shared" si="742"/>
        <v>41</v>
      </c>
      <c r="D3246" s="670">
        <f t="shared" si="742"/>
        <v>24</v>
      </c>
      <c r="E3246" s="66">
        <v>3</v>
      </c>
      <c r="F3246" s="67" t="s">
        <v>732</v>
      </c>
      <c r="G3246" s="415" t="s">
        <v>733</v>
      </c>
      <c r="H3246" s="416" t="s">
        <v>848</v>
      </c>
      <c r="I3246" s="415" t="s">
        <v>726</v>
      </c>
      <c r="J3246" s="417" t="s">
        <v>1543</v>
      </c>
      <c r="K3246" s="724" t="s">
        <v>63</v>
      </c>
      <c r="L3246" s="419">
        <v>40227</v>
      </c>
      <c r="M3246" s="725" t="s">
        <v>729</v>
      </c>
      <c r="N3246" s="74">
        <v>40239</v>
      </c>
      <c r="O3246" s="75">
        <f t="shared" si="743"/>
        <v>40239</v>
      </c>
      <c r="P3246" s="2833"/>
      <c r="Q3246" s="2954"/>
      <c r="R3246" s="726">
        <f t="shared" si="744"/>
        <v>252.10084033613447</v>
      </c>
      <c r="S3246" s="1996" t="s">
        <v>731</v>
      </c>
      <c r="T3246" s="693"/>
      <c r="U3246" s="1893"/>
      <c r="V3246" s="2079">
        <f t="shared" si="739"/>
        <v>0</v>
      </c>
      <c r="W3246" s="78">
        <f t="shared" si="740"/>
        <v>297.47899159663865</v>
      </c>
      <c r="X3246" s="1878" t="str">
        <f t="shared" si="738"/>
        <v xml:space="preserve">3.- C Lima Caucho 0530807-OT_000302, 000303  Reencauche  </v>
      </c>
      <c r="Z3246" s="19" t="str">
        <f t="shared" si="741"/>
        <v>ReencaucheReencauchadora Espinoza</v>
      </c>
    </row>
    <row r="3247" spans="2:26" outlineLevel="1">
      <c r="B3247" s="3252"/>
      <c r="C3247" s="367">
        <f t="shared" si="742"/>
        <v>40</v>
      </c>
      <c r="D3247" s="670">
        <f t="shared" si="742"/>
        <v>23</v>
      </c>
      <c r="E3247" s="66">
        <v>4</v>
      </c>
      <c r="F3247" s="67" t="s">
        <v>732</v>
      </c>
      <c r="G3247" s="727" t="s">
        <v>2342</v>
      </c>
      <c r="H3247" s="416" t="s">
        <v>64</v>
      </c>
      <c r="I3247" s="415" t="s">
        <v>726</v>
      </c>
      <c r="J3247" s="417" t="s">
        <v>1543</v>
      </c>
      <c r="K3247" s="724" t="s">
        <v>63</v>
      </c>
      <c r="L3247" s="419">
        <v>40227</v>
      </c>
      <c r="M3247" s="725" t="s">
        <v>729</v>
      </c>
      <c r="N3247" s="74">
        <v>40239</v>
      </c>
      <c r="O3247" s="75">
        <f t="shared" si="743"/>
        <v>40239</v>
      </c>
      <c r="P3247" s="2833"/>
      <c r="Q3247" s="2954"/>
      <c r="R3247" s="726">
        <f t="shared" si="744"/>
        <v>252.10084033613447</v>
      </c>
      <c r="S3247" s="1996" t="s">
        <v>731</v>
      </c>
      <c r="T3247" s="693"/>
      <c r="U3247" s="1893"/>
      <c r="V3247" s="2079">
        <f t="shared" si="739"/>
        <v>0</v>
      </c>
      <c r="W3247" s="78">
        <f t="shared" si="740"/>
        <v>297.47899159663865</v>
      </c>
      <c r="X3247" s="1878" t="str">
        <f t="shared" si="738"/>
        <v xml:space="preserve">4.- C Huaquing 0771206-OT_000302, 000303  Reencauche  </v>
      </c>
      <c r="Z3247" s="19" t="str">
        <f t="shared" si="741"/>
        <v>Vulcanizado (curación)Reencauchadora Espinoza</v>
      </c>
    </row>
    <row r="3248" spans="2:26" outlineLevel="1">
      <c r="B3248" s="3252"/>
      <c r="C3248" s="367">
        <f t="shared" si="742"/>
        <v>39</v>
      </c>
      <c r="D3248" s="670">
        <f t="shared" si="742"/>
        <v>22</v>
      </c>
      <c r="E3248" s="66">
        <v>5</v>
      </c>
      <c r="F3248" s="67" t="s">
        <v>732</v>
      </c>
      <c r="G3248" s="415" t="s">
        <v>757</v>
      </c>
      <c r="H3248" s="416" t="s">
        <v>1644</v>
      </c>
      <c r="I3248" s="415" t="s">
        <v>726</v>
      </c>
      <c r="J3248" s="417" t="s">
        <v>1543</v>
      </c>
      <c r="K3248" s="724" t="s">
        <v>63</v>
      </c>
      <c r="L3248" s="419">
        <v>40227</v>
      </c>
      <c r="M3248" s="725" t="s">
        <v>729</v>
      </c>
      <c r="N3248" s="74">
        <v>40239</v>
      </c>
      <c r="O3248" s="75">
        <f t="shared" si="743"/>
        <v>40239</v>
      </c>
      <c r="P3248" s="2833"/>
      <c r="Q3248" s="2954"/>
      <c r="R3248" s="726">
        <f t="shared" si="744"/>
        <v>252.10084033613447</v>
      </c>
      <c r="S3248" s="1996" t="s">
        <v>731</v>
      </c>
      <c r="T3248" s="693"/>
      <c r="U3248" s="1893"/>
      <c r="V3248" s="2079">
        <f t="shared" si="739"/>
        <v>0</v>
      </c>
      <c r="W3248" s="78">
        <f t="shared" si="740"/>
        <v>297.47899159663865</v>
      </c>
      <c r="X3248" s="1878" t="str">
        <f t="shared" si="738"/>
        <v xml:space="preserve">5.- C Goodyear 068112002-OT_000302, 000303  Reencauche  </v>
      </c>
      <c r="Z3248" s="19" t="str">
        <f t="shared" si="741"/>
        <v>Reencauchadora RENOVA</v>
      </c>
    </row>
    <row r="3249" spans="2:26" outlineLevel="1">
      <c r="B3249" s="3252"/>
      <c r="C3249" s="367">
        <f t="shared" si="742"/>
        <v>38</v>
      </c>
      <c r="D3249" s="670">
        <f t="shared" si="742"/>
        <v>21</v>
      </c>
      <c r="E3249" s="66">
        <v>6</v>
      </c>
      <c r="F3249" s="67" t="s">
        <v>732</v>
      </c>
      <c r="G3249" s="174" t="s">
        <v>757</v>
      </c>
      <c r="H3249" s="175" t="s">
        <v>1375</v>
      </c>
      <c r="I3249" s="174" t="s">
        <v>726</v>
      </c>
      <c r="J3249" s="176" t="s">
        <v>1543</v>
      </c>
      <c r="K3249" s="728" t="s">
        <v>63</v>
      </c>
      <c r="L3249" s="390">
        <v>40227</v>
      </c>
      <c r="M3249" s="729" t="s">
        <v>729</v>
      </c>
      <c r="N3249" s="74">
        <v>40234</v>
      </c>
      <c r="O3249" s="75">
        <f t="shared" si="743"/>
        <v>40234</v>
      </c>
      <c r="P3249" s="2803"/>
      <c r="Q3249" s="2954"/>
      <c r="R3249" s="392">
        <f t="shared" si="744"/>
        <v>252.10084033613447</v>
      </c>
      <c r="S3249" s="1997" t="s">
        <v>731</v>
      </c>
      <c r="T3249" s="693"/>
      <c r="U3249" s="1893"/>
      <c r="V3249" s="2079">
        <f t="shared" si="739"/>
        <v>0</v>
      </c>
      <c r="W3249" s="78">
        <f t="shared" si="740"/>
        <v>297.47899159663865</v>
      </c>
      <c r="X3249" s="1878" t="str">
        <f t="shared" si="738"/>
        <v xml:space="preserve">6.- C Goodyear 0620404-OT_000302, 000303  Reencauche  </v>
      </c>
      <c r="Z3249" s="19" t="str">
        <f t="shared" si="741"/>
        <v>Reencauchadora RENOVA</v>
      </c>
    </row>
    <row r="3250" spans="2:26" outlineLevel="1">
      <c r="B3250" s="3252"/>
      <c r="C3250" s="367">
        <v>37</v>
      </c>
      <c r="D3250" s="670">
        <v>20</v>
      </c>
      <c r="E3250" s="665">
        <v>7</v>
      </c>
      <c r="F3250" s="730" t="s">
        <v>732</v>
      </c>
      <c r="G3250" s="150" t="s">
        <v>1233</v>
      </c>
      <c r="H3250" s="151" t="s">
        <v>1988</v>
      </c>
      <c r="I3250" s="731" t="s">
        <v>811</v>
      </c>
      <c r="J3250" s="152" t="s">
        <v>1543</v>
      </c>
      <c r="K3250" s="732" t="s">
        <v>63</v>
      </c>
      <c r="L3250" s="401">
        <v>40227</v>
      </c>
      <c r="M3250" s="733" t="s">
        <v>729</v>
      </c>
      <c r="N3250" s="87">
        <v>40234</v>
      </c>
      <c r="O3250" s="88">
        <f t="shared" si="743"/>
        <v>40234</v>
      </c>
      <c r="P3250" s="2805"/>
      <c r="Q3250" s="2955"/>
      <c r="R3250" s="403">
        <f>125/(1.19)</f>
        <v>105.0420168067227</v>
      </c>
      <c r="S3250" s="1998" t="s">
        <v>731</v>
      </c>
      <c r="T3250" s="693"/>
      <c r="U3250" s="1893"/>
      <c r="V3250" s="2079">
        <f t="shared" si="739"/>
        <v>0</v>
      </c>
      <c r="W3250" s="78">
        <f t="shared" si="740"/>
        <v>123.94957983193278</v>
      </c>
      <c r="X3250" s="1878" t="str">
        <f t="shared" si="738"/>
        <v xml:space="preserve">7.- C Saratoga 0190306-OT_000302, 000303  Vulcanizado (curación)  </v>
      </c>
      <c r="Z3250" s="19" t="str">
        <f t="shared" si="741"/>
        <v>ReencaucheReencauchadora RENOVA</v>
      </c>
    </row>
    <row r="3251" spans="2:26" outlineLevel="1">
      <c r="B3251" s="3252"/>
      <c r="C3251" s="367"/>
      <c r="D3251" s="734"/>
      <c r="E3251" s="694"/>
      <c r="F3251" s="2057" t="s">
        <v>732</v>
      </c>
      <c r="G3251" s="695" t="s">
        <v>737</v>
      </c>
      <c r="H3251" s="696" t="s">
        <v>2122</v>
      </c>
      <c r="I3251" s="695"/>
      <c r="J3251" s="697" t="s">
        <v>760</v>
      </c>
      <c r="K3251" s="698" t="s">
        <v>65</v>
      </c>
      <c r="L3251" s="699">
        <v>40226</v>
      </c>
      <c r="M3251" s="700" t="s">
        <v>1815</v>
      </c>
      <c r="N3251" s="701">
        <v>40235</v>
      </c>
      <c r="O3251" s="702">
        <f t="shared" si="743"/>
        <v>40235</v>
      </c>
      <c r="P3251" s="2830"/>
      <c r="Q3251" s="2995">
        <v>0</v>
      </c>
      <c r="R3251" s="703"/>
      <c r="S3251" s="1993" t="s">
        <v>731</v>
      </c>
      <c r="T3251" s="654" t="s">
        <v>1617</v>
      </c>
      <c r="U3251" s="1922"/>
      <c r="V3251" s="2079">
        <f t="shared" si="739"/>
        <v>0</v>
      </c>
      <c r="W3251" s="78">
        <f t="shared" si="740"/>
        <v>0</v>
      </c>
      <c r="X3251" s="1878" t="str">
        <f t="shared" si="738"/>
        <v>.- C Vikrant 0841206-OT_1282092     Llanta Rechazada, no se facturo</v>
      </c>
      <c r="Z3251" s="19" t="str">
        <f t="shared" si="741"/>
        <v>ReencaucheReencauchadora RENOVA</v>
      </c>
    </row>
    <row r="3252" spans="2:26" outlineLevel="1">
      <c r="B3252" s="3252"/>
      <c r="C3252" s="367"/>
      <c r="D3252" s="734"/>
      <c r="E3252" s="621"/>
      <c r="F3252" s="2056" t="s">
        <v>732</v>
      </c>
      <c r="G3252" s="704" t="s">
        <v>831</v>
      </c>
      <c r="H3252" s="705" t="s">
        <v>45</v>
      </c>
      <c r="I3252" s="704"/>
      <c r="J3252" s="706" t="s">
        <v>760</v>
      </c>
      <c r="K3252" s="707" t="s">
        <v>65</v>
      </c>
      <c r="L3252" s="708">
        <v>40226</v>
      </c>
      <c r="M3252" s="709" t="s">
        <v>1815</v>
      </c>
      <c r="N3252" s="259">
        <v>40235</v>
      </c>
      <c r="O3252" s="140">
        <f t="shared" si="743"/>
        <v>40235</v>
      </c>
      <c r="P3252" s="2831"/>
      <c r="Q3252" s="2971">
        <v>0</v>
      </c>
      <c r="R3252" s="710"/>
      <c r="S3252" s="1994" t="s">
        <v>731</v>
      </c>
      <c r="T3252" s="654" t="s">
        <v>1617</v>
      </c>
      <c r="U3252" s="1922"/>
      <c r="V3252" s="2079">
        <f t="shared" si="739"/>
        <v>0</v>
      </c>
      <c r="W3252" s="78">
        <f t="shared" si="740"/>
        <v>0</v>
      </c>
      <c r="X3252" s="1878" t="str">
        <f t="shared" si="738"/>
        <v>.- C Kumho 1841004-OT_1282092     Llanta Rechazada, no se facturo</v>
      </c>
      <c r="Z3252" s="19" t="str">
        <f t="shared" si="741"/>
        <v>ReencaucheReencauchadora RENOVA</v>
      </c>
    </row>
    <row r="3253" spans="2:26" outlineLevel="1">
      <c r="B3253" s="3252"/>
      <c r="C3253" s="367">
        <f t="shared" ref="C3253:C3270" si="745">1+C3254</f>
        <v>36</v>
      </c>
      <c r="D3253" s="670">
        <f t="shared" ref="D3253:D3270" si="746">1+D3254</f>
        <v>19</v>
      </c>
      <c r="E3253" s="735">
        <v>1</v>
      </c>
      <c r="F3253" s="67" t="s">
        <v>732</v>
      </c>
      <c r="G3253" s="299" t="s">
        <v>757</v>
      </c>
      <c r="H3253" s="69" t="s">
        <v>66</v>
      </c>
      <c r="I3253" s="68" t="s">
        <v>726</v>
      </c>
      <c r="J3253" s="301" t="s">
        <v>760</v>
      </c>
      <c r="K3253" s="737" t="s">
        <v>67</v>
      </c>
      <c r="L3253" s="72">
        <v>40226</v>
      </c>
      <c r="M3253" s="738" t="s">
        <v>729</v>
      </c>
      <c r="N3253" s="74">
        <v>40235</v>
      </c>
      <c r="O3253" s="75">
        <f t="shared" si="743"/>
        <v>40235</v>
      </c>
      <c r="P3253" s="2765"/>
      <c r="Q3253" s="2954">
        <v>94.63</v>
      </c>
      <c r="R3253" s="76"/>
      <c r="S3253" s="1999" t="s">
        <v>731</v>
      </c>
      <c r="T3253" s="693"/>
      <c r="U3253" s="1893"/>
      <c r="V3253" s="2079">
        <f t="shared" si="739"/>
        <v>111.6634</v>
      </c>
      <c r="W3253" s="78">
        <f t="shared" si="740"/>
        <v>0</v>
      </c>
      <c r="X3253" s="1878" t="str">
        <f t="shared" si="738"/>
        <v xml:space="preserve">1.- C Goodyear 0550502-OT_1282093  Reencauche  </v>
      </c>
      <c r="Z3253" s="19" t="str">
        <f t="shared" si="741"/>
        <v>ReencaucheReencauchadora RENOVA</v>
      </c>
    </row>
    <row r="3254" spans="2:26" outlineLevel="1">
      <c r="B3254" s="3252"/>
      <c r="C3254" s="367">
        <f t="shared" si="745"/>
        <v>35</v>
      </c>
      <c r="D3254" s="670">
        <f t="shared" si="746"/>
        <v>18</v>
      </c>
      <c r="E3254" s="735">
        <v>2</v>
      </c>
      <c r="F3254" s="67" t="s">
        <v>732</v>
      </c>
      <c r="G3254" s="299" t="s">
        <v>757</v>
      </c>
      <c r="H3254" s="69" t="s">
        <v>1070</v>
      </c>
      <c r="I3254" s="68" t="s">
        <v>726</v>
      </c>
      <c r="J3254" s="301" t="s">
        <v>760</v>
      </c>
      <c r="K3254" s="737" t="s">
        <v>67</v>
      </c>
      <c r="L3254" s="72">
        <v>40226</v>
      </c>
      <c r="M3254" s="738" t="s">
        <v>729</v>
      </c>
      <c r="N3254" s="74">
        <v>40235</v>
      </c>
      <c r="O3254" s="75">
        <f t="shared" si="743"/>
        <v>40235</v>
      </c>
      <c r="P3254" s="2765"/>
      <c r="Q3254" s="2954">
        <v>94.63</v>
      </c>
      <c r="R3254" s="76"/>
      <c r="S3254" s="1999" t="s">
        <v>731</v>
      </c>
      <c r="T3254" s="693"/>
      <c r="U3254" s="1893"/>
      <c r="V3254" s="2079">
        <f t="shared" si="739"/>
        <v>111.6634</v>
      </c>
      <c r="W3254" s="78">
        <f t="shared" si="740"/>
        <v>0</v>
      </c>
      <c r="X3254" s="1878" t="str">
        <f t="shared" si="738"/>
        <v xml:space="preserve">2.- C Goodyear 0700404-OT_1282093  Reencauche  </v>
      </c>
      <c r="Z3254" s="19" t="str">
        <f t="shared" si="741"/>
        <v>ReencaucheReencauchadora RENOVA</v>
      </c>
    </row>
    <row r="3255" spans="2:26" outlineLevel="1">
      <c r="B3255" s="3252"/>
      <c r="C3255" s="367">
        <f t="shared" si="745"/>
        <v>34</v>
      </c>
      <c r="D3255" s="670">
        <f t="shared" si="746"/>
        <v>17</v>
      </c>
      <c r="E3255" s="735">
        <v>3</v>
      </c>
      <c r="F3255" s="67" t="s">
        <v>732</v>
      </c>
      <c r="G3255" s="299" t="s">
        <v>757</v>
      </c>
      <c r="H3255" s="69" t="s">
        <v>68</v>
      </c>
      <c r="I3255" s="68" t="s">
        <v>726</v>
      </c>
      <c r="J3255" s="301" t="s">
        <v>760</v>
      </c>
      <c r="K3255" s="737" t="s">
        <v>67</v>
      </c>
      <c r="L3255" s="72">
        <v>40226</v>
      </c>
      <c r="M3255" s="738" t="s">
        <v>729</v>
      </c>
      <c r="N3255" s="74">
        <v>40235</v>
      </c>
      <c r="O3255" s="75">
        <f t="shared" si="743"/>
        <v>40235</v>
      </c>
      <c r="P3255" s="2765"/>
      <c r="Q3255" s="2954">
        <v>94.63</v>
      </c>
      <c r="R3255" s="76"/>
      <c r="S3255" s="1999" t="s">
        <v>731</v>
      </c>
      <c r="T3255" s="693"/>
      <c r="U3255" s="1893"/>
      <c r="V3255" s="2079">
        <f t="shared" si="739"/>
        <v>111.6634</v>
      </c>
      <c r="W3255" s="78">
        <f t="shared" si="740"/>
        <v>0</v>
      </c>
      <c r="X3255" s="1878" t="str">
        <f t="shared" si="738"/>
        <v xml:space="preserve">3.- C Goodyear 005032003-OT_1282093  Reencauche  </v>
      </c>
      <c r="Z3255" s="19" t="str">
        <f t="shared" si="741"/>
        <v>ReencaucheReencauchadora RENOVA</v>
      </c>
    </row>
    <row r="3256" spans="2:26" outlineLevel="1">
      <c r="B3256" s="3252"/>
      <c r="C3256" s="367">
        <f t="shared" si="745"/>
        <v>33</v>
      </c>
      <c r="D3256" s="670">
        <f t="shared" si="746"/>
        <v>16</v>
      </c>
      <c r="E3256" s="735">
        <v>4</v>
      </c>
      <c r="F3256" s="67" t="s">
        <v>732</v>
      </c>
      <c r="G3256" s="299" t="s">
        <v>757</v>
      </c>
      <c r="H3256" s="69" t="s">
        <v>1842</v>
      </c>
      <c r="I3256" s="68" t="s">
        <v>726</v>
      </c>
      <c r="J3256" s="301" t="s">
        <v>760</v>
      </c>
      <c r="K3256" s="737" t="s">
        <v>67</v>
      </c>
      <c r="L3256" s="72">
        <v>40226</v>
      </c>
      <c r="M3256" s="738" t="s">
        <v>729</v>
      </c>
      <c r="N3256" s="74">
        <v>40235</v>
      </c>
      <c r="O3256" s="75">
        <f t="shared" si="743"/>
        <v>40235</v>
      </c>
      <c r="P3256" s="2765"/>
      <c r="Q3256" s="2954">
        <v>94.63</v>
      </c>
      <c r="R3256" s="76"/>
      <c r="S3256" s="1999" t="s">
        <v>731</v>
      </c>
      <c r="T3256" s="693"/>
      <c r="U3256" s="1893"/>
      <c r="V3256" s="2079">
        <f t="shared" si="739"/>
        <v>111.6634</v>
      </c>
      <c r="W3256" s="78">
        <f t="shared" si="740"/>
        <v>0</v>
      </c>
      <c r="X3256" s="1878" t="str">
        <f t="shared" si="738"/>
        <v xml:space="preserve">4.- C Goodyear 1220804-OT_1282093  Reencauche  </v>
      </c>
      <c r="Z3256" s="19" t="str">
        <f t="shared" si="741"/>
        <v>ReencaucheReencauchadora RENOVA</v>
      </c>
    </row>
    <row r="3257" spans="2:26" outlineLevel="1">
      <c r="B3257" s="3252"/>
      <c r="C3257" s="367">
        <f t="shared" si="745"/>
        <v>32</v>
      </c>
      <c r="D3257" s="670">
        <f t="shared" si="746"/>
        <v>15</v>
      </c>
      <c r="E3257" s="735">
        <v>5</v>
      </c>
      <c r="F3257" s="67" t="s">
        <v>732</v>
      </c>
      <c r="G3257" s="68" t="s">
        <v>733</v>
      </c>
      <c r="H3257" s="69" t="s">
        <v>1399</v>
      </c>
      <c r="I3257" s="68" t="s">
        <v>726</v>
      </c>
      <c r="J3257" s="301" t="s">
        <v>760</v>
      </c>
      <c r="K3257" s="737" t="s">
        <v>67</v>
      </c>
      <c r="L3257" s="72">
        <v>40226</v>
      </c>
      <c r="M3257" s="738" t="s">
        <v>729</v>
      </c>
      <c r="N3257" s="74">
        <v>40235</v>
      </c>
      <c r="O3257" s="75">
        <f t="shared" si="743"/>
        <v>40235</v>
      </c>
      <c r="P3257" s="2765"/>
      <c r="Q3257" s="2954">
        <v>94.63</v>
      </c>
      <c r="R3257" s="76"/>
      <c r="S3257" s="1999" t="s">
        <v>731</v>
      </c>
      <c r="T3257" s="693"/>
      <c r="U3257" s="1893"/>
      <c r="V3257" s="2079">
        <f t="shared" si="739"/>
        <v>111.6634</v>
      </c>
      <c r="W3257" s="78">
        <f t="shared" si="740"/>
        <v>0</v>
      </c>
      <c r="X3257" s="1878" t="str">
        <f t="shared" si="738"/>
        <v xml:space="preserve">5.- C Lima Caucho 0860908-OT_1282093  Reencauche  </v>
      </c>
      <c r="Z3257" s="19" t="str">
        <f t="shared" si="741"/>
        <v>ReencaucheReencauchadora RENOVA</v>
      </c>
    </row>
    <row r="3258" spans="2:26" outlineLevel="1">
      <c r="B3258" s="3252"/>
      <c r="C3258" s="367">
        <f t="shared" si="745"/>
        <v>31</v>
      </c>
      <c r="D3258" s="670">
        <f t="shared" si="746"/>
        <v>14</v>
      </c>
      <c r="E3258" s="735">
        <v>6</v>
      </c>
      <c r="F3258" s="67" t="s">
        <v>732</v>
      </c>
      <c r="G3258" s="68" t="s">
        <v>733</v>
      </c>
      <c r="H3258" s="69" t="s">
        <v>1613</v>
      </c>
      <c r="I3258" s="68" t="s">
        <v>726</v>
      </c>
      <c r="J3258" s="301" t="s">
        <v>760</v>
      </c>
      <c r="K3258" s="737" t="s">
        <v>67</v>
      </c>
      <c r="L3258" s="72">
        <v>40226</v>
      </c>
      <c r="M3258" s="738" t="s">
        <v>729</v>
      </c>
      <c r="N3258" s="74">
        <v>40235</v>
      </c>
      <c r="O3258" s="75">
        <f t="shared" si="743"/>
        <v>40235</v>
      </c>
      <c r="P3258" s="2765"/>
      <c r="Q3258" s="2954">
        <v>94.63</v>
      </c>
      <c r="R3258" s="76"/>
      <c r="S3258" s="1999" t="s">
        <v>731</v>
      </c>
      <c r="T3258" s="693"/>
      <c r="U3258" s="1893"/>
      <c r="V3258" s="2079">
        <f t="shared" si="739"/>
        <v>111.6634</v>
      </c>
      <c r="W3258" s="78">
        <f t="shared" si="740"/>
        <v>0</v>
      </c>
      <c r="X3258" s="1878" t="str">
        <f t="shared" si="738"/>
        <v xml:space="preserve">6.- C Lima Caucho 1311207-OT_1282093  Reencauche  </v>
      </c>
      <c r="Z3258" s="19" t="str">
        <f t="shared" si="741"/>
        <v>ReencaucheReencauchadora RENOVA</v>
      </c>
    </row>
    <row r="3259" spans="2:26" outlineLevel="1">
      <c r="B3259" s="3252"/>
      <c r="C3259" s="367">
        <f t="shared" si="745"/>
        <v>30</v>
      </c>
      <c r="D3259" s="670">
        <f t="shared" si="746"/>
        <v>13</v>
      </c>
      <c r="E3259" s="735">
        <v>7</v>
      </c>
      <c r="F3259" s="67" t="s">
        <v>732</v>
      </c>
      <c r="G3259" s="68" t="s">
        <v>733</v>
      </c>
      <c r="H3259" s="69" t="s">
        <v>1571</v>
      </c>
      <c r="I3259" s="68" t="s">
        <v>726</v>
      </c>
      <c r="J3259" s="301" t="s">
        <v>760</v>
      </c>
      <c r="K3259" s="737" t="s">
        <v>67</v>
      </c>
      <c r="L3259" s="72">
        <v>40226</v>
      </c>
      <c r="M3259" s="738" t="s">
        <v>729</v>
      </c>
      <c r="N3259" s="74">
        <v>40235</v>
      </c>
      <c r="O3259" s="75">
        <f t="shared" si="743"/>
        <v>40235</v>
      </c>
      <c r="P3259" s="2765"/>
      <c r="Q3259" s="2954">
        <v>94.63</v>
      </c>
      <c r="R3259" s="76"/>
      <c r="S3259" s="1999" t="s">
        <v>731</v>
      </c>
      <c r="T3259" s="693"/>
      <c r="U3259" s="1893"/>
      <c r="V3259" s="2079">
        <f t="shared" si="739"/>
        <v>111.6634</v>
      </c>
      <c r="W3259" s="78">
        <f t="shared" si="740"/>
        <v>0</v>
      </c>
      <c r="X3259" s="1878" t="str">
        <f t="shared" si="738"/>
        <v xml:space="preserve">7.- C Lima Caucho 0960908-OT_1282093  Reencauche  </v>
      </c>
      <c r="Z3259" s="19" t="str">
        <f t="shared" si="741"/>
        <v>ReencaucheReencauchadora RENOVA</v>
      </c>
    </row>
    <row r="3260" spans="2:26" outlineLevel="1">
      <c r="B3260" s="3252"/>
      <c r="C3260" s="367">
        <f t="shared" si="745"/>
        <v>29</v>
      </c>
      <c r="D3260" s="670">
        <f t="shared" si="746"/>
        <v>12</v>
      </c>
      <c r="E3260" s="735">
        <v>8</v>
      </c>
      <c r="F3260" s="67" t="s">
        <v>732</v>
      </c>
      <c r="G3260" s="68" t="s">
        <v>733</v>
      </c>
      <c r="H3260" s="69" t="s">
        <v>994</v>
      </c>
      <c r="I3260" s="68" t="s">
        <v>726</v>
      </c>
      <c r="J3260" s="301" t="s">
        <v>760</v>
      </c>
      <c r="K3260" s="737" t="s">
        <v>67</v>
      </c>
      <c r="L3260" s="72">
        <v>40226</v>
      </c>
      <c r="M3260" s="738" t="s">
        <v>729</v>
      </c>
      <c r="N3260" s="74">
        <v>40235</v>
      </c>
      <c r="O3260" s="75">
        <f t="shared" si="743"/>
        <v>40235</v>
      </c>
      <c r="P3260" s="2765"/>
      <c r="Q3260" s="2954">
        <v>94.63</v>
      </c>
      <c r="R3260" s="76"/>
      <c r="S3260" s="1999" t="s">
        <v>731</v>
      </c>
      <c r="T3260" s="693"/>
      <c r="U3260" s="1893"/>
      <c r="V3260" s="2079">
        <f t="shared" si="739"/>
        <v>111.6634</v>
      </c>
      <c r="W3260" s="78">
        <f t="shared" si="740"/>
        <v>0</v>
      </c>
      <c r="X3260" s="1878" t="str">
        <f t="shared" si="738"/>
        <v xml:space="preserve">8.- C Lima Caucho 0180207-OT_1282093  Reencauche  </v>
      </c>
      <c r="Z3260" s="19" t="str">
        <f t="shared" si="741"/>
        <v>ReencaucheReencauchadora RENOVA</v>
      </c>
    </row>
    <row r="3261" spans="2:26" outlineLevel="1">
      <c r="B3261" s="3252"/>
      <c r="C3261" s="367">
        <f t="shared" si="745"/>
        <v>28</v>
      </c>
      <c r="D3261" s="670">
        <f t="shared" si="746"/>
        <v>11</v>
      </c>
      <c r="E3261" s="735">
        <v>9</v>
      </c>
      <c r="F3261" s="67" t="s">
        <v>732</v>
      </c>
      <c r="G3261" s="68" t="s">
        <v>733</v>
      </c>
      <c r="H3261" s="69" t="s">
        <v>69</v>
      </c>
      <c r="I3261" s="68" t="s">
        <v>726</v>
      </c>
      <c r="J3261" s="301" t="s">
        <v>760</v>
      </c>
      <c r="K3261" s="737" t="s">
        <v>67</v>
      </c>
      <c r="L3261" s="72">
        <v>40226</v>
      </c>
      <c r="M3261" s="738" t="s">
        <v>729</v>
      </c>
      <c r="N3261" s="74">
        <v>40235</v>
      </c>
      <c r="O3261" s="75">
        <f t="shared" si="743"/>
        <v>40235</v>
      </c>
      <c r="P3261" s="2765"/>
      <c r="Q3261" s="2954">
        <v>94.63</v>
      </c>
      <c r="R3261" s="76"/>
      <c r="S3261" s="1999" t="s">
        <v>731</v>
      </c>
      <c r="T3261" s="693"/>
      <c r="U3261" s="1893"/>
      <c r="V3261" s="2079">
        <f t="shared" si="739"/>
        <v>111.6634</v>
      </c>
      <c r="W3261" s="78">
        <f t="shared" si="740"/>
        <v>0</v>
      </c>
      <c r="X3261" s="1878" t="str">
        <f t="shared" si="738"/>
        <v xml:space="preserve">9.- C Lima Caucho 1251207-OT_1282093  Reencauche  </v>
      </c>
      <c r="Z3261" s="19" t="str">
        <f t="shared" si="741"/>
        <v>ReencaucheReencauchadora RENOVA</v>
      </c>
    </row>
    <row r="3262" spans="2:26" outlineLevel="1">
      <c r="B3262" s="3252"/>
      <c r="C3262" s="367">
        <f t="shared" si="745"/>
        <v>27</v>
      </c>
      <c r="D3262" s="670">
        <f t="shared" si="746"/>
        <v>10</v>
      </c>
      <c r="E3262" s="735">
        <v>10</v>
      </c>
      <c r="F3262" s="67" t="s">
        <v>732</v>
      </c>
      <c r="G3262" s="68" t="s">
        <v>769</v>
      </c>
      <c r="H3262" s="69" t="s">
        <v>70</v>
      </c>
      <c r="I3262" s="68" t="s">
        <v>726</v>
      </c>
      <c r="J3262" s="301" t="s">
        <v>760</v>
      </c>
      <c r="K3262" s="737" t="s">
        <v>67</v>
      </c>
      <c r="L3262" s="72">
        <v>40226</v>
      </c>
      <c r="M3262" s="738" t="s">
        <v>729</v>
      </c>
      <c r="N3262" s="74">
        <v>40235</v>
      </c>
      <c r="O3262" s="75">
        <f t="shared" si="743"/>
        <v>40235</v>
      </c>
      <c r="P3262" s="2765"/>
      <c r="Q3262" s="2954">
        <v>94.63</v>
      </c>
      <c r="R3262" s="76"/>
      <c r="S3262" s="1999" t="s">
        <v>731</v>
      </c>
      <c r="T3262" s="693"/>
      <c r="U3262" s="1893"/>
      <c r="V3262" s="2079">
        <f t="shared" si="739"/>
        <v>111.6634</v>
      </c>
      <c r="W3262" s="78">
        <f t="shared" si="740"/>
        <v>0</v>
      </c>
      <c r="X3262" s="1878" t="str">
        <f t="shared" si="738"/>
        <v xml:space="preserve">10.- C Lu He 0480609-OT_1282093  Reencauche  </v>
      </c>
      <c r="Z3262" s="19" t="str">
        <f t="shared" si="741"/>
        <v>ReencaucheReencauchadora RENOVA</v>
      </c>
    </row>
    <row r="3263" spans="2:26" outlineLevel="1">
      <c r="B3263" s="3252"/>
      <c r="C3263" s="367">
        <f t="shared" si="745"/>
        <v>26</v>
      </c>
      <c r="D3263" s="670">
        <f t="shared" si="746"/>
        <v>9</v>
      </c>
      <c r="E3263" s="735">
        <v>11</v>
      </c>
      <c r="F3263" s="67" t="s">
        <v>732</v>
      </c>
      <c r="G3263" s="68" t="s">
        <v>737</v>
      </c>
      <c r="H3263" s="69" t="s">
        <v>743</v>
      </c>
      <c r="I3263" s="68" t="s">
        <v>726</v>
      </c>
      <c r="J3263" s="301" t="s">
        <v>760</v>
      </c>
      <c r="K3263" s="737" t="s">
        <v>65</v>
      </c>
      <c r="L3263" s="72">
        <v>40226</v>
      </c>
      <c r="M3263" s="738" t="s">
        <v>729</v>
      </c>
      <c r="N3263" s="74">
        <v>40235</v>
      </c>
      <c r="O3263" s="75">
        <f t="shared" si="743"/>
        <v>40235</v>
      </c>
      <c r="P3263" s="2765"/>
      <c r="Q3263" s="2954">
        <v>94.63</v>
      </c>
      <c r="R3263" s="76"/>
      <c r="S3263" s="1999" t="s">
        <v>731</v>
      </c>
      <c r="T3263" s="693"/>
      <c r="U3263" s="1893"/>
      <c r="V3263" s="2079">
        <f t="shared" si="739"/>
        <v>111.6634</v>
      </c>
      <c r="W3263" s="78">
        <f t="shared" si="740"/>
        <v>0</v>
      </c>
      <c r="X3263" s="1878" t="str">
        <f t="shared" si="738"/>
        <v xml:space="preserve">11.- C Vikrant 0811007-OT_1282092  Reencauche  </v>
      </c>
      <c r="Z3263" s="19" t="str">
        <f t="shared" si="741"/>
        <v>ReencaucheReencauchadora RENOVA</v>
      </c>
    </row>
    <row r="3264" spans="2:26" outlineLevel="1">
      <c r="B3264" s="3252"/>
      <c r="C3264" s="367">
        <f t="shared" si="745"/>
        <v>25</v>
      </c>
      <c r="D3264" s="670">
        <f t="shared" si="746"/>
        <v>8</v>
      </c>
      <c r="E3264" s="735">
        <v>12</v>
      </c>
      <c r="F3264" s="67" t="s">
        <v>732</v>
      </c>
      <c r="G3264" s="68" t="s">
        <v>737</v>
      </c>
      <c r="H3264" s="69" t="s">
        <v>1024</v>
      </c>
      <c r="I3264" s="68" t="s">
        <v>726</v>
      </c>
      <c r="J3264" s="301" t="s">
        <v>760</v>
      </c>
      <c r="K3264" s="737" t="s">
        <v>65</v>
      </c>
      <c r="L3264" s="72">
        <v>40226</v>
      </c>
      <c r="M3264" s="738" t="s">
        <v>729</v>
      </c>
      <c r="N3264" s="74">
        <v>40235</v>
      </c>
      <c r="O3264" s="75">
        <f t="shared" si="743"/>
        <v>40235</v>
      </c>
      <c r="P3264" s="2765"/>
      <c r="Q3264" s="2954">
        <v>94.63</v>
      </c>
      <c r="R3264" s="76"/>
      <c r="S3264" s="1999" t="s">
        <v>731</v>
      </c>
      <c r="T3264" s="693"/>
      <c r="U3264" s="1893"/>
      <c r="V3264" s="2079">
        <f t="shared" si="739"/>
        <v>111.6634</v>
      </c>
      <c r="W3264" s="78">
        <f t="shared" si="740"/>
        <v>0</v>
      </c>
      <c r="X3264" s="1878" t="str">
        <f t="shared" si="738"/>
        <v xml:space="preserve">12.- C Vikrant 0791007-OT_1282092  Reencauche  </v>
      </c>
      <c r="Z3264" s="19" t="str">
        <f t="shared" si="741"/>
        <v>ReencaucheReencauchadora RENOVA</v>
      </c>
    </row>
    <row r="3265" spans="2:26" outlineLevel="1">
      <c r="B3265" s="3252"/>
      <c r="C3265" s="367">
        <f t="shared" si="745"/>
        <v>24</v>
      </c>
      <c r="D3265" s="670">
        <f t="shared" si="746"/>
        <v>7</v>
      </c>
      <c r="E3265" s="735">
        <v>13</v>
      </c>
      <c r="F3265" s="67" t="s">
        <v>732</v>
      </c>
      <c r="G3265" s="68" t="s">
        <v>737</v>
      </c>
      <c r="H3265" s="69" t="s">
        <v>1813</v>
      </c>
      <c r="I3265" s="68" t="s">
        <v>726</v>
      </c>
      <c r="J3265" s="301" t="s">
        <v>760</v>
      </c>
      <c r="K3265" s="737" t="s">
        <v>65</v>
      </c>
      <c r="L3265" s="72">
        <v>40226</v>
      </c>
      <c r="M3265" s="738" t="s">
        <v>729</v>
      </c>
      <c r="N3265" s="74">
        <v>40235</v>
      </c>
      <c r="O3265" s="75">
        <f t="shared" si="743"/>
        <v>40235</v>
      </c>
      <c r="P3265" s="2765"/>
      <c r="Q3265" s="2954">
        <v>94.63</v>
      </c>
      <c r="R3265" s="76"/>
      <c r="S3265" s="1999" t="s">
        <v>731</v>
      </c>
      <c r="T3265" s="693"/>
      <c r="U3265" s="1893"/>
      <c r="V3265" s="2079">
        <f t="shared" si="739"/>
        <v>111.6634</v>
      </c>
      <c r="W3265" s="78">
        <f t="shared" si="740"/>
        <v>0</v>
      </c>
      <c r="X3265" s="1878" t="str">
        <f t="shared" si="738"/>
        <v xml:space="preserve">13.- C Vikrant 0931007-OT_1282092  Reencauche  </v>
      </c>
      <c r="Z3265" s="19" t="str">
        <f t="shared" si="741"/>
        <v>ReencaucheReencauchadora RENOVA</v>
      </c>
    </row>
    <row r="3266" spans="2:26" outlineLevel="1">
      <c r="B3266" s="3252"/>
      <c r="C3266" s="367">
        <f t="shared" si="745"/>
        <v>23</v>
      </c>
      <c r="D3266" s="670">
        <f t="shared" si="746"/>
        <v>6</v>
      </c>
      <c r="E3266" s="735">
        <v>14</v>
      </c>
      <c r="F3266" s="67" t="s">
        <v>732</v>
      </c>
      <c r="G3266" s="68" t="s">
        <v>737</v>
      </c>
      <c r="H3266" s="69" t="s">
        <v>1879</v>
      </c>
      <c r="I3266" s="68" t="s">
        <v>726</v>
      </c>
      <c r="J3266" s="301" t="s">
        <v>760</v>
      </c>
      <c r="K3266" s="737" t="s">
        <v>65</v>
      </c>
      <c r="L3266" s="72">
        <v>40226</v>
      </c>
      <c r="M3266" s="738" t="s">
        <v>729</v>
      </c>
      <c r="N3266" s="74">
        <v>40235</v>
      </c>
      <c r="O3266" s="75">
        <f t="shared" si="743"/>
        <v>40235</v>
      </c>
      <c r="P3266" s="2765"/>
      <c r="Q3266" s="2954">
        <v>94.63</v>
      </c>
      <c r="R3266" s="76"/>
      <c r="S3266" s="1999" t="s">
        <v>731</v>
      </c>
      <c r="T3266" s="693"/>
      <c r="U3266" s="1893"/>
      <c r="V3266" s="2079">
        <f t="shared" si="739"/>
        <v>111.6634</v>
      </c>
      <c r="W3266" s="78">
        <f t="shared" si="740"/>
        <v>0</v>
      </c>
      <c r="X3266" s="1878" t="str">
        <f t="shared" si="738"/>
        <v xml:space="preserve">14.- C Vikrant 1641205-OT_1282092  Reencauche  </v>
      </c>
      <c r="Z3266" s="19" t="str">
        <f t="shared" si="741"/>
        <v>ReencaucheReencauchadora RENOVA</v>
      </c>
    </row>
    <row r="3267" spans="2:26" outlineLevel="1">
      <c r="B3267" s="3252"/>
      <c r="C3267" s="367">
        <f t="shared" si="745"/>
        <v>22</v>
      </c>
      <c r="D3267" s="670">
        <f t="shared" si="746"/>
        <v>5</v>
      </c>
      <c r="E3267" s="735">
        <v>15</v>
      </c>
      <c r="F3267" s="67" t="s">
        <v>732</v>
      </c>
      <c r="G3267" s="68" t="s">
        <v>737</v>
      </c>
      <c r="H3267" s="69" t="s">
        <v>999</v>
      </c>
      <c r="I3267" s="68" t="s">
        <v>726</v>
      </c>
      <c r="J3267" s="301" t="s">
        <v>760</v>
      </c>
      <c r="K3267" s="737" t="s">
        <v>65</v>
      </c>
      <c r="L3267" s="72">
        <v>40226</v>
      </c>
      <c r="M3267" s="738" t="s">
        <v>729</v>
      </c>
      <c r="N3267" s="74">
        <v>40235</v>
      </c>
      <c r="O3267" s="75">
        <f t="shared" si="743"/>
        <v>40235</v>
      </c>
      <c r="P3267" s="2765"/>
      <c r="Q3267" s="2954">
        <v>94.63</v>
      </c>
      <c r="R3267" s="76"/>
      <c r="S3267" s="1999" t="s">
        <v>731</v>
      </c>
      <c r="T3267" s="693"/>
      <c r="U3267" s="1893"/>
      <c r="V3267" s="2079">
        <f t="shared" si="739"/>
        <v>111.6634</v>
      </c>
      <c r="W3267" s="78">
        <f t="shared" si="740"/>
        <v>0</v>
      </c>
      <c r="X3267" s="1878" t="str">
        <f t="shared" si="738"/>
        <v xml:space="preserve">15.- C Vikrant 0851007-OT_1282092  Reencauche  </v>
      </c>
      <c r="Z3267" s="19" t="str">
        <f t="shared" si="741"/>
        <v>ReencaucheReencauchadora RENOVA</v>
      </c>
    </row>
    <row r="3268" spans="2:26" outlineLevel="1">
      <c r="B3268" s="3252"/>
      <c r="C3268" s="367">
        <f t="shared" si="745"/>
        <v>21</v>
      </c>
      <c r="D3268" s="670">
        <f t="shared" si="746"/>
        <v>4</v>
      </c>
      <c r="E3268" s="735">
        <v>16</v>
      </c>
      <c r="F3268" s="67" t="s">
        <v>732</v>
      </c>
      <c r="G3268" s="68" t="s">
        <v>1233</v>
      </c>
      <c r="H3268" s="69" t="s">
        <v>1831</v>
      </c>
      <c r="I3268" s="68" t="s">
        <v>726</v>
      </c>
      <c r="J3268" s="301" t="s">
        <v>760</v>
      </c>
      <c r="K3268" s="737" t="s">
        <v>65</v>
      </c>
      <c r="L3268" s="72">
        <v>40226</v>
      </c>
      <c r="M3268" s="738" t="s">
        <v>729</v>
      </c>
      <c r="N3268" s="74">
        <v>40235</v>
      </c>
      <c r="O3268" s="75">
        <f t="shared" si="743"/>
        <v>40235</v>
      </c>
      <c r="P3268" s="2765"/>
      <c r="Q3268" s="2954">
        <v>94.63</v>
      </c>
      <c r="R3268" s="76"/>
      <c r="S3268" s="1999" t="s">
        <v>731</v>
      </c>
      <c r="T3268" s="693"/>
      <c r="U3268" s="1893"/>
      <c r="V3268" s="2079">
        <f t="shared" si="739"/>
        <v>111.6634</v>
      </c>
      <c r="W3268" s="78">
        <f t="shared" si="740"/>
        <v>0</v>
      </c>
      <c r="X3268" s="1878" t="str">
        <f t="shared" si="738"/>
        <v xml:space="preserve">16.- C Saratoga 0110306-OT_1282092  Reencauche  </v>
      </c>
      <c r="Z3268" s="19" t="str">
        <f t="shared" si="741"/>
        <v>ReencaucheReencauchadora RENOVA</v>
      </c>
    </row>
    <row r="3269" spans="2:26">
      <c r="B3269" s="3252"/>
      <c r="C3269" s="367">
        <f t="shared" si="745"/>
        <v>20</v>
      </c>
      <c r="D3269" s="670">
        <f t="shared" si="746"/>
        <v>3</v>
      </c>
      <c r="E3269" s="735">
        <v>17</v>
      </c>
      <c r="F3269" s="67" t="s">
        <v>732</v>
      </c>
      <c r="G3269" s="68" t="s">
        <v>1108</v>
      </c>
      <c r="H3269" s="69" t="s">
        <v>2289</v>
      </c>
      <c r="I3269" s="68" t="s">
        <v>726</v>
      </c>
      <c r="J3269" s="301" t="s">
        <v>760</v>
      </c>
      <c r="K3269" s="737" t="s">
        <v>65</v>
      </c>
      <c r="L3269" s="72">
        <v>40226</v>
      </c>
      <c r="M3269" s="738" t="s">
        <v>729</v>
      </c>
      <c r="N3269" s="74">
        <v>40235</v>
      </c>
      <c r="O3269" s="75">
        <f t="shared" si="743"/>
        <v>40235</v>
      </c>
      <c r="P3269" s="2765"/>
      <c r="Q3269" s="2954">
        <v>94.63</v>
      </c>
      <c r="R3269" s="76"/>
      <c r="S3269" s="1999" t="s">
        <v>731</v>
      </c>
      <c r="T3269" s="693"/>
      <c r="U3269" s="1893"/>
      <c r="V3269" s="2079">
        <f t="shared" si="739"/>
        <v>111.6634</v>
      </c>
      <c r="W3269" s="78">
        <f t="shared" si="740"/>
        <v>0</v>
      </c>
      <c r="X3269" s="1878" t="str">
        <f t="shared" si="738"/>
        <v xml:space="preserve">17.- C Hankook 0420305-OT_1282092  Reencauche  </v>
      </c>
    </row>
    <row r="3270" spans="2:26" outlineLevel="1">
      <c r="B3270" s="3252"/>
      <c r="C3270" s="367">
        <f t="shared" si="745"/>
        <v>19</v>
      </c>
      <c r="D3270" s="670">
        <f t="shared" si="746"/>
        <v>2</v>
      </c>
      <c r="E3270" s="735">
        <v>18</v>
      </c>
      <c r="F3270" s="67" t="s">
        <v>732</v>
      </c>
      <c r="G3270" s="68" t="s">
        <v>757</v>
      </c>
      <c r="H3270" s="69" t="s">
        <v>1054</v>
      </c>
      <c r="I3270" s="68" t="s">
        <v>726</v>
      </c>
      <c r="J3270" s="301" t="s">
        <v>760</v>
      </c>
      <c r="K3270" s="737" t="s">
        <v>65</v>
      </c>
      <c r="L3270" s="72">
        <v>40226</v>
      </c>
      <c r="M3270" s="738" t="s">
        <v>729</v>
      </c>
      <c r="N3270" s="74">
        <v>40235</v>
      </c>
      <c r="O3270" s="75">
        <f t="shared" si="743"/>
        <v>40235</v>
      </c>
      <c r="P3270" s="2765"/>
      <c r="Q3270" s="2954">
        <v>94.63</v>
      </c>
      <c r="R3270" s="76"/>
      <c r="S3270" s="1999" t="s">
        <v>731</v>
      </c>
      <c r="T3270" s="693"/>
      <c r="U3270" s="1893"/>
      <c r="V3270" s="2079">
        <f t="shared" si="739"/>
        <v>111.6634</v>
      </c>
      <c r="W3270" s="78">
        <f t="shared" si="740"/>
        <v>0</v>
      </c>
      <c r="X3270" s="1878" t="str">
        <f t="shared" si="738"/>
        <v xml:space="preserve">18.- C Goodyear 0020102-OT_1282092  Reencauche  </v>
      </c>
      <c r="Z3270" s="19" t="str">
        <f t="shared" ref="Z3270:Z3286" si="747">CONCATENATE(I3273,J3273)</f>
        <v>ReencaucheReencauchadora Espinoza</v>
      </c>
    </row>
    <row r="3271" spans="2:26" ht="15.75" outlineLevel="1" thickBot="1">
      <c r="B3271" s="3253"/>
      <c r="C3271" s="420">
        <f>1+C3273</f>
        <v>18</v>
      </c>
      <c r="D3271" s="428">
        <v>1</v>
      </c>
      <c r="E3271" s="660">
        <v>19</v>
      </c>
      <c r="F3271" s="661" t="s">
        <v>732</v>
      </c>
      <c r="G3271" s="329" t="s">
        <v>769</v>
      </c>
      <c r="H3271" s="330" t="s">
        <v>2005</v>
      </c>
      <c r="I3271" s="329" t="s">
        <v>726</v>
      </c>
      <c r="J3271" s="615" t="s">
        <v>760</v>
      </c>
      <c r="K3271" s="739" t="s">
        <v>71</v>
      </c>
      <c r="L3271" s="334">
        <v>40226</v>
      </c>
      <c r="M3271" s="740" t="s">
        <v>729</v>
      </c>
      <c r="N3271" s="336">
        <v>40235</v>
      </c>
      <c r="O3271" s="337">
        <f t="shared" si="743"/>
        <v>40235</v>
      </c>
      <c r="P3271" s="2798"/>
      <c r="Q3271" s="2980">
        <v>94.63</v>
      </c>
      <c r="R3271" s="338"/>
      <c r="S3271" s="2000" t="s">
        <v>731</v>
      </c>
      <c r="T3271" s="693"/>
      <c r="U3271" s="1893"/>
      <c r="V3271" s="2079">
        <f t="shared" si="739"/>
        <v>111.6634</v>
      </c>
      <c r="W3271" s="78">
        <f t="shared" si="740"/>
        <v>0</v>
      </c>
      <c r="X3271" s="1878" t="str">
        <f t="shared" si="738"/>
        <v xml:space="preserve">19.- C Lu He 0150209-OT_1282094  Reencauche  </v>
      </c>
      <c r="Z3271" s="19" t="str">
        <f t="shared" si="747"/>
        <v>ReencaucheReencauchadora Espinoza</v>
      </c>
    </row>
    <row r="3272" spans="2:26" outlineLevel="1">
      <c r="B3272" s="1">
        <f>+B3273</f>
        <v>40179</v>
      </c>
      <c r="C3272" s="1"/>
      <c r="D3272" s="173">
        <f>+D3273</f>
        <v>17</v>
      </c>
      <c r="E3272" s="660"/>
      <c r="F3272" s="661"/>
      <c r="G3272" s="68"/>
      <c r="H3272" s="69"/>
      <c r="I3272" s="68"/>
      <c r="J3272" s="301"/>
      <c r="K3272" s="737"/>
      <c r="L3272" s="72"/>
      <c r="M3272" s="738"/>
      <c r="N3272" s="74"/>
      <c r="O3272" s="75"/>
      <c r="P3272" s="2765"/>
      <c r="Q3272" s="2954"/>
      <c r="R3272" s="76"/>
      <c r="S3272" s="1999"/>
      <c r="T3272" s="693"/>
      <c r="U3272" s="1893"/>
      <c r="V3272" s="2079">
        <f t="shared" si="739"/>
        <v>0</v>
      </c>
      <c r="W3272" s="78">
        <f t="shared" si="740"/>
        <v>0</v>
      </c>
      <c r="X3272" s="1878" t="str">
        <f t="shared" si="738"/>
        <v xml:space="preserve">.-   -OT_    </v>
      </c>
      <c r="Z3272" s="19" t="str">
        <f t="shared" si="747"/>
        <v>ReencaucheReencauchadora Espinoza</v>
      </c>
    </row>
    <row r="3273" spans="2:26" outlineLevel="1">
      <c r="B3273" s="1">
        <v>40179</v>
      </c>
      <c r="C3273" s="367">
        <f t="shared" ref="C3273:C3288" si="748">1+C3274</f>
        <v>17</v>
      </c>
      <c r="D3273" s="669">
        <f t="shared" ref="D3273:D3288" si="749">1+D3274</f>
        <v>17</v>
      </c>
      <c r="E3273" s="735">
        <v>1</v>
      </c>
      <c r="F3273" s="67" t="s">
        <v>732</v>
      </c>
      <c r="G3273" s="68" t="s">
        <v>733</v>
      </c>
      <c r="H3273" s="69" t="s">
        <v>72</v>
      </c>
      <c r="I3273" s="68" t="s">
        <v>726</v>
      </c>
      <c r="J3273" s="70" t="s">
        <v>1543</v>
      </c>
      <c r="K3273" s="737" t="s">
        <v>73</v>
      </c>
      <c r="L3273" s="72">
        <v>40193</v>
      </c>
      <c r="M3273" s="738" t="s">
        <v>729</v>
      </c>
      <c r="N3273" s="74"/>
      <c r="O3273" s="75">
        <f t="shared" ref="O3273:O3289" si="750">+N3273</f>
        <v>0</v>
      </c>
      <c r="P3273" s="2765"/>
      <c r="Q3273" s="2954"/>
      <c r="R3273" s="76">
        <f>300/(1.19)</f>
        <v>252.10084033613447</v>
      </c>
      <c r="S3273" s="1999" t="s">
        <v>731</v>
      </c>
      <c r="T3273" s="693"/>
      <c r="U3273" s="1893"/>
      <c r="V3273" s="2079">
        <f t="shared" si="739"/>
        <v>0</v>
      </c>
      <c r="W3273" s="78">
        <f t="shared" si="740"/>
        <v>297.47899159663865</v>
      </c>
      <c r="X3273" s="1878" t="str">
        <f t="shared" si="738"/>
        <v xml:space="preserve">1.- C Lima Caucho 0200207-OT_000993  Reencauche  </v>
      </c>
      <c r="Z3273" s="19" t="str">
        <f t="shared" si="747"/>
        <v>ReencaucheReencauchadora RENOVA</v>
      </c>
    </row>
    <row r="3274" spans="2:26" outlineLevel="1">
      <c r="B3274" s="3249"/>
      <c r="C3274" s="367">
        <f t="shared" si="748"/>
        <v>16</v>
      </c>
      <c r="D3274" s="670">
        <f t="shared" si="749"/>
        <v>16</v>
      </c>
      <c r="E3274" s="735">
        <v>2</v>
      </c>
      <c r="F3274" s="67" t="s">
        <v>732</v>
      </c>
      <c r="G3274" s="68" t="s">
        <v>733</v>
      </c>
      <c r="H3274" s="69" t="s">
        <v>1719</v>
      </c>
      <c r="I3274" s="68" t="s">
        <v>726</v>
      </c>
      <c r="J3274" s="70" t="s">
        <v>1543</v>
      </c>
      <c r="K3274" s="737" t="s">
        <v>73</v>
      </c>
      <c r="L3274" s="72">
        <v>40193</v>
      </c>
      <c r="M3274" s="738" t="s">
        <v>729</v>
      </c>
      <c r="N3274" s="74"/>
      <c r="O3274" s="75">
        <f t="shared" si="750"/>
        <v>0</v>
      </c>
      <c r="P3274" s="2765"/>
      <c r="Q3274" s="2954"/>
      <c r="R3274" s="76">
        <f>300/(1.19)</f>
        <v>252.10084033613447</v>
      </c>
      <c r="S3274" s="1999" t="s">
        <v>731</v>
      </c>
      <c r="T3274" s="693"/>
      <c r="U3274" s="1893"/>
      <c r="V3274" s="2079">
        <f t="shared" si="739"/>
        <v>0</v>
      </c>
      <c r="W3274" s="78">
        <f t="shared" si="740"/>
        <v>297.47899159663865</v>
      </c>
      <c r="X3274" s="1878" t="str">
        <f t="shared" si="738"/>
        <v xml:space="preserve">2.- C Lima Caucho 0330507-OT_000993  Reencauche  </v>
      </c>
      <c r="Z3274" s="19" t="str">
        <f t="shared" si="747"/>
        <v>ReencaucheReencauchadora RENOVA</v>
      </c>
    </row>
    <row r="3275" spans="2:26" outlineLevel="1">
      <c r="B3275" s="3249"/>
      <c r="C3275" s="367">
        <f t="shared" si="748"/>
        <v>15</v>
      </c>
      <c r="D3275" s="670">
        <f t="shared" si="749"/>
        <v>15</v>
      </c>
      <c r="E3275" s="660">
        <v>3</v>
      </c>
      <c r="F3275" s="661" t="s">
        <v>732</v>
      </c>
      <c r="G3275" s="741" t="s">
        <v>737</v>
      </c>
      <c r="H3275" s="714" t="s">
        <v>74</v>
      </c>
      <c r="I3275" s="741" t="s">
        <v>726</v>
      </c>
      <c r="J3275" s="742" t="s">
        <v>1543</v>
      </c>
      <c r="K3275" s="743" t="s">
        <v>73</v>
      </c>
      <c r="L3275" s="744">
        <v>40193</v>
      </c>
      <c r="M3275" s="745" t="s">
        <v>729</v>
      </c>
      <c r="N3275" s="74"/>
      <c r="O3275" s="75">
        <f t="shared" si="750"/>
        <v>0</v>
      </c>
      <c r="P3275" s="2834"/>
      <c r="Q3275" s="2954"/>
      <c r="R3275" s="746">
        <f>300/(1.19)</f>
        <v>252.10084033613447</v>
      </c>
      <c r="S3275" s="2001" t="s">
        <v>731</v>
      </c>
      <c r="T3275" s="693"/>
      <c r="U3275" s="1893"/>
      <c r="V3275" s="2079">
        <f t="shared" si="739"/>
        <v>0</v>
      </c>
      <c r="W3275" s="78">
        <f t="shared" si="740"/>
        <v>297.47899159663865</v>
      </c>
      <c r="X3275" s="1878" t="str">
        <f t="shared" si="738"/>
        <v xml:space="preserve">3.- C Vikrant 0871007-OT_000993  Reencauche  </v>
      </c>
      <c r="Z3275" s="19" t="str">
        <f t="shared" si="747"/>
        <v>ReencaucheReencauchadora RENOVA</v>
      </c>
    </row>
    <row r="3276" spans="2:26" outlineLevel="1">
      <c r="B3276" s="3249"/>
      <c r="C3276" s="367">
        <f t="shared" si="748"/>
        <v>14</v>
      </c>
      <c r="D3276" s="670">
        <f t="shared" si="749"/>
        <v>14</v>
      </c>
      <c r="E3276" s="747">
        <v>1</v>
      </c>
      <c r="F3276" s="39" t="s">
        <v>732</v>
      </c>
      <c r="G3276" s="748" t="s">
        <v>733</v>
      </c>
      <c r="H3276" s="41" t="s">
        <v>964</v>
      </c>
      <c r="I3276" s="40" t="s">
        <v>726</v>
      </c>
      <c r="J3276" s="749" t="s">
        <v>760</v>
      </c>
      <c r="K3276" s="750" t="s">
        <v>75</v>
      </c>
      <c r="L3276" s="44">
        <v>40192</v>
      </c>
      <c r="M3276" s="751" t="s">
        <v>729</v>
      </c>
      <c r="N3276" s="46"/>
      <c r="O3276" s="47">
        <f t="shared" si="750"/>
        <v>0</v>
      </c>
      <c r="P3276" s="2763"/>
      <c r="Q3276" s="2952">
        <v>94.63</v>
      </c>
      <c r="R3276" s="48"/>
      <c r="S3276" s="2002" t="s">
        <v>731</v>
      </c>
      <c r="T3276" s="693"/>
      <c r="U3276" s="1893"/>
      <c r="V3276" s="2079">
        <f t="shared" si="739"/>
        <v>111.6634</v>
      </c>
      <c r="W3276" s="78">
        <f t="shared" si="740"/>
        <v>0</v>
      </c>
      <c r="X3276" s="1878" t="str">
        <f t="shared" si="738"/>
        <v xml:space="preserve">1.- C Lima Caucho 1281207-OT_124549  Reencauche  </v>
      </c>
      <c r="Z3276" s="19" t="str">
        <f t="shared" si="747"/>
        <v>ReencaucheReencauchadora RENOVA</v>
      </c>
    </row>
    <row r="3277" spans="2:26" outlineLevel="1">
      <c r="B3277" s="3249"/>
      <c r="C3277" s="367">
        <f t="shared" si="748"/>
        <v>13</v>
      </c>
      <c r="D3277" s="670">
        <f t="shared" si="749"/>
        <v>13</v>
      </c>
      <c r="E3277" s="735">
        <v>2</v>
      </c>
      <c r="F3277" s="67" t="s">
        <v>732</v>
      </c>
      <c r="G3277" s="299" t="s">
        <v>733</v>
      </c>
      <c r="H3277" s="69" t="s">
        <v>1217</v>
      </c>
      <c r="I3277" s="68" t="s">
        <v>726</v>
      </c>
      <c r="J3277" s="301" t="s">
        <v>760</v>
      </c>
      <c r="K3277" s="737" t="s">
        <v>75</v>
      </c>
      <c r="L3277" s="72">
        <v>40192</v>
      </c>
      <c r="M3277" s="738" t="s">
        <v>729</v>
      </c>
      <c r="N3277" s="74"/>
      <c r="O3277" s="75">
        <f t="shared" si="750"/>
        <v>0</v>
      </c>
      <c r="P3277" s="2765"/>
      <c r="Q3277" s="2954">
        <v>94.63</v>
      </c>
      <c r="R3277" s="76"/>
      <c r="S3277" s="1999" t="s">
        <v>731</v>
      </c>
      <c r="T3277" s="693"/>
      <c r="U3277" s="1893"/>
      <c r="V3277" s="2079">
        <f t="shared" si="739"/>
        <v>111.6634</v>
      </c>
      <c r="W3277" s="78">
        <f t="shared" si="740"/>
        <v>0</v>
      </c>
      <c r="X3277" s="1878" t="str">
        <f t="shared" si="738"/>
        <v xml:space="preserve">2.- C Lima Caucho 0900908-OT_124549  Reencauche  </v>
      </c>
      <c r="Z3277" s="19" t="str">
        <f t="shared" si="747"/>
        <v>ReencaucheReencauchadora RENOVA</v>
      </c>
    </row>
    <row r="3278" spans="2:26" outlineLevel="1">
      <c r="B3278" s="3249"/>
      <c r="C3278" s="367">
        <f t="shared" si="748"/>
        <v>12</v>
      </c>
      <c r="D3278" s="670">
        <f t="shared" si="749"/>
        <v>12</v>
      </c>
      <c r="E3278" s="735">
        <v>3</v>
      </c>
      <c r="F3278" s="67" t="s">
        <v>732</v>
      </c>
      <c r="G3278" s="299" t="s">
        <v>733</v>
      </c>
      <c r="H3278" s="69" t="s">
        <v>753</v>
      </c>
      <c r="I3278" s="68" t="s">
        <v>726</v>
      </c>
      <c r="J3278" s="301" t="s">
        <v>760</v>
      </c>
      <c r="K3278" s="737" t="s">
        <v>75</v>
      </c>
      <c r="L3278" s="72">
        <v>40192</v>
      </c>
      <c r="M3278" s="738" t="s">
        <v>729</v>
      </c>
      <c r="N3278" s="74"/>
      <c r="O3278" s="75">
        <f t="shared" si="750"/>
        <v>0</v>
      </c>
      <c r="P3278" s="2765"/>
      <c r="Q3278" s="2954">
        <v>94.63</v>
      </c>
      <c r="R3278" s="76"/>
      <c r="S3278" s="1999" t="s">
        <v>731</v>
      </c>
      <c r="T3278" s="693"/>
      <c r="U3278" s="1893"/>
      <c r="V3278" s="2079">
        <f t="shared" si="739"/>
        <v>111.6634</v>
      </c>
      <c r="W3278" s="78">
        <f t="shared" si="740"/>
        <v>0</v>
      </c>
      <c r="X3278" s="1878" t="str">
        <f t="shared" si="738"/>
        <v xml:space="preserve">3.- C Lima Caucho 0950908-OT_124549  Reencauche  </v>
      </c>
      <c r="Z3278" s="19" t="str">
        <f t="shared" si="747"/>
        <v>ReencaucheReencauchadora RENOVA</v>
      </c>
    </row>
    <row r="3279" spans="2:26" outlineLevel="1">
      <c r="B3279" s="3249"/>
      <c r="C3279" s="367">
        <f t="shared" si="748"/>
        <v>11</v>
      </c>
      <c r="D3279" s="670">
        <f t="shared" si="749"/>
        <v>11</v>
      </c>
      <c r="E3279" s="735">
        <v>4</v>
      </c>
      <c r="F3279" s="67" t="s">
        <v>732</v>
      </c>
      <c r="G3279" s="299" t="s">
        <v>733</v>
      </c>
      <c r="H3279" s="69" t="s">
        <v>2080</v>
      </c>
      <c r="I3279" s="68" t="s">
        <v>726</v>
      </c>
      <c r="J3279" s="301" t="s">
        <v>760</v>
      </c>
      <c r="K3279" s="737" t="s">
        <v>75</v>
      </c>
      <c r="L3279" s="72">
        <v>40192</v>
      </c>
      <c r="M3279" s="738" t="s">
        <v>729</v>
      </c>
      <c r="N3279" s="74"/>
      <c r="O3279" s="75">
        <f t="shared" si="750"/>
        <v>0</v>
      </c>
      <c r="P3279" s="2765"/>
      <c r="Q3279" s="2954">
        <v>94.63</v>
      </c>
      <c r="R3279" s="76"/>
      <c r="S3279" s="1999" t="s">
        <v>731</v>
      </c>
      <c r="T3279" s="693"/>
      <c r="U3279" s="1893"/>
      <c r="V3279" s="2079">
        <f t="shared" si="739"/>
        <v>111.6634</v>
      </c>
      <c r="W3279" s="78">
        <f t="shared" si="740"/>
        <v>0</v>
      </c>
      <c r="X3279" s="1878" t="str">
        <f t="shared" si="738"/>
        <v xml:space="preserve">4.- C Lima Caucho 1321207-OT_124549  Reencauche  </v>
      </c>
      <c r="Z3279" s="19" t="str">
        <f t="shared" si="747"/>
        <v>ReencaucheReencauchadora RENOVA</v>
      </c>
    </row>
    <row r="3280" spans="2:26" outlineLevel="1">
      <c r="B3280" s="3249"/>
      <c r="C3280" s="367">
        <f t="shared" si="748"/>
        <v>10</v>
      </c>
      <c r="D3280" s="670">
        <f t="shared" si="749"/>
        <v>10</v>
      </c>
      <c r="E3280" s="735">
        <v>5</v>
      </c>
      <c r="F3280" s="67" t="s">
        <v>732</v>
      </c>
      <c r="G3280" s="299" t="s">
        <v>733</v>
      </c>
      <c r="H3280" s="69" t="s">
        <v>1471</v>
      </c>
      <c r="I3280" s="68" t="s">
        <v>726</v>
      </c>
      <c r="J3280" s="301" t="s">
        <v>760</v>
      </c>
      <c r="K3280" s="737" t="s">
        <v>75</v>
      </c>
      <c r="L3280" s="72">
        <v>40192</v>
      </c>
      <c r="M3280" s="738" t="s">
        <v>729</v>
      </c>
      <c r="N3280" s="74"/>
      <c r="O3280" s="75">
        <f t="shared" si="750"/>
        <v>0</v>
      </c>
      <c r="P3280" s="2765"/>
      <c r="Q3280" s="2954">
        <v>94.63</v>
      </c>
      <c r="R3280" s="76"/>
      <c r="S3280" s="1999" t="s">
        <v>731</v>
      </c>
      <c r="T3280" s="693"/>
      <c r="U3280" s="1893"/>
      <c r="V3280" s="2079">
        <f t="shared" si="739"/>
        <v>111.6634</v>
      </c>
      <c r="W3280" s="78">
        <f t="shared" si="740"/>
        <v>0</v>
      </c>
      <c r="X3280" s="1878" t="str">
        <f t="shared" si="738"/>
        <v xml:space="preserve">5.- C Lima Caucho 0170207-OT_124549  Reencauche  </v>
      </c>
      <c r="Z3280" s="19" t="str">
        <f t="shared" si="747"/>
        <v>ReencaucheReencauchadora RENOVA</v>
      </c>
    </row>
    <row r="3281" spans="1:29" outlineLevel="1">
      <c r="B3281" s="3249"/>
      <c r="C3281" s="367">
        <f t="shared" si="748"/>
        <v>9</v>
      </c>
      <c r="D3281" s="670">
        <f t="shared" si="749"/>
        <v>9</v>
      </c>
      <c r="E3281" s="735">
        <v>6</v>
      </c>
      <c r="F3281" s="67" t="s">
        <v>732</v>
      </c>
      <c r="G3281" s="299" t="s">
        <v>757</v>
      </c>
      <c r="H3281" s="69" t="s">
        <v>76</v>
      </c>
      <c r="I3281" s="68" t="s">
        <v>726</v>
      </c>
      <c r="J3281" s="301" t="s">
        <v>760</v>
      </c>
      <c r="K3281" s="737" t="s">
        <v>75</v>
      </c>
      <c r="L3281" s="72">
        <v>40192</v>
      </c>
      <c r="M3281" s="738" t="s">
        <v>729</v>
      </c>
      <c r="N3281" s="74"/>
      <c r="O3281" s="75">
        <f t="shared" si="750"/>
        <v>0</v>
      </c>
      <c r="P3281" s="2765"/>
      <c r="Q3281" s="2954">
        <v>94.63</v>
      </c>
      <c r="R3281" s="76"/>
      <c r="S3281" s="1999" t="s">
        <v>731</v>
      </c>
      <c r="T3281" s="693"/>
      <c r="U3281" s="1893"/>
      <c r="V3281" s="2079">
        <f t="shared" si="739"/>
        <v>111.6634</v>
      </c>
      <c r="W3281" s="78">
        <f t="shared" si="740"/>
        <v>0</v>
      </c>
      <c r="X3281" s="1878" t="str">
        <f t="shared" si="738"/>
        <v xml:space="preserve">6.- C Goodyear 067112002-OT_124549  Reencauche  </v>
      </c>
      <c r="Z3281" s="19" t="str">
        <f t="shared" si="747"/>
        <v>ReencaucheReencauchadora RENOVA</v>
      </c>
    </row>
    <row r="3282" spans="1:29" outlineLevel="1">
      <c r="B3282" s="3249"/>
      <c r="C3282" s="367">
        <f t="shared" si="748"/>
        <v>8</v>
      </c>
      <c r="D3282" s="670">
        <f t="shared" si="749"/>
        <v>8</v>
      </c>
      <c r="E3282" s="735">
        <v>7</v>
      </c>
      <c r="F3282" s="67" t="s">
        <v>732</v>
      </c>
      <c r="G3282" s="299" t="s">
        <v>757</v>
      </c>
      <c r="H3282" s="69" t="s">
        <v>2224</v>
      </c>
      <c r="I3282" s="68" t="s">
        <v>726</v>
      </c>
      <c r="J3282" s="301" t="s">
        <v>760</v>
      </c>
      <c r="K3282" s="737" t="s">
        <v>75</v>
      </c>
      <c r="L3282" s="72">
        <v>40192</v>
      </c>
      <c r="M3282" s="738" t="s">
        <v>729</v>
      </c>
      <c r="N3282" s="74"/>
      <c r="O3282" s="75">
        <f t="shared" si="750"/>
        <v>0</v>
      </c>
      <c r="P3282" s="2765"/>
      <c r="Q3282" s="2954">
        <v>94.63</v>
      </c>
      <c r="R3282" s="76"/>
      <c r="S3282" s="1999" t="s">
        <v>731</v>
      </c>
      <c r="T3282" s="693"/>
      <c r="U3282" s="1893"/>
      <c r="V3282" s="2079">
        <f t="shared" si="739"/>
        <v>111.6634</v>
      </c>
      <c r="W3282" s="78">
        <f t="shared" si="740"/>
        <v>0</v>
      </c>
      <c r="X3282" s="1878" t="str">
        <f t="shared" si="738"/>
        <v xml:space="preserve">7.- C Goodyear 1870920-OT_124549  Reencauche  </v>
      </c>
      <c r="Z3282" s="19" t="str">
        <f t="shared" si="747"/>
        <v>ReencaucheReencauchadora RENOVA</v>
      </c>
    </row>
    <row r="3283" spans="1:29" outlineLevel="1">
      <c r="B3283" s="3249"/>
      <c r="C3283" s="367">
        <f t="shared" si="748"/>
        <v>7</v>
      </c>
      <c r="D3283" s="670">
        <f t="shared" si="749"/>
        <v>7</v>
      </c>
      <c r="E3283" s="735">
        <v>8</v>
      </c>
      <c r="F3283" s="67" t="s">
        <v>732</v>
      </c>
      <c r="G3283" s="299" t="s">
        <v>757</v>
      </c>
      <c r="H3283" s="69" t="s">
        <v>840</v>
      </c>
      <c r="I3283" s="68" t="s">
        <v>726</v>
      </c>
      <c r="J3283" s="301" t="s">
        <v>760</v>
      </c>
      <c r="K3283" s="737" t="s">
        <v>75</v>
      </c>
      <c r="L3283" s="72">
        <v>40192</v>
      </c>
      <c r="M3283" s="738" t="s">
        <v>729</v>
      </c>
      <c r="N3283" s="74"/>
      <c r="O3283" s="75">
        <f t="shared" si="750"/>
        <v>0</v>
      </c>
      <c r="P3283" s="2765"/>
      <c r="Q3283" s="2954">
        <v>94.63</v>
      </c>
      <c r="R3283" s="76"/>
      <c r="S3283" s="1999" t="s">
        <v>731</v>
      </c>
      <c r="T3283" s="693"/>
      <c r="U3283" s="1893"/>
      <c r="V3283" s="2079">
        <f t="shared" si="739"/>
        <v>111.6634</v>
      </c>
      <c r="W3283" s="78">
        <f t="shared" si="740"/>
        <v>0</v>
      </c>
      <c r="X3283" s="1878" t="str">
        <f t="shared" si="738"/>
        <v xml:space="preserve">8.- C Goodyear 1601004-OT_124549  Reencauche  </v>
      </c>
      <c r="Z3283" s="19" t="str">
        <f t="shared" si="747"/>
        <v>ReencaucheReencauchadora RENOVA</v>
      </c>
    </row>
    <row r="3284" spans="1:29" outlineLevel="1">
      <c r="B3284" s="3249"/>
      <c r="C3284" s="367">
        <f t="shared" si="748"/>
        <v>6</v>
      </c>
      <c r="D3284" s="670">
        <f t="shared" si="749"/>
        <v>6</v>
      </c>
      <c r="E3284" s="735">
        <v>9</v>
      </c>
      <c r="F3284" s="67" t="s">
        <v>732</v>
      </c>
      <c r="G3284" s="299" t="s">
        <v>757</v>
      </c>
      <c r="H3284" s="69" t="s">
        <v>1104</v>
      </c>
      <c r="I3284" s="68" t="s">
        <v>726</v>
      </c>
      <c r="J3284" s="301" t="s">
        <v>760</v>
      </c>
      <c r="K3284" s="737" t="s">
        <v>75</v>
      </c>
      <c r="L3284" s="72">
        <v>40192</v>
      </c>
      <c r="M3284" s="738" t="s">
        <v>729</v>
      </c>
      <c r="N3284" s="74"/>
      <c r="O3284" s="75">
        <f t="shared" si="750"/>
        <v>0</v>
      </c>
      <c r="P3284" s="2765"/>
      <c r="Q3284" s="2954">
        <v>94.63</v>
      </c>
      <c r="R3284" s="76"/>
      <c r="S3284" s="1999" t="s">
        <v>731</v>
      </c>
      <c r="T3284" s="693"/>
      <c r="U3284" s="1893"/>
      <c r="V3284" s="2079">
        <f t="shared" si="739"/>
        <v>111.6634</v>
      </c>
      <c r="W3284" s="78">
        <f t="shared" si="740"/>
        <v>0</v>
      </c>
      <c r="X3284" s="1878" t="str">
        <f t="shared" si="738"/>
        <v xml:space="preserve">9.- C Goodyear 1901204-OT_124549  Reencauche  </v>
      </c>
      <c r="Z3284" s="19" t="str">
        <f t="shared" si="747"/>
        <v>ReencaucheReencauchadora RENOVA</v>
      </c>
    </row>
    <row r="3285" spans="1:29" outlineLevel="1">
      <c r="B3285" s="3249"/>
      <c r="C3285" s="367">
        <f t="shared" si="748"/>
        <v>5</v>
      </c>
      <c r="D3285" s="670">
        <f t="shared" si="749"/>
        <v>5</v>
      </c>
      <c r="E3285" s="735">
        <v>10</v>
      </c>
      <c r="F3285" s="67" t="s">
        <v>732</v>
      </c>
      <c r="G3285" s="68" t="s">
        <v>769</v>
      </c>
      <c r="H3285" s="69" t="s">
        <v>2258</v>
      </c>
      <c r="I3285" s="68" t="s">
        <v>726</v>
      </c>
      <c r="J3285" s="301" t="s">
        <v>760</v>
      </c>
      <c r="K3285" s="737" t="s">
        <v>75</v>
      </c>
      <c r="L3285" s="72">
        <v>40192</v>
      </c>
      <c r="M3285" s="738" t="s">
        <v>729</v>
      </c>
      <c r="N3285" s="74"/>
      <c r="O3285" s="75">
        <f t="shared" si="750"/>
        <v>0</v>
      </c>
      <c r="P3285" s="2765"/>
      <c r="Q3285" s="2954">
        <v>94.63</v>
      </c>
      <c r="R3285" s="76"/>
      <c r="S3285" s="1999" t="s">
        <v>731</v>
      </c>
      <c r="T3285" s="693"/>
      <c r="U3285" s="1893"/>
      <c r="V3285" s="2079">
        <f t="shared" si="739"/>
        <v>111.6634</v>
      </c>
      <c r="W3285" s="78">
        <f t="shared" si="740"/>
        <v>0</v>
      </c>
      <c r="X3285" s="1878" t="str">
        <f t="shared" si="738"/>
        <v xml:space="preserve">10.- C Lu He 0160209-OT_124549  Reencauche  </v>
      </c>
      <c r="Z3285" s="19" t="str">
        <f t="shared" si="747"/>
        <v>ReencaucheReencauchadora RENOVA</v>
      </c>
    </row>
    <row r="3286" spans="1:29" outlineLevel="1">
      <c r="B3286" s="3249"/>
      <c r="C3286" s="367">
        <f t="shared" si="748"/>
        <v>4</v>
      </c>
      <c r="D3286" s="670">
        <f t="shared" si="749"/>
        <v>4</v>
      </c>
      <c r="E3286" s="735">
        <v>11</v>
      </c>
      <c r="F3286" s="67" t="s">
        <v>732</v>
      </c>
      <c r="G3286" s="752" t="s">
        <v>737</v>
      </c>
      <c r="H3286" s="753" t="s">
        <v>2327</v>
      </c>
      <c r="I3286" s="68" t="s">
        <v>726</v>
      </c>
      <c r="J3286" s="301" t="s">
        <v>760</v>
      </c>
      <c r="K3286" s="737" t="s">
        <v>77</v>
      </c>
      <c r="L3286" s="754">
        <v>40192</v>
      </c>
      <c r="M3286" s="738" t="s">
        <v>729</v>
      </c>
      <c r="N3286" s="74"/>
      <c r="O3286" s="75">
        <f t="shared" si="750"/>
        <v>0</v>
      </c>
      <c r="P3286" s="2765"/>
      <c r="Q3286" s="2954">
        <v>94.63</v>
      </c>
      <c r="R3286" s="76"/>
      <c r="S3286" s="1999" t="s">
        <v>731</v>
      </c>
      <c r="T3286" s="1919" t="s">
        <v>78</v>
      </c>
      <c r="U3286" s="1902"/>
      <c r="V3286" s="2079">
        <f t="shared" si="739"/>
        <v>111.6634</v>
      </c>
      <c r="W3286" s="78">
        <f t="shared" si="740"/>
        <v>0</v>
      </c>
      <c r="X3286" s="1878" t="str">
        <f t="shared" si="738"/>
        <v>11.- C Vikrant 0700906-OT_124550  Reencauche   Llanta soplada al 31/05/10, se sacara banda Rem_14mm (Reenc Espinoza)</v>
      </c>
      <c r="Z3286" s="19" t="str">
        <f t="shared" si="747"/>
        <v>ReencaucheReencauchadora RENOVA</v>
      </c>
    </row>
    <row r="3287" spans="1:29">
      <c r="B3287" s="3249"/>
      <c r="C3287" s="367">
        <f t="shared" si="748"/>
        <v>3</v>
      </c>
      <c r="D3287" s="670">
        <f t="shared" si="749"/>
        <v>3</v>
      </c>
      <c r="E3287" s="735">
        <v>12</v>
      </c>
      <c r="F3287" s="67" t="s">
        <v>732</v>
      </c>
      <c r="G3287" s="299" t="s">
        <v>737</v>
      </c>
      <c r="H3287" s="69" t="s">
        <v>1311</v>
      </c>
      <c r="I3287" s="68" t="s">
        <v>726</v>
      </c>
      <c r="J3287" s="301" t="s">
        <v>760</v>
      </c>
      <c r="K3287" s="737" t="s">
        <v>77</v>
      </c>
      <c r="L3287" s="72">
        <v>40192</v>
      </c>
      <c r="M3287" s="738" t="s">
        <v>729</v>
      </c>
      <c r="N3287" s="74"/>
      <c r="O3287" s="75">
        <f t="shared" si="750"/>
        <v>0</v>
      </c>
      <c r="P3287" s="2765"/>
      <c r="Q3287" s="2954">
        <v>94.63</v>
      </c>
      <c r="R3287" s="76"/>
      <c r="S3287" s="1999" t="s">
        <v>731</v>
      </c>
      <c r="T3287" s="693"/>
      <c r="U3287" s="1893"/>
      <c r="V3287" s="2079">
        <f t="shared" si="739"/>
        <v>111.6634</v>
      </c>
      <c r="W3287" s="78">
        <f t="shared" si="740"/>
        <v>0</v>
      </c>
      <c r="X3287" s="1878" t="str">
        <f t="shared" si="738"/>
        <v xml:space="preserve">12.- C Vikrant 0960705-OT_124550  Reencauche  </v>
      </c>
    </row>
    <row r="3288" spans="1:29" ht="30" customHeight="1">
      <c r="B3288" s="3249"/>
      <c r="C3288" s="367">
        <f t="shared" si="748"/>
        <v>2</v>
      </c>
      <c r="D3288" s="670">
        <f t="shared" si="749"/>
        <v>2</v>
      </c>
      <c r="E3288" s="735">
        <v>13</v>
      </c>
      <c r="F3288" s="67" t="s">
        <v>732</v>
      </c>
      <c r="G3288" s="299" t="s">
        <v>737</v>
      </c>
      <c r="H3288" s="69" t="s">
        <v>1200</v>
      </c>
      <c r="I3288" s="68" t="s">
        <v>726</v>
      </c>
      <c r="J3288" s="301" t="s">
        <v>760</v>
      </c>
      <c r="K3288" s="737" t="s">
        <v>77</v>
      </c>
      <c r="L3288" s="72">
        <v>40192</v>
      </c>
      <c r="M3288" s="738" t="s">
        <v>729</v>
      </c>
      <c r="N3288" s="74"/>
      <c r="O3288" s="75">
        <f t="shared" si="750"/>
        <v>0</v>
      </c>
      <c r="P3288" s="2765"/>
      <c r="Q3288" s="2954">
        <v>94.63</v>
      </c>
      <c r="R3288" s="76"/>
      <c r="S3288" s="1999" t="s">
        <v>731</v>
      </c>
      <c r="T3288" s="693"/>
      <c r="U3288" s="1893"/>
      <c r="V3288" s="2079">
        <f t="shared" si="739"/>
        <v>111.6634</v>
      </c>
      <c r="W3288" s="78">
        <f t="shared" si="740"/>
        <v>0</v>
      </c>
      <c r="X3288" s="1878" t="str">
        <f t="shared" si="738"/>
        <v xml:space="preserve">13.- C Vikrant 1390805-OT_124550  Reencauche  </v>
      </c>
    </row>
    <row r="3289" spans="1:29" s="463" customFormat="1" ht="30" customHeight="1" thickBot="1">
      <c r="A3289"/>
      <c r="B3289" s="3250"/>
      <c r="C3289" s="755">
        <v>1</v>
      </c>
      <c r="D3289" s="756">
        <v>1</v>
      </c>
      <c r="E3289" s="665">
        <v>14</v>
      </c>
      <c r="F3289" s="730" t="s">
        <v>732</v>
      </c>
      <c r="G3289" s="603" t="s">
        <v>814</v>
      </c>
      <c r="H3289" s="82" t="s">
        <v>79</v>
      </c>
      <c r="I3289" s="81" t="s">
        <v>726</v>
      </c>
      <c r="J3289" s="605" t="s">
        <v>760</v>
      </c>
      <c r="K3289" s="757" t="s">
        <v>77</v>
      </c>
      <c r="L3289" s="85">
        <v>40192</v>
      </c>
      <c r="M3289" s="758" t="s">
        <v>729</v>
      </c>
      <c r="N3289" s="87"/>
      <c r="O3289" s="88">
        <f t="shared" si="750"/>
        <v>0</v>
      </c>
      <c r="P3289" s="2766"/>
      <c r="Q3289" s="2955">
        <v>94.63</v>
      </c>
      <c r="R3289" s="89"/>
      <c r="S3289" s="2003" t="s">
        <v>731</v>
      </c>
      <c r="T3289" s="693"/>
      <c r="U3289" s="1893"/>
      <c r="V3289" s="2079">
        <f t="shared" si="739"/>
        <v>111.6634</v>
      </c>
      <c r="W3289" s="78">
        <f t="shared" si="740"/>
        <v>0</v>
      </c>
      <c r="X3289" s="1885" t="str">
        <f t="shared" si="738"/>
        <v xml:space="preserve">14.- C Birla 0710405-OT_124550  Reencauche  </v>
      </c>
      <c r="Y3289" s="473"/>
      <c r="Z3289" s="474"/>
    </row>
    <row r="3290" spans="1:29" s="463" customFormat="1" ht="24.75" customHeight="1">
      <c r="A3290"/>
      <c r="B3290" s="759"/>
      <c r="C3290" s="367"/>
      <c r="D3290" s="368"/>
      <c r="E3290" s="661"/>
      <c r="F3290" s="661"/>
      <c r="G3290" s="299"/>
      <c r="H3290" s="69"/>
      <c r="I3290" s="68"/>
      <c r="J3290" s="301"/>
      <c r="K3290" s="737"/>
      <c r="L3290" s="760"/>
      <c r="M3290" s="761"/>
      <c r="N3290" s="762"/>
      <c r="O3290" s="762"/>
      <c r="P3290" s="763"/>
      <c r="Q3290" s="2950"/>
      <c r="R3290" s="14"/>
      <c r="S3290" s="2004"/>
      <c r="T3290" s="693"/>
      <c r="U3290" s="1893"/>
      <c r="V3290" s="2080"/>
      <c r="W3290" s="15"/>
      <c r="X3290" s="1885"/>
      <c r="Y3290" s="473"/>
      <c r="Z3290" s="474"/>
    </row>
    <row r="3291" spans="1:29" s="463" customFormat="1" ht="25.5" customHeight="1" thickBot="1">
      <c r="A3291"/>
      <c r="B3291" s="759"/>
      <c r="C3291" s="764" t="s">
        <v>80</v>
      </c>
      <c r="D3291" s="368"/>
      <c r="E3291" s="661"/>
      <c r="F3291" s="661"/>
      <c r="G3291" s="299"/>
      <c r="H3291" s="69"/>
      <c r="I3291" s="68"/>
      <c r="J3291" s="765"/>
      <c r="K3291" s="737"/>
      <c r="L3291" s="760"/>
      <c r="M3291" s="761"/>
      <c r="N3291" s="762"/>
      <c r="O3291" s="762"/>
      <c r="P3291" s="763"/>
      <c r="Q3291" s="2996"/>
      <c r="R3291" s="664"/>
      <c r="S3291" s="2004"/>
      <c r="T3291"/>
      <c r="U3291" s="1912"/>
      <c r="V3291" s="2084"/>
      <c r="W3291" s="773"/>
      <c r="X3291" s="1885"/>
      <c r="Y3291" s="473"/>
      <c r="Z3291" s="474"/>
    </row>
    <row r="3292" spans="1:29" s="463" customFormat="1" ht="26.25" customHeight="1" thickBot="1">
      <c r="B3292" s="766"/>
      <c r="C3292" s="767" t="s">
        <v>81</v>
      </c>
      <c r="D3292" s="768"/>
      <c r="E3292" s="768"/>
      <c r="F3292" s="768"/>
      <c r="G3292" s="768"/>
      <c r="H3292" s="2298" t="s">
        <v>82</v>
      </c>
      <c r="I3292" s="769" t="s">
        <v>1961</v>
      </c>
      <c r="J3292" s="770" t="s">
        <v>1543</v>
      </c>
      <c r="K3292" s="3259" t="s">
        <v>760</v>
      </c>
      <c r="L3292" s="3260"/>
      <c r="N3292" s="3254" t="s">
        <v>83</v>
      </c>
      <c r="O3292" s="3255"/>
      <c r="P3292" s="3256"/>
      <c r="Q3292" s="2997" t="s">
        <v>82</v>
      </c>
      <c r="R3292" s="771" t="s">
        <v>716</v>
      </c>
      <c r="S3292" s="2005" t="s">
        <v>717</v>
      </c>
      <c r="T3292" s="772"/>
      <c r="U3292" s="1903"/>
      <c r="V3292" s="2085"/>
      <c r="W3292" s="780"/>
      <c r="X3292" s="1885"/>
      <c r="Y3292" s="473"/>
      <c r="Z3292" s="474"/>
    </row>
    <row r="3293" spans="1:29" s="463" customFormat="1" ht="27" customHeight="1">
      <c r="B3293" s="766"/>
      <c r="C3293" s="774" t="s">
        <v>2253</v>
      </c>
      <c r="D3293" s="775"/>
      <c r="E3293" s="775"/>
      <c r="F3293" s="2058"/>
      <c r="G3293" s="775"/>
      <c r="H3293" s="2299">
        <f>COUNTIF(I2850:I3289,C3293)</f>
        <v>2</v>
      </c>
      <c r="I3293" s="776">
        <f t="shared" ref="I3293:I3299" si="751">COUNTIF($Z$2847:$Z$3286,CONCATENATE($C3293,$I$3292))</f>
        <v>0</v>
      </c>
      <c r="J3293" s="777">
        <f t="shared" ref="J3293:J3299" si="752">COUNTIF($Z$2847:$Z$3286,CONCATENATE($C3293,$J$3292))</f>
        <v>2</v>
      </c>
      <c r="K3293" s="3257">
        <f t="shared" ref="K3293:K3299" si="753">COUNTIF($Z$2847:$Z$3286,CONCATENATE($C3293,$K$3292))</f>
        <v>0</v>
      </c>
      <c r="L3293" s="3258"/>
      <c r="N3293" s="3286" t="str">
        <f>+I3292</f>
        <v>AMC Llantas</v>
      </c>
      <c r="O3293" s="3287"/>
      <c r="P3293" s="3288"/>
      <c r="Q3293" s="2998">
        <f>+I3300</f>
        <v>72</v>
      </c>
      <c r="R3293" s="778">
        <f>SUMIF(J2850:J3289,I3292,Q2850:Q3289)</f>
        <v>0</v>
      </c>
      <c r="S3293" s="2006">
        <f>SUMIF(J2850:J3289,I3292,R2850:R3289)</f>
        <v>18504.201680672286</v>
      </c>
      <c r="T3293" s="779">
        <v>40501</v>
      </c>
      <c r="U3293" s="1904"/>
      <c r="V3293" s="2086"/>
      <c r="W3293" s="786"/>
      <c r="X3293" s="1885"/>
      <c r="Y3293" s="473"/>
      <c r="Z3293" s="474"/>
    </row>
    <row r="3294" spans="1:29" s="463" customFormat="1" ht="24.75" customHeight="1">
      <c r="B3294" s="781" t="s">
        <v>84</v>
      </c>
      <c r="C3294" s="782" t="s">
        <v>816</v>
      </c>
      <c r="D3294" s="783"/>
      <c r="E3294" s="783"/>
      <c r="F3294" s="2059"/>
      <c r="G3294" s="783"/>
      <c r="H3294" s="2300">
        <f>COUNTIF(I2850:I3289,C3294)</f>
        <v>3</v>
      </c>
      <c r="I3294" s="776">
        <f t="shared" si="751"/>
        <v>0</v>
      </c>
      <c r="J3294" s="777">
        <f t="shared" si="752"/>
        <v>1</v>
      </c>
      <c r="K3294" s="3257">
        <f t="shared" si="753"/>
        <v>2</v>
      </c>
      <c r="L3294" s="3258"/>
      <c r="N3294" s="3303" t="str">
        <f>+J3292</f>
        <v>Reencauchadora Espinoza</v>
      </c>
      <c r="O3294" s="3304"/>
      <c r="P3294" s="3305"/>
      <c r="Q3294" s="2999">
        <f>+J3300</f>
        <v>79</v>
      </c>
      <c r="R3294" s="784">
        <f>SUMIF(J2850:J3289,J3292,Q2850:Q3289)</f>
        <v>0</v>
      </c>
      <c r="S3294" s="2007">
        <f>SUMIF(J2850:J3289,J3292,R2850:R3289)</f>
        <v>12441.176470588231</v>
      </c>
      <c r="T3294" s="785">
        <f>(2.805+2.806)/2</f>
        <v>2.8055000000000003</v>
      </c>
      <c r="U3294" s="1905"/>
      <c r="V3294" s="2087"/>
      <c r="W3294" s="793"/>
      <c r="X3294" s="1885"/>
      <c r="Y3294" s="473"/>
      <c r="Z3294" s="474"/>
    </row>
    <row r="3295" spans="1:29" s="463" customFormat="1" ht="24.95" customHeight="1" thickBot="1">
      <c r="B3295" s="766"/>
      <c r="C3295" s="787" t="s">
        <v>726</v>
      </c>
      <c r="D3295" s="788"/>
      <c r="E3295" s="788"/>
      <c r="F3295" s="2060"/>
      <c r="G3295" s="788"/>
      <c r="H3295" s="2301">
        <f>COUNTIF(I2850:I3289,C3295)</f>
        <v>349</v>
      </c>
      <c r="I3295" s="789">
        <f t="shared" si="751"/>
        <v>70</v>
      </c>
      <c r="J3295" s="790">
        <f t="shared" si="752"/>
        <v>40</v>
      </c>
      <c r="K3295" s="3289">
        <f t="shared" si="753"/>
        <v>239</v>
      </c>
      <c r="L3295" s="3290"/>
      <c r="N3295" s="3283" t="str">
        <f>+K3292</f>
        <v>Reencauchadora RENOVA</v>
      </c>
      <c r="O3295" s="3284"/>
      <c r="P3295" s="3285"/>
      <c r="Q3295" s="3000">
        <f>+K3300</f>
        <v>243</v>
      </c>
      <c r="R3295" s="791">
        <f>SUMIF(J2850:J3289,K3292,Q2850:Q3289)</f>
        <v>22795.800000000003</v>
      </c>
      <c r="S3295" s="2008">
        <f>SUMIF(J2850:J3289,K3292,R2850:R3289)</f>
        <v>0</v>
      </c>
      <c r="T3295" s="792">
        <f>+R3295*T3294</f>
        <v>63953.616900000015</v>
      </c>
      <c r="U3295" s="1906"/>
      <c r="V3295" s="2088"/>
      <c r="W3295" s="800"/>
      <c r="X3295" s="1885"/>
      <c r="Y3295" s="473"/>
      <c r="Z3295" s="474"/>
    </row>
    <row r="3296" spans="1:29" s="463" customFormat="1" ht="24.75" customHeight="1" thickTop="1" thickBot="1">
      <c r="B3296" s="766"/>
      <c r="C3296" s="794" t="s">
        <v>2241</v>
      </c>
      <c r="D3296" s="795"/>
      <c r="E3296" s="795"/>
      <c r="F3296" s="2061"/>
      <c r="G3296" s="795"/>
      <c r="H3296" s="2302">
        <f>COUNTIF(I2850:I3289,C3296)</f>
        <v>6</v>
      </c>
      <c r="I3296" s="796">
        <f t="shared" si="751"/>
        <v>0</v>
      </c>
      <c r="J3296" s="797">
        <f t="shared" si="752"/>
        <v>4</v>
      </c>
      <c r="K3296" s="3293">
        <f t="shared" si="753"/>
        <v>2</v>
      </c>
      <c r="L3296" s="3294"/>
      <c r="N3296" s="3300" t="str">
        <f>+C3300</f>
        <v>TOTAL Enviados</v>
      </c>
      <c r="O3296" s="3301"/>
      <c r="P3296" s="3302"/>
      <c r="Q3296" s="3001">
        <f>SUM(Q3293:Q3295)</f>
        <v>394</v>
      </c>
      <c r="R3296" s="798">
        <f>SUM(R3293:R3295)</f>
        <v>22795.800000000003</v>
      </c>
      <c r="S3296" s="2009">
        <f>SUM(S3293:S3295)</f>
        <v>30945.378151260516</v>
      </c>
      <c r="T3296" s="799">
        <f>+T3295+S3296</f>
        <v>94898.995051260528</v>
      </c>
      <c r="U3296" s="1907"/>
      <c r="V3296" s="2089"/>
      <c r="W3296" s="806"/>
      <c r="X3296" s="1886"/>
      <c r="Y3296" s="816"/>
      <c r="Z3296" s="817"/>
      <c r="AA3296" s="803"/>
      <c r="AB3296" s="803"/>
      <c r="AC3296" s="803"/>
    </row>
    <row r="3297" spans="1:29" s="463" customFormat="1" ht="24.75" customHeight="1" thickBot="1">
      <c r="B3297" s="781" t="s">
        <v>84</v>
      </c>
      <c r="C3297" s="782" t="s">
        <v>744</v>
      </c>
      <c r="D3297" s="783"/>
      <c r="E3297" s="783"/>
      <c r="F3297" s="2059"/>
      <c r="G3297" s="783"/>
      <c r="H3297" s="2300">
        <f>COUNTIF(I2850:I3289,C3297)</f>
        <v>14</v>
      </c>
      <c r="I3297" s="776">
        <f t="shared" si="751"/>
        <v>1</v>
      </c>
      <c r="J3297" s="777">
        <f t="shared" si="752"/>
        <v>13</v>
      </c>
      <c r="K3297" s="3257">
        <f t="shared" si="753"/>
        <v>0</v>
      </c>
      <c r="L3297" s="3258"/>
      <c r="N3297" s="801"/>
      <c r="O3297" s="801"/>
      <c r="P3297" s="802"/>
      <c r="Q3297" s="3002"/>
      <c r="R3297" s="803"/>
      <c r="S3297" s="1767"/>
      <c r="T3297" s="805">
        <f>+T3296/T3294</f>
        <v>33826.054197562116</v>
      </c>
      <c r="U3297" s="1908"/>
      <c r="V3297" s="2090"/>
      <c r="W3297" s="809"/>
      <c r="X3297" s="1886"/>
      <c r="Y3297" s="816"/>
      <c r="Z3297" s="817"/>
      <c r="AA3297" s="803"/>
      <c r="AB3297" s="803"/>
      <c r="AC3297" s="803"/>
    </row>
    <row r="3298" spans="1:29" ht="21.75" thickBot="1">
      <c r="A3298" s="463"/>
      <c r="B3298" s="766"/>
      <c r="C3298" s="807" t="s">
        <v>740</v>
      </c>
      <c r="D3298" s="808"/>
      <c r="E3298" s="808"/>
      <c r="F3298" s="2061"/>
      <c r="G3298" s="808"/>
      <c r="H3298" s="2302">
        <f>COUNTIF(I2850:I3289,C3298)</f>
        <v>14</v>
      </c>
      <c r="I3298" s="796">
        <f t="shared" si="751"/>
        <v>1</v>
      </c>
      <c r="J3298" s="797">
        <f t="shared" si="752"/>
        <v>13</v>
      </c>
      <c r="K3298" s="3293">
        <f t="shared" si="753"/>
        <v>0</v>
      </c>
      <c r="L3298" s="3294"/>
      <c r="M3298" s="463"/>
      <c r="N3298" s="3297" t="s">
        <v>85</v>
      </c>
      <c r="O3298" s="3298"/>
      <c r="P3298" s="3298"/>
      <c r="Q3298" s="3298"/>
      <c r="R3298" s="3299"/>
      <c r="S3298" s="2010">
        <f>+H3299+H3298+H3296+H3295</f>
        <v>375</v>
      </c>
      <c r="T3298" s="463"/>
      <c r="U3298" s="1909"/>
      <c r="V3298" s="2091"/>
      <c r="W3298" s="815"/>
      <c r="X3298" s="1887"/>
      <c r="Y3298" s="824"/>
      <c r="Z3298" s="825"/>
      <c r="AA3298" s="14"/>
      <c r="AB3298" s="14"/>
      <c r="AC3298" s="14"/>
    </row>
    <row r="3299" spans="1:29" ht="21" thickBot="1">
      <c r="A3299" s="463"/>
      <c r="B3299" s="766"/>
      <c r="C3299" s="810" t="s">
        <v>811</v>
      </c>
      <c r="D3299" s="811"/>
      <c r="E3299" s="811"/>
      <c r="F3299" s="2062"/>
      <c r="G3299" s="812"/>
      <c r="H3299" s="2303">
        <f>COUNTIF(I2850:I3289,C3299)</f>
        <v>6</v>
      </c>
      <c r="I3299" s="813">
        <f t="shared" si="751"/>
        <v>0</v>
      </c>
      <c r="J3299" s="814">
        <f t="shared" si="752"/>
        <v>6</v>
      </c>
      <c r="K3299" s="3295">
        <f t="shared" si="753"/>
        <v>0</v>
      </c>
      <c r="L3299" s="3296"/>
      <c r="M3299" s="463"/>
      <c r="N3299" s="801"/>
      <c r="O3299" s="801"/>
      <c r="P3299" s="802"/>
      <c r="Q3299" s="3002"/>
      <c r="R3299" s="803"/>
      <c r="S3299" s="2011"/>
      <c r="T3299" s="802"/>
      <c r="U3299" s="1910"/>
      <c r="V3299" s="2091"/>
      <c r="W3299" s="815"/>
    </row>
    <row r="3300" spans="1:29" ht="21.75" thickTop="1" thickBot="1">
      <c r="A3300" s="463"/>
      <c r="B3300" s="766"/>
      <c r="C3300" s="818" t="s">
        <v>86</v>
      </c>
      <c r="D3300" s="819"/>
      <c r="E3300" s="819"/>
      <c r="F3300" s="2063"/>
      <c r="G3300" s="819"/>
      <c r="H3300" s="2304">
        <f>SUM(H3293:H3299)</f>
        <v>394</v>
      </c>
      <c r="I3300" s="820">
        <f>SUM(I3293:I3299)</f>
        <v>72</v>
      </c>
      <c r="J3300" s="821">
        <f>SUM(J3293:J3299)</f>
        <v>79</v>
      </c>
      <c r="K3300" s="3291">
        <f>SUM(K3293:L3299)</f>
        <v>243</v>
      </c>
      <c r="L3300" s="3292"/>
      <c r="M3300" s="463"/>
      <c r="N3300" s="801"/>
      <c r="O3300" s="801"/>
      <c r="P3300" s="802"/>
      <c r="Q3300" s="3002"/>
      <c r="R3300" s="803"/>
      <c r="S3300" s="2012">
        <f>+H3300-S3298</f>
        <v>19</v>
      </c>
      <c r="T3300" s="802"/>
      <c r="U3300" s="1910"/>
      <c r="V3300" s="2092"/>
      <c r="W3300" s="823"/>
    </row>
    <row r="3301" spans="1:29">
      <c r="S3301" s="601"/>
      <c r="T3301" s="13"/>
      <c r="U3301" s="1911"/>
    </row>
    <row r="3302" spans="1:29" thickBot="1">
      <c r="C3302" s="826" t="s">
        <v>111</v>
      </c>
      <c r="D3302" s="827"/>
      <c r="E3302" s="828"/>
      <c r="F3302" s="829"/>
      <c r="G3302" s="830"/>
      <c r="H3302" s="831"/>
      <c r="I3302" s="832"/>
      <c r="J3302" s="833" t="s">
        <v>697</v>
      </c>
      <c r="K3302" s="834"/>
      <c r="L3302" s="835"/>
    </row>
    <row r="3303" spans="1:29" ht="15.75" thickBot="1">
      <c r="P3303" s="836" t="s">
        <v>87</v>
      </c>
      <c r="Q3303" s="3003">
        <f>SUBTOTAL(9,Q9:Q2608)</f>
        <v>77619.803644068481</v>
      </c>
      <c r="R3303" s="837">
        <f>SUBTOTAL(9,R9:R2608)</f>
        <v>290582.41642653744</v>
      </c>
    </row>
    <row r="3305" spans="1:29" ht="14.25">
      <c r="G3305" s="838" t="s">
        <v>88</v>
      </c>
      <c r="H3305" s="839"/>
      <c r="I3305" s="840"/>
      <c r="J3305" s="841"/>
      <c r="K3305" s="842"/>
      <c r="L3305" s="843"/>
      <c r="V3305" s="2093"/>
      <c r="W3305" s="849"/>
    </row>
    <row r="3306" spans="1:29" ht="14.25">
      <c r="G3306" s="844" t="s">
        <v>706</v>
      </c>
      <c r="H3306" s="845" t="s">
        <v>707</v>
      </c>
      <c r="I3306" s="844" t="s">
        <v>708</v>
      </c>
      <c r="J3306" s="844" t="s">
        <v>709</v>
      </c>
      <c r="K3306" s="846" t="s">
        <v>710</v>
      </c>
      <c r="L3306" s="847" t="s">
        <v>711</v>
      </c>
      <c r="M3306" s="29" t="s">
        <v>89</v>
      </c>
      <c r="N3306" s="30" t="s">
        <v>713</v>
      </c>
      <c r="O3306" s="30"/>
      <c r="P3306" s="31"/>
      <c r="Q3306" s="2951" t="s">
        <v>716</v>
      </c>
      <c r="R3306" s="32" t="s">
        <v>717</v>
      </c>
      <c r="S3306" s="2013" t="s">
        <v>90</v>
      </c>
      <c r="T3306" s="848" t="s">
        <v>719</v>
      </c>
      <c r="U3306" s="1912"/>
      <c r="V3306" s="2094"/>
      <c r="W3306" s="858"/>
      <c r="X3306"/>
      <c r="Y3306"/>
      <c r="Z3306"/>
    </row>
    <row r="3307" spans="1:29" ht="15.75">
      <c r="G3307" s="850" t="s">
        <v>733</v>
      </c>
      <c r="H3307" s="851" t="s">
        <v>1133</v>
      </c>
      <c r="I3307" s="850" t="s">
        <v>726</v>
      </c>
      <c r="J3307" s="850" t="s">
        <v>760</v>
      </c>
      <c r="K3307" s="852" t="s">
        <v>1652</v>
      </c>
      <c r="L3307" s="853">
        <v>41373</v>
      </c>
      <c r="M3307" s="854"/>
      <c r="N3307" s="855"/>
      <c r="O3307" s="855">
        <v>0</v>
      </c>
      <c r="P3307" s="2835"/>
      <c r="Q3307" s="3004"/>
      <c r="R3307" s="856"/>
      <c r="S3307" s="1942" t="s">
        <v>722</v>
      </c>
      <c r="T3307" s="857"/>
      <c r="U3307" s="1913"/>
      <c r="V3307" s="2094"/>
      <c r="W3307" s="858"/>
      <c r="X3307"/>
      <c r="Y3307"/>
      <c r="Z3307"/>
    </row>
    <row r="3308" spans="1:29" ht="15.75">
      <c r="G3308" s="850" t="s">
        <v>737</v>
      </c>
      <c r="H3308" s="851" t="s">
        <v>1669</v>
      </c>
      <c r="I3308" s="850" t="s">
        <v>726</v>
      </c>
      <c r="J3308" s="850" t="s">
        <v>760</v>
      </c>
      <c r="K3308" s="852" t="s">
        <v>1655</v>
      </c>
      <c r="L3308" s="853">
        <v>41373</v>
      </c>
      <c r="M3308" s="854"/>
      <c r="N3308" s="855"/>
      <c r="O3308" s="855">
        <v>0</v>
      </c>
      <c r="P3308" s="2835"/>
      <c r="Q3308" s="3004"/>
      <c r="R3308" s="856"/>
      <c r="S3308" s="1942" t="s">
        <v>722</v>
      </c>
      <c r="T3308" s="857"/>
      <c r="U3308" s="1913"/>
      <c r="V3308" s="2094"/>
      <c r="W3308" s="858"/>
    </row>
    <row r="3309" spans="1:29" ht="15.75">
      <c r="B3309"/>
      <c r="C3309"/>
      <c r="D3309"/>
      <c r="E3309"/>
      <c r="F3309"/>
      <c r="G3309" s="850" t="s">
        <v>733</v>
      </c>
      <c r="H3309" s="851" t="s">
        <v>1571</v>
      </c>
      <c r="I3309" s="850" t="s">
        <v>726</v>
      </c>
      <c r="J3309" s="850" t="s">
        <v>760</v>
      </c>
      <c r="K3309" s="852" t="s">
        <v>1658</v>
      </c>
      <c r="L3309" s="853">
        <v>41373</v>
      </c>
      <c r="M3309" s="854"/>
      <c r="N3309" s="855"/>
      <c r="O3309" s="855">
        <v>0</v>
      </c>
      <c r="P3309" s="2835"/>
      <c r="Q3309" s="3004"/>
      <c r="R3309" s="856"/>
      <c r="S3309" s="1942" t="s">
        <v>722</v>
      </c>
      <c r="T3309" s="857"/>
      <c r="U3309" s="1913"/>
      <c r="V3309" s="2094"/>
      <c r="W3309" s="858"/>
      <c r="X3309"/>
      <c r="Y3309"/>
      <c r="Z3309"/>
    </row>
    <row r="3310" spans="1:29" ht="15.75">
      <c r="B3310"/>
      <c r="C3310"/>
      <c r="D3310"/>
      <c r="E3310"/>
      <c r="F3310"/>
      <c r="G3310" s="850" t="s">
        <v>757</v>
      </c>
      <c r="H3310" s="851" t="s">
        <v>1679</v>
      </c>
      <c r="I3310" s="850" t="s">
        <v>726</v>
      </c>
      <c r="J3310" s="850" t="s">
        <v>760</v>
      </c>
      <c r="K3310" s="852" t="s">
        <v>1675</v>
      </c>
      <c r="L3310" s="853">
        <v>41344</v>
      </c>
      <c r="M3310" s="854"/>
      <c r="N3310" s="855"/>
      <c r="O3310" s="855">
        <v>0</v>
      </c>
      <c r="P3310" s="2835"/>
      <c r="Q3310" s="3004"/>
      <c r="R3310" s="856"/>
      <c r="S3310" s="1942" t="s">
        <v>722</v>
      </c>
      <c r="T3310" s="857" t="s">
        <v>91</v>
      </c>
      <c r="U3310" s="1913"/>
      <c r="X3310"/>
      <c r="Y3310"/>
      <c r="Z3310"/>
    </row>
    <row r="3311" spans="1:29">
      <c r="X3311"/>
      <c r="Y3311"/>
      <c r="Z3311"/>
    </row>
    <row r="3312" spans="1:29" ht="13.5">
      <c r="B3312"/>
      <c r="C3312"/>
      <c r="D3312"/>
      <c r="E3312"/>
      <c r="F3312"/>
      <c r="G3312" s="838" t="s">
        <v>92</v>
      </c>
      <c r="H3312" s="839"/>
      <c r="I3312" s="840"/>
      <c r="J3312" s="841"/>
      <c r="K3312" s="842"/>
      <c r="L3312" s="843"/>
      <c r="V3312" s="2093"/>
      <c r="W3312" s="849"/>
      <c r="X3312"/>
      <c r="Y3312"/>
      <c r="Z3312"/>
    </row>
    <row r="3313" spans="2:26" ht="13.5">
      <c r="B3313"/>
      <c r="C3313"/>
      <c r="D3313"/>
      <c r="E3313"/>
      <c r="F3313"/>
      <c r="G3313" s="844" t="s">
        <v>706</v>
      </c>
      <c r="H3313" s="845" t="s">
        <v>707</v>
      </c>
      <c r="I3313" s="844" t="s">
        <v>708</v>
      </c>
      <c r="J3313" s="844" t="s">
        <v>709</v>
      </c>
      <c r="K3313" s="846" t="s">
        <v>710</v>
      </c>
      <c r="L3313" s="847" t="s">
        <v>711</v>
      </c>
      <c r="M3313" s="29" t="s">
        <v>89</v>
      </c>
      <c r="N3313" s="30" t="s">
        <v>713</v>
      </c>
      <c r="O3313" s="30"/>
      <c r="P3313" s="31"/>
      <c r="Q3313" s="2951" t="s">
        <v>716</v>
      </c>
      <c r="R3313" s="32" t="s">
        <v>717</v>
      </c>
      <c r="S3313" s="2013" t="s">
        <v>90</v>
      </c>
      <c r="T3313" s="848" t="s">
        <v>719</v>
      </c>
      <c r="U3313" s="1912"/>
      <c r="V3313" s="2094"/>
      <c r="W3313" s="858"/>
      <c r="X3313"/>
      <c r="Y3313"/>
      <c r="Z3313"/>
    </row>
    <row r="3314" spans="2:26" ht="15.75">
      <c r="B3314"/>
      <c r="C3314"/>
      <c r="D3314"/>
      <c r="E3314"/>
      <c r="F3314"/>
      <c r="G3314" s="850" t="s">
        <v>737</v>
      </c>
      <c r="H3314" s="851" t="s">
        <v>1693</v>
      </c>
      <c r="I3314" s="850" t="s">
        <v>744</v>
      </c>
      <c r="J3314" s="850" t="s">
        <v>1543</v>
      </c>
      <c r="K3314" s="852" t="s">
        <v>1691</v>
      </c>
      <c r="L3314" s="853">
        <v>41312</v>
      </c>
      <c r="M3314" s="854"/>
      <c r="N3314" s="855"/>
      <c r="O3314" s="855">
        <v>0</v>
      </c>
      <c r="P3314" s="2835" t="s">
        <v>1694</v>
      </c>
      <c r="Q3314" s="3004"/>
      <c r="R3314" s="856">
        <v>0</v>
      </c>
      <c r="S3314" s="1942" t="s">
        <v>722</v>
      </c>
      <c r="T3314" s="857"/>
      <c r="U3314" s="1913"/>
      <c r="V3314" s="2094"/>
      <c r="W3314" s="858"/>
    </row>
    <row r="3315" spans="2:26" ht="15.75">
      <c r="B3315"/>
      <c r="C3315"/>
      <c r="D3315"/>
      <c r="E3315"/>
      <c r="F3315"/>
      <c r="G3315" s="850" t="s">
        <v>757</v>
      </c>
      <c r="H3315" s="851" t="s">
        <v>1697</v>
      </c>
      <c r="I3315" s="850" t="s">
        <v>744</v>
      </c>
      <c r="J3315" s="850" t="s">
        <v>1543</v>
      </c>
      <c r="K3315" s="852" t="s">
        <v>1695</v>
      </c>
      <c r="L3315" s="853">
        <v>41300</v>
      </c>
      <c r="M3315" s="854"/>
      <c r="N3315" s="855"/>
      <c r="O3315" s="855">
        <v>0</v>
      </c>
      <c r="P3315" s="2835" t="s">
        <v>1694</v>
      </c>
      <c r="Q3315" s="3004"/>
      <c r="R3315" s="856">
        <v>0</v>
      </c>
      <c r="S3315" s="1942" t="s">
        <v>722</v>
      </c>
      <c r="T3315" s="857"/>
      <c r="U3315" s="1913"/>
      <c r="V3315" s="2094"/>
      <c r="W3315" s="858"/>
      <c r="X3315"/>
      <c r="Y3315"/>
      <c r="Z3315"/>
    </row>
    <row r="3316" spans="2:26" ht="15.75">
      <c r="B3316"/>
      <c r="C3316"/>
      <c r="D3316"/>
      <c r="E3316"/>
      <c r="F3316"/>
      <c r="G3316" s="850" t="s">
        <v>757</v>
      </c>
      <c r="H3316" s="851" t="s">
        <v>1698</v>
      </c>
      <c r="I3316" s="850" t="s">
        <v>744</v>
      </c>
      <c r="J3316" s="850" t="s">
        <v>1543</v>
      </c>
      <c r="K3316" s="852" t="s">
        <v>1695</v>
      </c>
      <c r="L3316" s="853">
        <v>41300</v>
      </c>
      <c r="M3316" s="854"/>
      <c r="N3316" s="855"/>
      <c r="O3316" s="855">
        <v>0</v>
      </c>
      <c r="P3316" s="2835" t="s">
        <v>1694</v>
      </c>
      <c r="Q3316" s="3004"/>
      <c r="R3316" s="856">
        <v>0</v>
      </c>
      <c r="S3316" s="1942" t="s">
        <v>722</v>
      </c>
      <c r="T3316" s="857"/>
      <c r="U3316" s="1913"/>
      <c r="X3316"/>
      <c r="Y3316"/>
      <c r="Z3316"/>
    </row>
    <row r="3318" spans="2:26">
      <c r="B3318"/>
      <c r="C3318"/>
      <c r="D3318"/>
      <c r="E3318"/>
      <c r="F3318"/>
      <c r="G3318" s="25" t="s">
        <v>706</v>
      </c>
      <c r="H3318" s="24" t="s">
        <v>707</v>
      </c>
      <c r="I3318" s="25" t="s">
        <v>708</v>
      </c>
      <c r="J3318" s="26" t="s">
        <v>709</v>
      </c>
      <c r="K3318" s="27" t="s">
        <v>710</v>
      </c>
      <c r="L3318" s="28" t="s">
        <v>711</v>
      </c>
      <c r="M3318" s="29" t="s">
        <v>89</v>
      </c>
      <c r="N3318" s="30" t="s">
        <v>713</v>
      </c>
      <c r="O3318" s="30"/>
      <c r="P3318" s="31" t="s">
        <v>715</v>
      </c>
      <c r="Q3318" s="2951" t="s">
        <v>716</v>
      </c>
    </row>
    <row r="3319" spans="2:26">
      <c r="B3319"/>
      <c r="C3319"/>
      <c r="D3319"/>
      <c r="E3319"/>
      <c r="F3319"/>
      <c r="G3319" s="859" t="s">
        <v>733</v>
      </c>
      <c r="H3319" s="860" t="s">
        <v>1839</v>
      </c>
      <c r="I3319" s="861" t="s">
        <v>726</v>
      </c>
      <c r="J3319" s="862" t="s">
        <v>760</v>
      </c>
      <c r="K3319" s="863" t="s">
        <v>93</v>
      </c>
      <c r="L3319" s="864">
        <v>40381</v>
      </c>
      <c r="M3319" s="865" t="s">
        <v>729</v>
      </c>
      <c r="N3319" s="866">
        <v>40399</v>
      </c>
      <c r="O3319" s="866"/>
      <c r="P3319" s="2836" t="s">
        <v>95</v>
      </c>
      <c r="Q3319" s="3004">
        <v>94.63</v>
      </c>
    </row>
  </sheetData>
  <autoFilter ref="E7:T3289"/>
  <sortState ref="G41:S52">
    <sortCondition descending="1" ref="P41:P52"/>
  </sortState>
  <mergeCells count="128">
    <mergeCell ref="B1874:C1874"/>
    <mergeCell ref="B1682:C1682"/>
    <mergeCell ref="B1842:C1842"/>
    <mergeCell ref="B1833:C1833"/>
    <mergeCell ref="B1793:C1793"/>
    <mergeCell ref="B1758:C1758"/>
    <mergeCell ref="A1757:D1757"/>
    <mergeCell ref="B1718:C1718"/>
    <mergeCell ref="B2077:C2077"/>
    <mergeCell ref="B2092:B2117"/>
    <mergeCell ref="B2202:C2202"/>
    <mergeCell ref="B1958:C1958"/>
    <mergeCell ref="B1916:C1916"/>
    <mergeCell ref="B1906:C1906"/>
    <mergeCell ref="B2044:C2044"/>
    <mergeCell ref="B2119:B2151"/>
    <mergeCell ref="B2088:C2088"/>
    <mergeCell ref="B2089:B2090"/>
    <mergeCell ref="B2118:C2118"/>
    <mergeCell ref="B2154:B2201"/>
    <mergeCell ref="L4:R4"/>
    <mergeCell ref="D2:D7"/>
    <mergeCell ref="C2:C7"/>
    <mergeCell ref="B2:B7"/>
    <mergeCell ref="A9:D9"/>
    <mergeCell ref="B2205:B2209"/>
    <mergeCell ref="B2518:B2546"/>
    <mergeCell ref="B2428:C2428"/>
    <mergeCell ref="B2377:B2400"/>
    <mergeCell ref="B2456:C2456"/>
    <mergeCell ref="B2492:C2492"/>
    <mergeCell ref="B2457:B2491"/>
    <mergeCell ref="B2517:C2517"/>
    <mergeCell ref="B2153:C2153"/>
    <mergeCell ref="B2006:C2006"/>
    <mergeCell ref="B2045:B2076"/>
    <mergeCell ref="B2336:C2336"/>
    <mergeCell ref="B2203:C2203"/>
    <mergeCell ref="B2204:C2204"/>
    <mergeCell ref="B2358:C2358"/>
    <mergeCell ref="B1973:C1973"/>
    <mergeCell ref="B2091:C2091"/>
    <mergeCell ref="A2087:D2087"/>
    <mergeCell ref="B2078:B2086"/>
    <mergeCell ref="B2210:C2210"/>
    <mergeCell ref="B2211:B2245"/>
    <mergeCell ref="B2578:B2608"/>
    <mergeCell ref="B2612:C2612"/>
    <mergeCell ref="A2335:D2335"/>
    <mergeCell ref="B2337:C2337"/>
    <mergeCell ref="B2338:B2357"/>
    <mergeCell ref="B2376:C2376"/>
    <mergeCell ref="B2429:B2455"/>
    <mergeCell ref="B2493:B2516"/>
    <mergeCell ref="B2319:B2334"/>
    <mergeCell ref="B2272:C2272"/>
    <mergeCell ref="B2359:B2375"/>
    <mergeCell ref="B2401:C2401"/>
    <mergeCell ref="B2402:B2427"/>
    <mergeCell ref="B2246:C2246"/>
    <mergeCell ref="B2273:B2317"/>
    <mergeCell ref="B2318:C2318"/>
    <mergeCell ref="B2247:B2271"/>
    <mergeCell ref="B2609:C2609"/>
    <mergeCell ref="B2548:B2576"/>
    <mergeCell ref="B2547:C2547"/>
    <mergeCell ref="B2577:C2577"/>
    <mergeCell ref="A2610:D2610"/>
    <mergeCell ref="N3295:P3295"/>
    <mergeCell ref="N3293:P3293"/>
    <mergeCell ref="K3295:L3295"/>
    <mergeCell ref="K3300:L3300"/>
    <mergeCell ref="K3298:L3298"/>
    <mergeCell ref="K3299:L3299"/>
    <mergeCell ref="K3297:L3297"/>
    <mergeCell ref="N3298:R3298"/>
    <mergeCell ref="N3296:P3296"/>
    <mergeCell ref="K3296:L3296"/>
    <mergeCell ref="N3294:P3294"/>
    <mergeCell ref="K3293:L3293"/>
    <mergeCell ref="B2611:C2611"/>
    <mergeCell ref="B2671:B2693"/>
    <mergeCell ref="B2670:C2670"/>
    <mergeCell ref="B2986:C2986"/>
    <mergeCell ref="B2954:B2985"/>
    <mergeCell ref="B3026:C3026"/>
    <mergeCell ref="B3195:B3242"/>
    <mergeCell ref="B3105:C3105"/>
    <mergeCell ref="B3027:B3062"/>
    <mergeCell ref="B3139:C3139"/>
    <mergeCell ref="B2849:C2849"/>
    <mergeCell ref="B2892:C2892"/>
    <mergeCell ref="B2850:B2891"/>
    <mergeCell ref="B2913:C2913"/>
    <mergeCell ref="B2953:C2953"/>
    <mergeCell ref="B2893:B2912"/>
    <mergeCell ref="B2914:B2952"/>
    <mergeCell ref="B3194:C3194"/>
    <mergeCell ref="B3140:B3193"/>
    <mergeCell ref="B2987:B3025"/>
    <mergeCell ref="B3106:B3138"/>
    <mergeCell ref="B3063:C3063"/>
    <mergeCell ref="B3064:B3104"/>
    <mergeCell ref="B2743:B2759"/>
    <mergeCell ref="B3273:B3289"/>
    <mergeCell ref="B3244:B3271"/>
    <mergeCell ref="N3292:P3292"/>
    <mergeCell ref="K3294:L3294"/>
    <mergeCell ref="K3292:L3292"/>
    <mergeCell ref="B3243:C3243"/>
    <mergeCell ref="B3272:C3272"/>
    <mergeCell ref="B2613:B2627"/>
    <mergeCell ref="B2654:B2669"/>
    <mergeCell ref="B2630:C2630"/>
    <mergeCell ref="B2653:C2653"/>
    <mergeCell ref="B2628:C2628"/>
    <mergeCell ref="B2629:C2629"/>
    <mergeCell ref="B2816:B2847"/>
    <mergeCell ref="B2772:B2814"/>
    <mergeCell ref="B2761:B2770"/>
    <mergeCell ref="B2771:C2771"/>
    <mergeCell ref="B2760:C2760"/>
    <mergeCell ref="B2815:C2815"/>
    <mergeCell ref="B2631:B2652"/>
    <mergeCell ref="A2848:D2848"/>
    <mergeCell ref="B2742:C2742"/>
    <mergeCell ref="B2695:B2741"/>
    <mergeCell ref="B2694:C2694"/>
  </mergeCells>
  <phoneticPr fontId="0" type="noConversion"/>
  <conditionalFormatting sqref="T2887:T3242 T2874:T2885 T2872 T2870 T2831:T2868 T2825:T2828 T2806:T2821 T2792:T2803 T2656:T2790 T2610:T2648 T2580:T2607 T2335:T2576 T2299:T2318 T1991:T2194 T3248:T3376 T1824:T1828 T1705:T1747 T1807:T1822 T1804 T1753:T1802 T1611:T1700 T1749 T1751 T1566:T1605 T1607:T1609 T2197:T2297 T1556:T1564 T1542:T1554 T1830:T1987 T3381:T66642 T1431:T1540 T1429 T1403:T1427 T1371:T1401 T1366:T1369 T1198:T1353 T701:U701 T435:T1196 V3380:W66641 V3323:W3369 V8:W9 V1:W6 T1:T432">
    <cfRule type="expression" dxfId="5" priority="6" stopIfTrue="1">
      <formula>NOT(ISBLANK(T1))</formula>
    </cfRule>
  </conditionalFormatting>
  <conditionalFormatting sqref="S2326:S2327 S2338:S3352 S3358:S3359 S2302:S2321 S1993:S2300 S1826:S1830 S1707:S1751 S1832:S1989 S1806:S1824 S1753 S1755:S1804 S1607:S1702 S1566:S1605 S1556:S1564 S1542:S1554 S1431:S1540 S1429 S1403:S1427 S1371:S1401 S1366:S1369 S8:S1353">
    <cfRule type="cellIs" dxfId="4" priority="7" stopIfTrue="1" operator="equal">
      <formula>"Pendiente"</formula>
    </cfRule>
  </conditionalFormatting>
  <conditionalFormatting sqref="U3307:U66642 U1:U7">
    <cfRule type="cellIs" dxfId="3" priority="9" stopIfTrue="1" operator="equal">
      <formula>"1100-20"</formula>
    </cfRule>
  </conditionalFormatting>
  <conditionalFormatting sqref="U1431:U3306 U1411:U1427 U1429 U1402 U1371:U1384 U1366:U1369 U1198:U1353 T701 U10:U1196">
    <cfRule type="cellIs" dxfId="2" priority="13" stopIfTrue="1" operator="equal">
      <formula>"1100-20"</formula>
    </cfRule>
    <cfRule type="cellIs" dxfId="1" priority="14" stopIfTrue="1" operator="equal">
      <formula>"1200-20"</formula>
    </cfRule>
    <cfRule type="cellIs" dxfId="0" priority="15" stopIfTrue="1" operator="equal">
      <formula>"11R22.5"</formula>
    </cfRule>
  </conditionalFormatting>
  <printOptions horizontalCentered="1"/>
  <pageMargins left="0" right="0" top="0.19685039370078741" bottom="0.19685039370078741" header="0" footer="0"/>
  <pageSetup paperSize="9" scale="110" orientation="portrait" horizontalDpi="120" verticalDpi="144" r:id="rId1"/>
  <headerFooter alignWithMargins="0"/>
  <ignoredErrors>
    <ignoredError sqref="H1135:H1681 K1329:K1957 H1719:H3319 K1959:L3316 H1034:H1133 H1002:H1031 H984:H999 H972:H981 K971:K1320 H967:K969 H963:L966 H960 K960:K962 H962 I970:K970 H959:L959 L925:L926 L952:L958 H898:K958 H892:H897 K892:K897 H885:K891 G882:K884 H879:K881 J878:K878 H878 H833:K873 H828:H832 K828:K832 H817:K819 K814:K816 J813 I803:K804 K795:L802 K794 I806:K808 H794:H816 H776:K783 H772:H775 H761:H766 K761:K766 H767:K771 H741:K760 H719:L720 H712:H713 J712:L713 H714:L716 L718 H717:K718 H705:L706 H708:L711 H707:K707 H721:K739 H740 K740 H674:K704 J673 H673 H661:H662 H788:K793 H784:H787 J784:K787 H876:K877 H874:H875 J874:K875 H660:K660 H663:K672 H659 H652:K658 I632:K645 K650 H632:H651 K646:K648 H599:K631 K586:L590 K591 H586:H591 H592:K597 H585:K585 H574:P584 L571 L568:L569 H568:K573 H556:Q567 H554:P554 H555:L555 H528:K553 O555 Q555 H516:L527 H506:K515 K497 H499:K501 I505:J505 I486:I495 H496:I497 H498 I473:J482 J471:J472 I470:J470 H502:H505 H598 K465:K495 K449:K463 H449:H495 H408:K448 L417:L426 H401:H407 K401:K407 H397:K400 J393:K393 I389:K392 I386 K386 K394:K396 H370:K372 H373:L381 I384:K385 H382:H396 J383:K383 L383:L384 K365:K369 H365:H369 H362:K364 J358:K361 H358:H361 H346:K357 H330:K339 I340:K340 H340:H345 K329 H329 H312:K328 J307:J308 H308:H311 K309:K311 H821:K827 I820:K820 H294:K303 H304:L306 L298:L303 H281:K291 H273:K278 H269:L272 H263:K268 H244:K260 H261:H262 H231:H242 K231:K242 H229:L230 H228 H207:K227 I206:K206 H188:K188 K181:L187 H181:H187 H193:K205 H189:H192 K189:K191 H121:K180 H120 J120:K120 H98:K119 K96:K97 H90 H96:H97 H83:K84 K90 K92:K93 H92:H93 H91:K91 H94:K95 I92:J93 H85:K85 H86:K87 H88:K89 H76:K76 H77:K78 H79:K80 H81:H82 K81:K82 H58:K69 H70:K74 K50:K53 H50:H51 H56:H57 K56:K57 H53 H52 H54:H55 H39:K41 H44:H46 H42:K43 J49:K49 I44:K46 J47:K47 J48:K48 H47:H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AF415"/>
  <sheetViews>
    <sheetView zoomScale="90" zoomScaleNormal="90" workbookViewId="0">
      <selection activeCell="E32" sqref="E32:E36"/>
    </sheetView>
  </sheetViews>
  <sheetFormatPr baseColWidth="10" defaultColWidth="9.140625" defaultRowHeight="12.75"/>
  <cols>
    <col min="1" max="1" width="1.7109375" customWidth="1"/>
    <col min="2" max="2" width="10.7109375" customWidth="1"/>
    <col min="3" max="3" width="11.7109375" style="1442" customWidth="1"/>
    <col min="4" max="4" width="16.140625" bestFit="1" customWidth="1"/>
    <col min="5" max="5" width="20.7109375" customWidth="1"/>
    <col min="6" max="6" width="50.7109375" style="693" customWidth="1"/>
    <col min="7" max="7" width="10.85546875" style="1443" bestFit="1" customWidth="1"/>
    <col min="8" max="8" width="12.140625" style="1443" bestFit="1" customWidth="1"/>
    <col min="9" max="9" width="12.140625" style="822" bestFit="1" customWidth="1"/>
    <col min="10" max="10" width="11.85546875" style="1446" bestFit="1" customWidth="1"/>
    <col min="11" max="12" width="8.7109375" customWidth="1"/>
    <col min="13" max="13" width="12.85546875" customWidth="1"/>
    <col min="14" max="14" width="9.28515625" style="1447" customWidth="1"/>
    <col min="15" max="15" width="10" style="1528" bestFit="1" customWidth="1"/>
    <col min="16" max="16" width="9" style="1547" bestFit="1" customWidth="1"/>
    <col min="17" max="17" width="8.7109375" style="15" bestFit="1" customWidth="1"/>
    <col min="18" max="18" width="7.7109375" style="15" bestFit="1" customWidth="1"/>
    <col min="19" max="19" width="9.7109375" style="1448" customWidth="1"/>
    <col min="20" max="20" width="8.28515625" style="652" bestFit="1" customWidth="1"/>
    <col min="21" max="23" width="11.7109375" style="693" customWidth="1"/>
    <col min="24" max="24" width="9.28515625" bestFit="1" customWidth="1"/>
    <col min="25" max="25" width="11.7109375" customWidth="1"/>
    <col min="26" max="26" width="9.28515625" bestFit="1" customWidth="1"/>
    <col min="27" max="27" width="43.85546875" bestFit="1" customWidth="1"/>
    <col min="28" max="28" width="10" bestFit="1" customWidth="1"/>
    <col min="29" max="29" width="11.140625" bestFit="1" customWidth="1"/>
    <col min="30" max="30" width="13.42578125" bestFit="1" customWidth="1"/>
    <col min="31" max="31" width="2.7109375" customWidth="1"/>
    <col min="32" max="32" width="12.42578125" bestFit="1" customWidth="1"/>
  </cols>
  <sheetData>
    <row r="2" spans="2:29" ht="19.5" thickBot="1">
      <c r="C2" s="3055" t="s">
        <v>3506</v>
      </c>
      <c r="D2" s="1445"/>
      <c r="E2" s="1445"/>
      <c r="F2" s="1445"/>
      <c r="G2" s="1445"/>
      <c r="H2" s="1445"/>
      <c r="I2" s="1445"/>
      <c r="O2"/>
      <c r="P2"/>
      <c r="Q2"/>
      <c r="R2"/>
    </row>
    <row r="3" spans="2:29" s="463" customFormat="1" ht="34.5" thickBot="1">
      <c r="B3" s="2880"/>
      <c r="C3" s="1449" t="s">
        <v>121</v>
      </c>
      <c r="D3" s="1450" t="s">
        <v>83</v>
      </c>
      <c r="E3" s="1451" t="s">
        <v>414</v>
      </c>
      <c r="F3" s="1451" t="s">
        <v>415</v>
      </c>
      <c r="G3" s="1452" t="s">
        <v>82</v>
      </c>
      <c r="H3" s="1453" t="s">
        <v>416</v>
      </c>
      <c r="I3" s="3391" t="s">
        <v>417</v>
      </c>
      <c r="J3" s="3392"/>
      <c r="K3" s="1454" t="s">
        <v>418</v>
      </c>
      <c r="L3" s="1455" t="s">
        <v>419</v>
      </c>
      <c r="M3" s="1456" t="s">
        <v>420</v>
      </c>
      <c r="N3" s="2883"/>
      <c r="O3" s="2884"/>
      <c r="P3" s="2885"/>
      <c r="Q3" s="804" t="s">
        <v>423</v>
      </c>
      <c r="R3" s="809" t="s">
        <v>424</v>
      </c>
      <c r="S3" s="1460" t="s">
        <v>425</v>
      </c>
      <c r="T3" s="460"/>
      <c r="U3" s="928"/>
      <c r="V3" s="928"/>
      <c r="W3" s="928"/>
    </row>
    <row r="4" spans="2:29" ht="15.75">
      <c r="B4" s="3054"/>
      <c r="C4" s="1474">
        <v>43480</v>
      </c>
      <c r="D4" s="1463"/>
      <c r="E4" s="3331" t="s">
        <v>3517</v>
      </c>
      <c r="F4" s="1855"/>
      <c r="G4" s="3023"/>
      <c r="H4" s="2334">
        <v>9.9999999999999992E-25</v>
      </c>
      <c r="I4" s="1478">
        <f t="shared" ref="I4:I13" si="0">+H4*G4</f>
        <v>0</v>
      </c>
      <c r="J4" s="3334">
        <f>SUM(I4:I7)</f>
        <v>762.71199999999999</v>
      </c>
      <c r="K4" s="3337">
        <f>+J4*0.18</f>
        <v>137.28816</v>
      </c>
      <c r="L4" s="3337"/>
      <c r="M4" s="3340">
        <f>+K4+J4</f>
        <v>900.00016000000005</v>
      </c>
      <c r="N4" s="2335">
        <f>+L4</f>
        <v>0</v>
      </c>
      <c r="O4" s="2336">
        <f>SUM(P4:P7)</f>
        <v>2508.5597679999996</v>
      </c>
      <c r="P4" s="1481">
        <f>+I4*N7</f>
        <v>0</v>
      </c>
      <c r="Q4" s="1471" t="e">
        <f t="shared" ref="Q4:Q13" si="1">+P4/G4</f>
        <v>#DIV/0!</v>
      </c>
      <c r="R4" s="1471" t="e">
        <f t="shared" ref="R4:R13" si="2">+Q4*0.18</f>
        <v>#DIV/0!</v>
      </c>
      <c r="S4" s="1472" t="e">
        <f t="shared" ref="S4:S13" si="3">+R4+Q4</f>
        <v>#DIV/0!</v>
      </c>
      <c r="T4" s="652">
        <f>+H4*1.18*N7</f>
        <v>3.881019999999999E-24</v>
      </c>
      <c r="U4" s="693">
        <f>+T4*1.02</f>
        <v>3.9586403999999989E-24</v>
      </c>
      <c r="W4" s="1493">
        <f t="shared" ref="W4:W13" si="4">+H4*1.18</f>
        <v>1.1799999999999998E-24</v>
      </c>
      <c r="X4" s="2037">
        <f t="shared" ref="X4:X13" si="5">+H4*1.18</f>
        <v>1.1799999999999998E-24</v>
      </c>
    </row>
    <row r="5" spans="2:29" ht="15.75">
      <c r="B5" s="3054"/>
      <c r="C5" s="1474">
        <v>43480</v>
      </c>
      <c r="D5" s="1463" t="s">
        <v>426</v>
      </c>
      <c r="E5" s="3331"/>
      <c r="F5" s="1475" t="s">
        <v>3725</v>
      </c>
      <c r="G5" s="2119">
        <v>4</v>
      </c>
      <c r="H5" s="1477">
        <v>190.678</v>
      </c>
      <c r="I5" s="1478">
        <f t="shared" si="0"/>
        <v>762.71199999999999</v>
      </c>
      <c r="J5" s="3334"/>
      <c r="K5" s="3337"/>
      <c r="L5" s="3337"/>
      <c r="M5" s="3340"/>
      <c r="N5" s="2210" t="s">
        <v>3507</v>
      </c>
      <c r="O5" s="1480">
        <f>+O4*0.18</f>
        <v>451.54075823999989</v>
      </c>
      <c r="P5" s="1481">
        <f>+I5*N7</f>
        <v>2508.5597679999996</v>
      </c>
      <c r="Q5" s="1471">
        <f t="shared" si="1"/>
        <v>627.13994199999991</v>
      </c>
      <c r="R5" s="1471">
        <f t="shared" si="2"/>
        <v>112.88518955999997</v>
      </c>
      <c r="S5" s="1472">
        <f t="shared" si="3"/>
        <v>740.02513155999986</v>
      </c>
      <c r="U5" s="693">
        <f>320*2.8</f>
        <v>896</v>
      </c>
      <c r="V5" s="693">
        <f>347*2.8</f>
        <v>971.59999999999991</v>
      </c>
      <c r="W5" s="1493">
        <f t="shared" si="4"/>
        <v>225.00003999999998</v>
      </c>
      <c r="X5" s="2037">
        <f t="shared" si="5"/>
        <v>225.00003999999998</v>
      </c>
    </row>
    <row r="6" spans="2:29" ht="13.7" customHeight="1">
      <c r="B6" s="1494"/>
      <c r="C6" s="1474">
        <v>43480</v>
      </c>
      <c r="D6" s="1463"/>
      <c r="E6" s="3331"/>
      <c r="F6" s="2293"/>
      <c r="G6" s="2119"/>
      <c r="H6" s="1477">
        <v>1.0000000000000001E-18</v>
      </c>
      <c r="I6" s="1478">
        <f t="shared" si="0"/>
        <v>0</v>
      </c>
      <c r="J6" s="3334"/>
      <c r="K6" s="3337"/>
      <c r="L6" s="3337"/>
      <c r="M6" s="3340"/>
      <c r="N6" s="1497"/>
      <c r="O6" s="1498"/>
      <c r="P6" s="1481">
        <f>+I6*N7</f>
        <v>0</v>
      </c>
      <c r="Q6" s="1471" t="e">
        <f t="shared" si="1"/>
        <v>#DIV/0!</v>
      </c>
      <c r="R6" s="1471" t="e">
        <f t="shared" si="2"/>
        <v>#DIV/0!</v>
      </c>
      <c r="S6" s="1472" t="e">
        <f t="shared" si="3"/>
        <v>#DIV/0!</v>
      </c>
      <c r="U6" s="693">
        <v>550</v>
      </c>
      <c r="V6" s="693">
        <v>550</v>
      </c>
      <c r="W6" s="1493">
        <f t="shared" si="4"/>
        <v>1.1800000000000001E-18</v>
      </c>
      <c r="X6" s="2037">
        <f t="shared" si="5"/>
        <v>1.1800000000000001E-18</v>
      </c>
    </row>
    <row r="7" spans="2:29" ht="13.7" customHeight="1" thickBot="1">
      <c r="B7" s="1494"/>
      <c r="C7" s="1483"/>
      <c r="D7" s="1484"/>
      <c r="E7" s="3342"/>
      <c r="F7" s="1485"/>
      <c r="G7" s="2377"/>
      <c r="H7" s="2378">
        <v>0</v>
      </c>
      <c r="I7" s="2379">
        <f t="shared" si="0"/>
        <v>0</v>
      </c>
      <c r="J7" s="3343"/>
      <c r="K7" s="3344"/>
      <c r="L7" s="3344"/>
      <c r="M7" s="3345"/>
      <c r="N7" s="2337">
        <f>(3.286+3.292)/2</f>
        <v>3.2889999999999997</v>
      </c>
      <c r="O7" s="1490">
        <f>+O5+O4+N4</f>
        <v>2960.1005262399995</v>
      </c>
      <c r="P7" s="1491">
        <f>+I7*N7</f>
        <v>0</v>
      </c>
      <c r="Q7" s="1471" t="e">
        <f t="shared" si="1"/>
        <v>#DIV/0!</v>
      </c>
      <c r="R7" s="1471" t="e">
        <f t="shared" si="2"/>
        <v>#DIV/0!</v>
      </c>
      <c r="S7" s="1472" t="e">
        <f t="shared" si="3"/>
        <v>#DIV/0!</v>
      </c>
      <c r="U7" s="693">
        <v>550</v>
      </c>
      <c r="V7" s="693">
        <v>550</v>
      </c>
      <c r="W7" s="1499">
        <f t="shared" si="4"/>
        <v>0</v>
      </c>
      <c r="X7" s="2037">
        <f t="shared" si="5"/>
        <v>0</v>
      </c>
    </row>
    <row r="8" spans="2:29" ht="15.75">
      <c r="B8" s="1494"/>
      <c r="C8" s="1474">
        <v>43493</v>
      </c>
      <c r="D8" s="1463"/>
      <c r="E8" s="3330" t="s">
        <v>3516</v>
      </c>
      <c r="F8" s="1464" t="s">
        <v>3515</v>
      </c>
      <c r="G8" s="1465">
        <v>2</v>
      </c>
      <c r="H8" s="1466">
        <v>262.70999999999998</v>
      </c>
      <c r="I8" s="1467">
        <f t="shared" ref="I8:I10" si="6">+H8*G8</f>
        <v>525.41999999999996</v>
      </c>
      <c r="J8" s="3333">
        <f>SUM(I8:I10)</f>
        <v>1050.8399999999999</v>
      </c>
      <c r="K8" s="3336">
        <f>+J8*0.18</f>
        <v>189.15119999999999</v>
      </c>
      <c r="L8" s="3336"/>
      <c r="M8" s="3339">
        <f>+K8+J8</f>
        <v>1239.9911999999999</v>
      </c>
      <c r="N8" s="1468">
        <f>+L8</f>
        <v>0</v>
      </c>
      <c r="O8" s="1469">
        <f>SUM(P8:P10)</f>
        <v>3440.4501599999999</v>
      </c>
      <c r="P8" s="1470">
        <f>+I8*N10</f>
        <v>1720.2250799999999</v>
      </c>
      <c r="Q8" s="1471">
        <f t="shared" ref="Q8:Q10" si="7">+P8/G8</f>
        <v>860.11253999999997</v>
      </c>
      <c r="R8" s="1471">
        <f t="shared" ref="R8:R10" si="8">+Q8*0.18</f>
        <v>154.82025719999999</v>
      </c>
      <c r="S8" s="1472">
        <f t="shared" ref="S8:S10" si="9">+R8+Q8</f>
        <v>1014.9327972</v>
      </c>
      <c r="T8" s="652">
        <f>+H8*1.18*N10</f>
        <v>1014.9327972</v>
      </c>
      <c r="U8" s="693">
        <f>+T8*1.02</f>
        <v>1035.2314531439999</v>
      </c>
      <c r="W8" s="1493">
        <f t="shared" ref="W8:W10" si="10">+H8*1.18</f>
        <v>309.99779999999998</v>
      </c>
      <c r="X8" s="2037">
        <f t="shared" ref="X8:X10" si="11">+H8*1.18</f>
        <v>309.99779999999998</v>
      </c>
    </row>
    <row r="9" spans="2:29" ht="15.75">
      <c r="B9" s="1494"/>
      <c r="C9" s="1474">
        <v>43493</v>
      </c>
      <c r="D9" s="1463" t="s">
        <v>2432</v>
      </c>
      <c r="E9" s="3331"/>
      <c r="F9" s="1475" t="s">
        <v>3515</v>
      </c>
      <c r="G9" s="2119">
        <v>2</v>
      </c>
      <c r="H9" s="1477">
        <v>262.70999999999998</v>
      </c>
      <c r="I9" s="1478">
        <f t="shared" si="6"/>
        <v>525.41999999999996</v>
      </c>
      <c r="J9" s="3334"/>
      <c r="K9" s="3337"/>
      <c r="L9" s="3337"/>
      <c r="M9" s="3340"/>
      <c r="N9" s="2210" t="s">
        <v>3518</v>
      </c>
      <c r="O9" s="1480">
        <f>+O8*0.18</f>
        <v>619.28102879999994</v>
      </c>
      <c r="P9" s="1481">
        <f>+I9*N10</f>
        <v>1720.2250799999999</v>
      </c>
      <c r="Q9" s="1471">
        <f t="shared" si="7"/>
        <v>860.11253999999997</v>
      </c>
      <c r="R9" s="1471">
        <f t="shared" si="8"/>
        <v>154.82025719999999</v>
      </c>
      <c r="S9" s="1472">
        <f t="shared" si="9"/>
        <v>1014.9327972</v>
      </c>
      <c r="U9" s="693">
        <f>320*2.8</f>
        <v>896</v>
      </c>
      <c r="V9" s="693">
        <f>347*2.8</f>
        <v>971.59999999999991</v>
      </c>
      <c r="W9" s="1493">
        <f t="shared" si="10"/>
        <v>309.99779999999998</v>
      </c>
      <c r="X9" s="2037">
        <f t="shared" si="11"/>
        <v>309.99779999999998</v>
      </c>
    </row>
    <row r="10" spans="2:29" ht="13.7" customHeight="1" thickBot="1">
      <c r="B10" s="1494"/>
      <c r="C10" s="1483"/>
      <c r="D10" s="1484"/>
      <c r="E10" s="3332"/>
      <c r="F10" s="1541"/>
      <c r="G10" s="2341">
        <v>4.5000000000000001E-42</v>
      </c>
      <c r="H10" s="2342">
        <v>0</v>
      </c>
      <c r="I10" s="2343">
        <f t="shared" si="6"/>
        <v>0</v>
      </c>
      <c r="J10" s="3335"/>
      <c r="K10" s="3338"/>
      <c r="L10" s="3338"/>
      <c r="M10" s="3341"/>
      <c r="N10" s="2337">
        <f>(3.272+3.276)/2</f>
        <v>3.274</v>
      </c>
      <c r="O10" s="2338">
        <f>+O9+O8+N8</f>
        <v>4059.7311887999999</v>
      </c>
      <c r="P10" s="2339">
        <f>+I10*N10</f>
        <v>0</v>
      </c>
      <c r="Q10" s="1471">
        <f t="shared" si="7"/>
        <v>0</v>
      </c>
      <c r="R10" s="1471">
        <f t="shared" si="8"/>
        <v>0</v>
      </c>
      <c r="S10" s="1472">
        <f t="shared" si="9"/>
        <v>0</v>
      </c>
      <c r="U10" s="693">
        <v>550</v>
      </c>
      <c r="V10" s="693">
        <v>550</v>
      </c>
      <c r="W10" s="1499">
        <f t="shared" si="10"/>
        <v>0</v>
      </c>
      <c r="X10" s="2037">
        <f t="shared" si="11"/>
        <v>0</v>
      </c>
    </row>
    <row r="11" spans="2:29" ht="15.75">
      <c r="B11" s="1494"/>
      <c r="C11" s="1474">
        <v>43524</v>
      </c>
      <c r="D11" s="1463"/>
      <c r="E11" s="3330" t="s">
        <v>3553</v>
      </c>
      <c r="F11" s="1464" t="s">
        <v>3329</v>
      </c>
      <c r="G11" s="1465">
        <v>12</v>
      </c>
      <c r="H11" s="1466">
        <v>150</v>
      </c>
      <c r="I11" s="1467">
        <f t="shared" si="0"/>
        <v>1800</v>
      </c>
      <c r="J11" s="3333">
        <f>SUM(I11:I13)</f>
        <v>2481.3559322033898</v>
      </c>
      <c r="K11" s="3336">
        <f>+J11*0.18</f>
        <v>446.64406779661016</v>
      </c>
      <c r="L11" s="3336"/>
      <c r="M11" s="3339">
        <f>+K11+J11</f>
        <v>2928</v>
      </c>
      <c r="N11" s="1468">
        <f>+L11</f>
        <v>0</v>
      </c>
      <c r="O11" s="1469">
        <f>SUM(P11:P13)</f>
        <v>8123.9593220338984</v>
      </c>
      <c r="P11" s="1470">
        <f>+I11*N13</f>
        <v>5893.2</v>
      </c>
      <c r="Q11" s="1471">
        <f t="shared" si="1"/>
        <v>491.09999999999997</v>
      </c>
      <c r="R11" s="1471">
        <f t="shared" si="2"/>
        <v>88.397999999999996</v>
      </c>
      <c r="S11" s="1472">
        <f t="shared" si="3"/>
        <v>579.49799999999993</v>
      </c>
      <c r="T11" s="652">
        <f>+H11*1.18*N13</f>
        <v>579.49800000000005</v>
      </c>
      <c r="U11" s="693">
        <f>+T11*1.02</f>
        <v>591.08796000000007</v>
      </c>
      <c r="W11" s="1493">
        <f t="shared" si="4"/>
        <v>177</v>
      </c>
      <c r="X11" s="2037">
        <f t="shared" si="5"/>
        <v>177</v>
      </c>
    </row>
    <row r="12" spans="2:29" ht="15.75">
      <c r="B12" s="1494"/>
      <c r="C12" s="1474">
        <v>43524</v>
      </c>
      <c r="D12" s="1463" t="s">
        <v>426</v>
      </c>
      <c r="E12" s="3331"/>
      <c r="F12" s="1475" t="s">
        <v>3552</v>
      </c>
      <c r="G12" s="2119">
        <v>12</v>
      </c>
      <c r="H12" s="1477">
        <v>56.779661016949156</v>
      </c>
      <c r="I12" s="1478">
        <f t="shared" si="0"/>
        <v>681.3559322033899</v>
      </c>
      <c r="J12" s="3334"/>
      <c r="K12" s="3337"/>
      <c r="L12" s="3337"/>
      <c r="M12" s="3340"/>
      <c r="N12" s="2210" t="s">
        <v>3554</v>
      </c>
      <c r="O12" s="1480">
        <f>+O11*0.18</f>
        <v>1462.3126779661015</v>
      </c>
      <c r="P12" s="1481">
        <f>+I12*N13</f>
        <v>2230.7593220338986</v>
      </c>
      <c r="Q12" s="1471">
        <f t="shared" si="1"/>
        <v>185.89661016949154</v>
      </c>
      <c r="R12" s="1471">
        <f t="shared" si="2"/>
        <v>33.461389830508473</v>
      </c>
      <c r="S12" s="1472">
        <f t="shared" si="3"/>
        <v>219.358</v>
      </c>
      <c r="U12" s="693">
        <f>320*2.8</f>
        <v>896</v>
      </c>
      <c r="V12" s="693">
        <f>347*2.8</f>
        <v>971.59999999999991</v>
      </c>
      <c r="W12" s="1493">
        <f t="shared" si="4"/>
        <v>67</v>
      </c>
      <c r="X12" s="2037">
        <f t="shared" si="5"/>
        <v>67</v>
      </c>
    </row>
    <row r="13" spans="2:29" ht="13.7" customHeight="1" thickBot="1">
      <c r="B13" s="1494"/>
      <c r="C13" s="1483"/>
      <c r="D13" s="1484"/>
      <c r="E13" s="3332"/>
      <c r="F13" s="1541"/>
      <c r="G13" s="2341">
        <v>4.5000000000000001E-42</v>
      </c>
      <c r="H13" s="2342">
        <v>0</v>
      </c>
      <c r="I13" s="2343">
        <f t="shared" si="0"/>
        <v>0</v>
      </c>
      <c r="J13" s="3335"/>
      <c r="K13" s="3338"/>
      <c r="L13" s="3338"/>
      <c r="M13" s="3341"/>
      <c r="N13" s="2337">
        <f>(3.272+3.276)/2</f>
        <v>3.274</v>
      </c>
      <c r="O13" s="2338">
        <f>+O12+O11+N11</f>
        <v>9586.2720000000008</v>
      </c>
      <c r="P13" s="2339">
        <f>+I13*N13</f>
        <v>0</v>
      </c>
      <c r="Q13" s="1471">
        <f t="shared" si="1"/>
        <v>0</v>
      </c>
      <c r="R13" s="1471">
        <f t="shared" si="2"/>
        <v>0</v>
      </c>
      <c r="S13" s="1472">
        <f t="shared" si="3"/>
        <v>0</v>
      </c>
      <c r="U13" s="693">
        <v>550</v>
      </c>
      <c r="V13" s="693">
        <v>550</v>
      </c>
      <c r="W13" s="1499">
        <f t="shared" si="4"/>
        <v>0</v>
      </c>
      <c r="X13" s="2037">
        <f t="shared" si="5"/>
        <v>0</v>
      </c>
    </row>
    <row r="14" spans="2:29" ht="15.75">
      <c r="B14" s="1494"/>
      <c r="C14" s="1474">
        <v>43592</v>
      </c>
      <c r="D14" s="1463"/>
      <c r="E14" s="3330" t="s">
        <v>3651</v>
      </c>
      <c r="F14" s="1464" t="s">
        <v>2390</v>
      </c>
      <c r="G14" s="1465">
        <v>1</v>
      </c>
      <c r="H14" s="1466">
        <v>207.62711864406782</v>
      </c>
      <c r="I14" s="1467">
        <f t="shared" ref="I14:I31" si="12">+H14*G14</f>
        <v>207.62711864406782</v>
      </c>
      <c r="J14" s="3333">
        <f>SUM(I14:I16)</f>
        <v>415.25421864406781</v>
      </c>
      <c r="K14" s="3336">
        <f>+J14*0.18</f>
        <v>74.745759355932208</v>
      </c>
      <c r="L14" s="3336"/>
      <c r="M14" s="3339">
        <f>+K14+J14</f>
        <v>489.999978</v>
      </c>
      <c r="N14" s="1468">
        <f>+L14</f>
        <v>0</v>
      </c>
      <c r="O14" s="1469">
        <f>SUM(P14:P16)</f>
        <v>1359.5423118406782</v>
      </c>
      <c r="P14" s="1470">
        <f>+I14*N16</f>
        <v>679.77118644067809</v>
      </c>
      <c r="Q14" s="1471">
        <f t="shared" ref="Q14:Q31" si="13">+P14/G14</f>
        <v>679.77118644067809</v>
      </c>
      <c r="R14" s="1471">
        <f t="shared" ref="R14:R31" si="14">+Q14*0.18</f>
        <v>122.35881355932206</v>
      </c>
      <c r="S14" s="1472">
        <f t="shared" ref="S14:S31" si="15">+R14+Q14</f>
        <v>802.13000000000011</v>
      </c>
      <c r="T14" s="652">
        <f>+H14*1.18*N16</f>
        <v>802.13000000000011</v>
      </c>
      <c r="U14" s="693">
        <f>+T14*1.02</f>
        <v>818.1726000000001</v>
      </c>
      <c r="W14" s="1493">
        <f t="shared" ref="W14:W31" si="16">+H14*1.18</f>
        <v>245.00000000000003</v>
      </c>
      <c r="X14" s="2037">
        <f t="shared" ref="X14:X31" si="17">+H14*1.18</f>
        <v>245.00000000000003</v>
      </c>
    </row>
    <row r="15" spans="2:29" ht="15.75">
      <c r="B15" s="1494"/>
      <c r="C15" s="1474">
        <v>43592</v>
      </c>
      <c r="D15" s="1463" t="s">
        <v>426</v>
      </c>
      <c r="E15" s="3331"/>
      <c r="F15" s="1475" t="s">
        <v>2390</v>
      </c>
      <c r="G15" s="2119">
        <v>1</v>
      </c>
      <c r="H15" s="1477">
        <v>207.62710000000001</v>
      </c>
      <c r="I15" s="1478">
        <f t="shared" si="12"/>
        <v>207.62710000000001</v>
      </c>
      <c r="J15" s="3334"/>
      <c r="K15" s="3337"/>
      <c r="L15" s="3337"/>
      <c r="M15" s="3340"/>
      <c r="N15" s="2210" t="s">
        <v>3652</v>
      </c>
      <c r="O15" s="1480">
        <f>+O14*0.18</f>
        <v>244.71761613132207</v>
      </c>
      <c r="P15" s="1481">
        <f>+I15*N16</f>
        <v>679.77112540000007</v>
      </c>
      <c r="Q15" s="1471">
        <f t="shared" si="13"/>
        <v>679.77112540000007</v>
      </c>
      <c r="R15" s="1471">
        <f t="shared" si="14"/>
        <v>122.358802572</v>
      </c>
      <c r="S15" s="1472">
        <f t="shared" si="15"/>
        <v>802.12992797200013</v>
      </c>
      <c r="U15" s="693">
        <f>320*2.8</f>
        <v>896</v>
      </c>
      <c r="V15" s="693">
        <f>347*2.8</f>
        <v>971.59999999999991</v>
      </c>
      <c r="W15" s="1493">
        <f t="shared" si="16"/>
        <v>244.999978</v>
      </c>
      <c r="X15" s="2037">
        <f t="shared" si="17"/>
        <v>244.999978</v>
      </c>
    </row>
    <row r="16" spans="2:29" ht="13.7" customHeight="1" thickBot="1">
      <c r="B16" s="1494"/>
      <c r="C16" s="1483"/>
      <c r="D16" s="1484"/>
      <c r="E16" s="3332"/>
      <c r="F16" s="1541"/>
      <c r="G16" s="2341">
        <v>4.5000000000000001E-42</v>
      </c>
      <c r="H16" s="2342">
        <v>0</v>
      </c>
      <c r="I16" s="2343">
        <f t="shared" si="12"/>
        <v>0</v>
      </c>
      <c r="J16" s="3335"/>
      <c r="K16" s="3338"/>
      <c r="L16" s="3338"/>
      <c r="M16" s="3341"/>
      <c r="N16" s="2337">
        <f>(3.272+3.276)/2</f>
        <v>3.274</v>
      </c>
      <c r="O16" s="2338">
        <f>+O15+O14+N14</f>
        <v>1604.2599279720002</v>
      </c>
      <c r="P16" s="2339">
        <f>+I16*N16</f>
        <v>0</v>
      </c>
      <c r="Q16" s="1471">
        <f t="shared" si="13"/>
        <v>0</v>
      </c>
      <c r="R16" s="1471">
        <f t="shared" si="14"/>
        <v>0</v>
      </c>
      <c r="S16" s="1472">
        <f t="shared" si="15"/>
        <v>0</v>
      </c>
      <c r="U16" s="693">
        <v>550</v>
      </c>
      <c r="V16" s="693">
        <v>550</v>
      </c>
      <c r="W16" s="1499">
        <f t="shared" si="16"/>
        <v>0</v>
      </c>
      <c r="X16" s="2037">
        <f t="shared" si="17"/>
        <v>0</v>
      </c>
      <c r="Z16" s="822" t="s">
        <v>82</v>
      </c>
      <c r="AA16" t="s">
        <v>4040</v>
      </c>
      <c r="AB16" s="822" t="s">
        <v>4039</v>
      </c>
      <c r="AC16" t="s">
        <v>599</v>
      </c>
    </row>
    <row r="17" spans="2:32" ht="15.75">
      <c r="B17" s="1494"/>
      <c r="C17" s="1474">
        <v>43614</v>
      </c>
      <c r="D17" s="1463"/>
      <c r="E17" s="3330" t="s">
        <v>3724</v>
      </c>
      <c r="F17" s="1464" t="s">
        <v>3329</v>
      </c>
      <c r="G17" s="1465">
        <v>12</v>
      </c>
      <c r="H17" s="1466">
        <v>150</v>
      </c>
      <c r="I17" s="1467">
        <f t="shared" ref="I17:I19" si="18">+H17*G17</f>
        <v>1800</v>
      </c>
      <c r="J17" s="3333">
        <f>SUM(I17:I19)</f>
        <v>3720</v>
      </c>
      <c r="K17" s="3336">
        <f>+J17*0.18</f>
        <v>669.6</v>
      </c>
      <c r="L17" s="3336"/>
      <c r="M17" s="3339">
        <f>+K17+J17</f>
        <v>4389.6000000000004</v>
      </c>
      <c r="N17" s="1468">
        <f>+L17</f>
        <v>0</v>
      </c>
      <c r="O17" s="1469">
        <f>SUM(P17:P19)</f>
        <v>12179.28</v>
      </c>
      <c r="P17" s="1470">
        <f>+I17*N19</f>
        <v>5893.2</v>
      </c>
      <c r="Q17" s="1471">
        <f t="shared" ref="Q17:Q19" si="19">+P17/G17</f>
        <v>491.09999999999997</v>
      </c>
      <c r="R17" s="1471">
        <f t="shared" ref="R17:R19" si="20">+Q17*0.18</f>
        <v>88.397999999999996</v>
      </c>
      <c r="S17" s="1472">
        <f t="shared" ref="S17:S19" si="21">+R17+Q17</f>
        <v>579.49799999999993</v>
      </c>
      <c r="T17" s="652">
        <f>+H17*1.18*N19</f>
        <v>579.49800000000005</v>
      </c>
      <c r="U17" s="693">
        <f>+T17*1.02</f>
        <v>591.08796000000007</v>
      </c>
      <c r="W17" s="1493">
        <f t="shared" ref="W17:W19" si="22">+H17*1.18</f>
        <v>177</v>
      </c>
      <c r="X17" s="2037">
        <f t="shared" ref="X17:X19" si="23">+H17*1.18</f>
        <v>177</v>
      </c>
      <c r="Z17" s="822">
        <v>2</v>
      </c>
      <c r="AA17" t="s">
        <v>2390</v>
      </c>
      <c r="AB17" s="822">
        <v>206.44069999999999</v>
      </c>
      <c r="AC17">
        <f>+Z17*AB17</f>
        <v>412.88139999999999</v>
      </c>
      <c r="AF17" s="3224">
        <f>+AB17*1.18</f>
        <v>243.60002599999999</v>
      </c>
    </row>
    <row r="18" spans="2:32" ht="15.75">
      <c r="B18" s="1494"/>
      <c r="C18" s="1474">
        <v>43614</v>
      </c>
      <c r="D18" s="1463" t="s">
        <v>426</v>
      </c>
      <c r="E18" s="3331"/>
      <c r="F18" s="1475" t="s">
        <v>3552</v>
      </c>
      <c r="G18" s="2119">
        <v>12</v>
      </c>
      <c r="H18" s="1477">
        <v>56.779661016949156</v>
      </c>
      <c r="I18" s="1478">
        <f t="shared" si="18"/>
        <v>681.3559322033899</v>
      </c>
      <c r="J18" s="3334"/>
      <c r="K18" s="3337"/>
      <c r="L18" s="3337"/>
      <c r="M18" s="3340"/>
      <c r="N18" s="2210" t="s">
        <v>3721</v>
      </c>
      <c r="O18" s="1480">
        <f>+O17*0.18</f>
        <v>2192.2703999999999</v>
      </c>
      <c r="P18" s="1481">
        <f>+I18*N19</f>
        <v>2230.7593220338986</v>
      </c>
      <c r="Q18" s="1471">
        <f t="shared" si="19"/>
        <v>185.89661016949154</v>
      </c>
      <c r="R18" s="1471">
        <f t="shared" si="20"/>
        <v>33.461389830508473</v>
      </c>
      <c r="S18" s="1472">
        <f t="shared" si="21"/>
        <v>219.358</v>
      </c>
      <c r="U18" s="693">
        <f>320*2.8</f>
        <v>896</v>
      </c>
      <c r="V18" s="693">
        <f>347*2.8</f>
        <v>971.59999999999991</v>
      </c>
      <c r="W18" s="1493">
        <f t="shared" si="22"/>
        <v>67</v>
      </c>
      <c r="X18" s="2037">
        <f t="shared" si="23"/>
        <v>67</v>
      </c>
      <c r="Z18" s="822">
        <v>8</v>
      </c>
      <c r="AA18" t="s">
        <v>4038</v>
      </c>
      <c r="AB18" s="822">
        <v>206.44069999999999</v>
      </c>
      <c r="AC18">
        <f>+Z18*AB18</f>
        <v>1651.5255999999999</v>
      </c>
      <c r="AF18" s="3224">
        <f>+AB18*1.18</f>
        <v>243.60002599999999</v>
      </c>
    </row>
    <row r="19" spans="2:32" ht="13.7" customHeight="1" thickBot="1">
      <c r="B19" s="1494"/>
      <c r="C19" s="1483">
        <v>43614</v>
      </c>
      <c r="D19" s="1484"/>
      <c r="E19" s="3332"/>
      <c r="F19" s="1475" t="s">
        <v>2390</v>
      </c>
      <c r="G19" s="2119">
        <v>6</v>
      </c>
      <c r="H19" s="1477">
        <v>206.4406779661017</v>
      </c>
      <c r="I19" s="1478">
        <f t="shared" si="18"/>
        <v>1238.6440677966102</v>
      </c>
      <c r="J19" s="3335"/>
      <c r="K19" s="3338"/>
      <c r="L19" s="3338"/>
      <c r="M19" s="3341"/>
      <c r="N19" s="2337">
        <f>(3.272+3.276)/2</f>
        <v>3.274</v>
      </c>
      <c r="O19" s="2338">
        <f>+O18+O17+N17</f>
        <v>14371.5504</v>
      </c>
      <c r="P19" s="2339">
        <f>+I19*N19</f>
        <v>4055.3206779661018</v>
      </c>
      <c r="Q19" s="1471">
        <f t="shared" si="19"/>
        <v>675.88677966101693</v>
      </c>
      <c r="R19" s="1471">
        <f t="shared" si="20"/>
        <v>121.65962033898305</v>
      </c>
      <c r="S19" s="1472">
        <f t="shared" si="21"/>
        <v>797.54639999999995</v>
      </c>
      <c r="U19" s="693">
        <v>550</v>
      </c>
      <c r="V19" s="693">
        <v>550</v>
      </c>
      <c r="W19" s="1499">
        <f t="shared" si="22"/>
        <v>243.6</v>
      </c>
      <c r="X19" s="2037">
        <f t="shared" si="23"/>
        <v>243.6</v>
      </c>
      <c r="Z19" s="822">
        <v>12</v>
      </c>
      <c r="AA19" t="s">
        <v>3329</v>
      </c>
      <c r="AB19" s="822">
        <v>148.30510000000001</v>
      </c>
      <c r="AC19" s="437">
        <f>+Z19*AB19</f>
        <v>1779.6612</v>
      </c>
      <c r="AF19" s="3224">
        <f>+AB19*1.18</f>
        <v>175.00001800000001</v>
      </c>
    </row>
    <row r="20" spans="2:32" ht="15.75">
      <c r="B20" s="1494"/>
      <c r="C20" s="1462">
        <v>43633</v>
      </c>
      <c r="D20" s="1500"/>
      <c r="E20" s="3330" t="s">
        <v>3723</v>
      </c>
      <c r="F20" s="1464" t="s">
        <v>3329</v>
      </c>
      <c r="G20" s="1465">
        <v>12</v>
      </c>
      <c r="H20" s="1466">
        <v>150</v>
      </c>
      <c r="I20" s="1467">
        <f t="shared" si="12"/>
        <v>1800</v>
      </c>
      <c r="J20" s="3333">
        <f>SUM(I20:I22)</f>
        <v>2481.3559322033898</v>
      </c>
      <c r="K20" s="3336">
        <f>+J20*0.18</f>
        <v>446.64406779661016</v>
      </c>
      <c r="L20" s="3336"/>
      <c r="M20" s="3339">
        <f>+K20+J20</f>
        <v>2928</v>
      </c>
      <c r="N20" s="1468">
        <f>+L20</f>
        <v>0</v>
      </c>
      <c r="O20" s="1469">
        <f>SUM(P20:P22)</f>
        <v>8123.9593220338984</v>
      </c>
      <c r="P20" s="1470">
        <f>+I20*N22</f>
        <v>5893.2</v>
      </c>
      <c r="Q20" s="1471">
        <f t="shared" si="13"/>
        <v>491.09999999999997</v>
      </c>
      <c r="R20" s="1471">
        <f t="shared" si="14"/>
        <v>88.397999999999996</v>
      </c>
      <c r="S20" s="1472">
        <f t="shared" si="15"/>
        <v>579.49799999999993</v>
      </c>
      <c r="T20" s="652">
        <f>+H20*1.18*N22</f>
        <v>579.49800000000005</v>
      </c>
      <c r="U20" s="693">
        <f>+T20*1.02</f>
        <v>591.08796000000007</v>
      </c>
      <c r="W20" s="1493">
        <f t="shared" si="16"/>
        <v>177</v>
      </c>
      <c r="X20" s="2037">
        <f t="shared" si="17"/>
        <v>177</v>
      </c>
      <c r="Z20" s="3226">
        <f>+Z19+Z18+Z17</f>
        <v>22</v>
      </c>
      <c r="AA20" s="3225" t="s">
        <v>4037</v>
      </c>
      <c r="AB20" s="822"/>
      <c r="AD20" s="3224">
        <f>SUM(AC17:AC19)</f>
        <v>3844.0682000000002</v>
      </c>
      <c r="AF20" s="3224"/>
    </row>
    <row r="21" spans="2:32" ht="15.75">
      <c r="B21" s="1494"/>
      <c r="C21" s="1474">
        <v>43633</v>
      </c>
      <c r="D21" s="1463" t="s">
        <v>426</v>
      </c>
      <c r="E21" s="3331"/>
      <c r="F21" s="1475" t="s">
        <v>3552</v>
      </c>
      <c r="G21" s="2119">
        <v>12</v>
      </c>
      <c r="H21" s="1477">
        <v>56.779661016949156</v>
      </c>
      <c r="I21" s="1478">
        <f t="shared" si="12"/>
        <v>681.3559322033899</v>
      </c>
      <c r="J21" s="3334"/>
      <c r="K21" s="3337"/>
      <c r="L21" s="3337"/>
      <c r="M21" s="3340"/>
      <c r="N21" s="2210" t="s">
        <v>3722</v>
      </c>
      <c r="O21" s="1480">
        <f>+O20*0.18</f>
        <v>1462.3126779661015</v>
      </c>
      <c r="P21" s="1481">
        <f>+I21*N22</f>
        <v>2230.7593220338986</v>
      </c>
      <c r="Q21" s="1471">
        <f t="shared" si="13"/>
        <v>185.89661016949154</v>
      </c>
      <c r="R21" s="1471">
        <f t="shared" si="14"/>
        <v>33.461389830508473</v>
      </c>
      <c r="S21" s="1472">
        <f t="shared" si="15"/>
        <v>219.358</v>
      </c>
      <c r="U21" s="693">
        <f>320*2.8</f>
        <v>896</v>
      </c>
      <c r="V21" s="693">
        <f>347*2.8</f>
        <v>971.59999999999991</v>
      </c>
      <c r="W21" s="1493">
        <f t="shared" si="16"/>
        <v>67</v>
      </c>
      <c r="X21" s="2037">
        <f t="shared" si="17"/>
        <v>67</v>
      </c>
      <c r="Z21" s="822"/>
      <c r="AB21" s="822"/>
      <c r="AF21" s="3224"/>
    </row>
    <row r="22" spans="2:32" ht="13.7" customHeight="1" thickBot="1">
      <c r="B22" s="1494"/>
      <c r="C22" s="1483"/>
      <c r="D22" s="1484"/>
      <c r="E22" s="3342"/>
      <c r="F22" s="1485"/>
      <c r="G22" s="2377">
        <v>4.5000000000000001E-42</v>
      </c>
      <c r="H22" s="2378">
        <v>0</v>
      </c>
      <c r="I22" s="2379">
        <f t="shared" si="12"/>
        <v>0</v>
      </c>
      <c r="J22" s="3343"/>
      <c r="K22" s="3344"/>
      <c r="L22" s="3344"/>
      <c r="M22" s="3345"/>
      <c r="N22" s="1489">
        <f>(3.272+3.276)/2</f>
        <v>3.274</v>
      </c>
      <c r="O22" s="1490">
        <f>+O21+O20+N20</f>
        <v>9586.2720000000008</v>
      </c>
      <c r="P22" s="1491">
        <f>+I22*N22</f>
        <v>0</v>
      </c>
      <c r="Q22" s="1471">
        <f t="shared" si="13"/>
        <v>0</v>
      </c>
      <c r="R22" s="1471">
        <f t="shared" si="14"/>
        <v>0</v>
      </c>
      <c r="S22" s="1472">
        <f t="shared" si="15"/>
        <v>0</v>
      </c>
      <c r="U22" s="693">
        <v>550</v>
      </c>
      <c r="V22" s="693">
        <v>550</v>
      </c>
      <c r="W22" s="1499">
        <f t="shared" si="16"/>
        <v>0</v>
      </c>
      <c r="X22" s="2037">
        <f t="shared" si="17"/>
        <v>0</v>
      </c>
      <c r="Z22" s="822">
        <v>8</v>
      </c>
      <c r="AA22" t="s">
        <v>3552</v>
      </c>
      <c r="AB22" s="822">
        <v>56.779699999999998</v>
      </c>
      <c r="AC22">
        <f>+Z22*AB22</f>
        <v>454.23759999999999</v>
      </c>
      <c r="AF22" s="3224">
        <f>+AB22*1.18</f>
        <v>67.000045999999998</v>
      </c>
    </row>
    <row r="23" spans="2:32" ht="15.75">
      <c r="B23" s="1494"/>
      <c r="C23" s="1474">
        <v>43676</v>
      </c>
      <c r="D23" s="1463"/>
      <c r="E23" s="3330" t="s">
        <v>3812</v>
      </c>
      <c r="F23" s="1464" t="s">
        <v>3329</v>
      </c>
      <c r="G23" s="1465">
        <v>12</v>
      </c>
      <c r="H23" s="1466">
        <f>175/(1.18)</f>
        <v>148.30508474576271</v>
      </c>
      <c r="I23" s="1467">
        <f t="shared" ref="I23:I28" si="24">+H23*G23</f>
        <v>1779.6610169491526</v>
      </c>
      <c r="J23" s="3333">
        <f>SUM(I23:I25)</f>
        <v>4102.3728813559319</v>
      </c>
      <c r="K23" s="3336">
        <f>+J23*0.18</f>
        <v>738.42711864406772</v>
      </c>
      <c r="L23" s="3336"/>
      <c r="M23" s="3339">
        <f>+K23+J23</f>
        <v>4840.7999999999993</v>
      </c>
      <c r="N23" s="1468">
        <f>+L23</f>
        <v>0</v>
      </c>
      <c r="O23" s="1469">
        <f>SUM(P23:P25)</f>
        <v>13531.676949152541</v>
      </c>
      <c r="P23" s="1470">
        <f>+I23*N25</f>
        <v>5870.2118644067796</v>
      </c>
      <c r="Q23" s="1471">
        <f t="shared" ref="Q23:Q28" si="25">+P23/G23</f>
        <v>489.1843220338983</v>
      </c>
      <c r="R23" s="1471">
        <f t="shared" ref="R23:R28" si="26">+Q23*0.18</f>
        <v>88.053177966101686</v>
      </c>
      <c r="S23" s="1472">
        <f t="shared" ref="S23:S28" si="27">+R23+Q23</f>
        <v>577.23749999999995</v>
      </c>
      <c r="T23" s="652">
        <f>+H23*1.18*N25</f>
        <v>577.23749999999995</v>
      </c>
      <c r="U23" s="693">
        <f>+T23*1.02</f>
        <v>588.78224999999998</v>
      </c>
      <c r="W23" s="1493">
        <f t="shared" ref="W23:W28" si="28">+H23*1.18</f>
        <v>175</v>
      </c>
      <c r="X23" s="2037">
        <f t="shared" ref="X23:X28" si="29">+H23*1.18</f>
        <v>175</v>
      </c>
      <c r="Z23" s="822">
        <v>14</v>
      </c>
      <c r="AA23" t="s">
        <v>2391</v>
      </c>
      <c r="AB23" s="822">
        <v>55.932200000000002</v>
      </c>
      <c r="AC23" s="437">
        <f>+Z23*AB23</f>
        <v>783.05079999999998</v>
      </c>
      <c r="AF23" s="3224">
        <f>+AB23*1.18</f>
        <v>65.999995999999996</v>
      </c>
    </row>
    <row r="24" spans="2:32" ht="15.75">
      <c r="B24" s="1494"/>
      <c r="C24" s="1474">
        <v>43676</v>
      </c>
      <c r="D24" s="1463" t="s">
        <v>426</v>
      </c>
      <c r="E24" s="3331"/>
      <c r="F24" s="1475" t="s">
        <v>3552</v>
      </c>
      <c r="G24" s="2119">
        <v>12</v>
      </c>
      <c r="H24" s="1477">
        <f>66/(1.18)</f>
        <v>55.932203389830512</v>
      </c>
      <c r="I24" s="1478">
        <f t="shared" si="24"/>
        <v>671.18644067796617</v>
      </c>
      <c r="J24" s="3334"/>
      <c r="K24" s="3337"/>
      <c r="L24" s="3337"/>
      <c r="M24" s="3340"/>
      <c r="N24" s="2210" t="s">
        <v>3813</v>
      </c>
      <c r="O24" s="1480">
        <f>+O23*0.18</f>
        <v>2435.7018508474571</v>
      </c>
      <c r="P24" s="1481">
        <f>+I24*N25</f>
        <v>2213.9084745762711</v>
      </c>
      <c r="Q24" s="1471">
        <f t="shared" si="25"/>
        <v>184.49237288135592</v>
      </c>
      <c r="R24" s="1471">
        <f t="shared" si="26"/>
        <v>33.208627118644067</v>
      </c>
      <c r="S24" s="1472">
        <f t="shared" si="27"/>
        <v>217.70099999999999</v>
      </c>
      <c r="U24" s="693">
        <f>320*2.8</f>
        <v>896</v>
      </c>
      <c r="V24" s="693">
        <f>347*2.8</f>
        <v>971.59999999999991</v>
      </c>
      <c r="W24" s="1493">
        <f t="shared" si="28"/>
        <v>66</v>
      </c>
      <c r="X24" s="2037">
        <f t="shared" si="29"/>
        <v>66</v>
      </c>
      <c r="Z24" s="3226">
        <f>+Z23+Z22</f>
        <v>22</v>
      </c>
      <c r="AA24" s="3225" t="s">
        <v>4036</v>
      </c>
      <c r="AB24" s="822"/>
      <c r="AD24" s="3224">
        <f>+AC23+AC22</f>
        <v>1237.2883999999999</v>
      </c>
    </row>
    <row r="25" spans="2:32" ht="13.7" customHeight="1" thickBot="1">
      <c r="B25" s="1494"/>
      <c r="C25" s="1483">
        <v>43676</v>
      </c>
      <c r="D25" s="1484"/>
      <c r="E25" s="3342"/>
      <c r="F25" s="2694" t="s">
        <v>2389</v>
      </c>
      <c r="G25" s="2120">
        <v>8</v>
      </c>
      <c r="H25" s="1487">
        <f>243.6/(1.18)</f>
        <v>206.4406779661017</v>
      </c>
      <c r="I25" s="1488">
        <f t="shared" si="24"/>
        <v>1651.5254237288136</v>
      </c>
      <c r="J25" s="3343"/>
      <c r="K25" s="3344"/>
      <c r="L25" s="3344"/>
      <c r="M25" s="3345"/>
      <c r="N25" s="1489">
        <f>(3.297+3.3)/2</f>
        <v>3.2984999999999998</v>
      </c>
      <c r="O25" s="1490">
        <f>+O24+O23+N23</f>
        <v>15967.378799999999</v>
      </c>
      <c r="P25" s="1491">
        <f>+I25*N25</f>
        <v>5447.5566101694913</v>
      </c>
      <c r="Q25" s="1471">
        <f t="shared" si="25"/>
        <v>680.94457627118641</v>
      </c>
      <c r="R25" s="1471">
        <f t="shared" si="26"/>
        <v>122.57002372881355</v>
      </c>
      <c r="S25" s="1472">
        <f t="shared" si="27"/>
        <v>803.51459999999997</v>
      </c>
      <c r="U25" s="693">
        <v>550</v>
      </c>
      <c r="V25" s="693">
        <v>550</v>
      </c>
      <c r="W25" s="1499">
        <f t="shared" si="28"/>
        <v>243.6</v>
      </c>
      <c r="X25" s="2037">
        <f t="shared" si="29"/>
        <v>243.6</v>
      </c>
      <c r="Z25" s="822"/>
      <c r="AB25" s="822"/>
      <c r="AD25" s="2873"/>
      <c r="AE25" s="2408"/>
    </row>
    <row r="26" spans="2:32" ht="15.75">
      <c r="B26" s="1494"/>
      <c r="C26" s="1474">
        <v>43731</v>
      </c>
      <c r="D26" s="1463"/>
      <c r="E26" s="3330" t="s">
        <v>3881</v>
      </c>
      <c r="F26" s="1464" t="s">
        <v>2389</v>
      </c>
      <c r="G26" s="1465">
        <v>8</v>
      </c>
      <c r="H26" s="1466">
        <f>243.6/(1.18)</f>
        <v>206.4406779661017</v>
      </c>
      <c r="I26" s="1467">
        <f t="shared" si="24"/>
        <v>1651.5254237288136</v>
      </c>
      <c r="J26" s="3333">
        <f>SUM(I26:I28)</f>
        <v>3113.898305084746</v>
      </c>
      <c r="K26" s="3336">
        <f>+J26*0.18</f>
        <v>560.50169491525423</v>
      </c>
      <c r="L26" s="3336"/>
      <c r="M26" s="3339">
        <f>+K26+J26</f>
        <v>3674.4</v>
      </c>
      <c r="N26" s="1468">
        <f>+L26</f>
        <v>0</v>
      </c>
      <c r="O26" s="1469">
        <f>SUM(P26:P28)</f>
        <v>10271.193559322033</v>
      </c>
      <c r="P26" s="1470">
        <f>+I26*N28</f>
        <v>5447.5566101694913</v>
      </c>
      <c r="Q26" s="1471">
        <f t="shared" si="25"/>
        <v>680.94457627118641</v>
      </c>
      <c r="R26" s="1471">
        <f t="shared" si="26"/>
        <v>122.57002372881355</v>
      </c>
      <c r="S26" s="1472">
        <f t="shared" si="27"/>
        <v>803.51459999999997</v>
      </c>
      <c r="T26" s="652">
        <f>+H26*1.18*N28</f>
        <v>803.51459999999997</v>
      </c>
      <c r="U26" s="693">
        <f>+T26*1.02</f>
        <v>819.58489199999997</v>
      </c>
      <c r="W26" s="1493">
        <f t="shared" si="28"/>
        <v>243.6</v>
      </c>
      <c r="X26" s="2037">
        <f t="shared" si="29"/>
        <v>243.6</v>
      </c>
      <c r="Z26" s="822"/>
      <c r="AB26" s="822"/>
      <c r="AD26" s="3223">
        <f>SUM(AC17:AC23)</f>
        <v>5081.3566000000001</v>
      </c>
    </row>
    <row r="27" spans="2:32" ht="15.75">
      <c r="B27" s="1494"/>
      <c r="C27" s="1474">
        <v>43731</v>
      </c>
      <c r="D27" s="1463" t="s">
        <v>426</v>
      </c>
      <c r="E27" s="3331"/>
      <c r="F27" s="1475" t="s">
        <v>2390</v>
      </c>
      <c r="G27" s="2119">
        <v>6</v>
      </c>
      <c r="H27" s="1477">
        <f>243.6/(1.18)</f>
        <v>206.4406779661017</v>
      </c>
      <c r="I27" s="1478">
        <f t="shared" si="24"/>
        <v>1238.6440677966102</v>
      </c>
      <c r="J27" s="3334"/>
      <c r="K27" s="3337"/>
      <c r="L27" s="3337"/>
      <c r="M27" s="3340"/>
      <c r="N27" s="2210" t="s">
        <v>3882</v>
      </c>
      <c r="O27" s="1480">
        <f>+O26*0.18</f>
        <v>1848.814840677966</v>
      </c>
      <c r="P27" s="1481">
        <f>+I27*N28</f>
        <v>4085.6674576271184</v>
      </c>
      <c r="Q27" s="1471">
        <f t="shared" si="25"/>
        <v>680.94457627118641</v>
      </c>
      <c r="R27" s="1471">
        <f t="shared" si="26"/>
        <v>122.57002372881355</v>
      </c>
      <c r="S27" s="1472">
        <f t="shared" si="27"/>
        <v>803.51459999999997</v>
      </c>
      <c r="U27" s="693">
        <f>320*2.8</f>
        <v>896</v>
      </c>
      <c r="V27" s="693">
        <f>347*2.8</f>
        <v>971.59999999999991</v>
      </c>
      <c r="W27" s="1493">
        <f t="shared" si="28"/>
        <v>243.6</v>
      </c>
      <c r="X27" s="2037">
        <f t="shared" si="29"/>
        <v>243.6</v>
      </c>
      <c r="Z27" s="822"/>
      <c r="AB27" s="822"/>
      <c r="AD27" s="3223">
        <f>+AD26*0.18</f>
        <v>914.64418799999999</v>
      </c>
    </row>
    <row r="28" spans="2:32" ht="13.7" customHeight="1" thickBot="1">
      <c r="B28" s="1494"/>
      <c r="C28" s="1483">
        <v>43731</v>
      </c>
      <c r="D28" s="1484"/>
      <c r="E28" s="3342"/>
      <c r="F28" s="2694" t="s">
        <v>2391</v>
      </c>
      <c r="G28" s="2120">
        <v>4</v>
      </c>
      <c r="H28" s="1487">
        <f>66/(1.18)</f>
        <v>55.932203389830512</v>
      </c>
      <c r="I28" s="1488">
        <f t="shared" si="24"/>
        <v>223.72881355932205</v>
      </c>
      <c r="J28" s="3343"/>
      <c r="K28" s="3344"/>
      <c r="L28" s="3344"/>
      <c r="M28" s="3345"/>
      <c r="N28" s="1489">
        <f>(3.297+3.3)/2</f>
        <v>3.2984999999999998</v>
      </c>
      <c r="O28" s="1490">
        <f>+O27+O26+N26</f>
        <v>12120.008399999999</v>
      </c>
      <c r="P28" s="1491">
        <f>+I28*N28</f>
        <v>737.96949152542368</v>
      </c>
      <c r="Q28" s="1471">
        <f t="shared" si="25"/>
        <v>184.49237288135592</v>
      </c>
      <c r="R28" s="1471">
        <f t="shared" si="26"/>
        <v>33.208627118644067</v>
      </c>
      <c r="S28" s="1472">
        <f t="shared" si="27"/>
        <v>217.70099999999999</v>
      </c>
      <c r="U28" s="693">
        <v>550</v>
      </c>
      <c r="V28" s="693">
        <v>550</v>
      </c>
      <c r="W28" s="1499">
        <f t="shared" si="28"/>
        <v>66</v>
      </c>
      <c r="X28" s="2037">
        <f t="shared" si="29"/>
        <v>66</v>
      </c>
      <c r="Z28" s="822"/>
      <c r="AB28" s="822"/>
      <c r="AD28" s="3222">
        <f>+AD27+AD26</f>
        <v>5996.0007880000003</v>
      </c>
    </row>
    <row r="29" spans="2:32" ht="15.75">
      <c r="B29" s="1494"/>
      <c r="C29" s="1474">
        <v>43769</v>
      </c>
      <c r="D29" s="1463"/>
      <c r="E29" s="3330" t="s">
        <v>3966</v>
      </c>
      <c r="F29" s="1464" t="s">
        <v>3967</v>
      </c>
      <c r="G29" s="1465">
        <v>4</v>
      </c>
      <c r="H29" s="1466">
        <f>400/(1.18)</f>
        <v>338.98305084745766</v>
      </c>
      <c r="I29" s="1467">
        <f t="shared" si="12"/>
        <v>1355.9322033898306</v>
      </c>
      <c r="J29" s="3333">
        <f>SUM(I29:I31)</f>
        <v>2989.8305084745766</v>
      </c>
      <c r="K29" s="3336">
        <f>+J29*0.18</f>
        <v>538.16949152542372</v>
      </c>
      <c r="L29" s="3336"/>
      <c r="M29" s="3339">
        <f>+K29+J29</f>
        <v>3528.0000000000005</v>
      </c>
      <c r="N29" s="1468">
        <f>+L29</f>
        <v>0</v>
      </c>
      <c r="O29" s="1469">
        <f>SUM(P29:P31)</f>
        <v>10006.962711864409</v>
      </c>
      <c r="P29" s="1470">
        <f>+I29*N31</f>
        <v>4538.3050847457635</v>
      </c>
      <c r="Q29" s="1471">
        <f t="shared" si="13"/>
        <v>1134.5762711864409</v>
      </c>
      <c r="R29" s="1471">
        <f t="shared" si="14"/>
        <v>204.22372881355935</v>
      </c>
      <c r="S29" s="1472">
        <f t="shared" si="15"/>
        <v>1338.8000000000002</v>
      </c>
      <c r="T29" s="652">
        <f>+H29*1.18*N31</f>
        <v>1338.8000000000002</v>
      </c>
      <c r="U29" s="693">
        <f>+T29*1.02</f>
        <v>1365.5760000000002</v>
      </c>
      <c r="W29" s="1493">
        <f t="shared" si="16"/>
        <v>400</v>
      </c>
      <c r="X29" s="2037">
        <f t="shared" si="17"/>
        <v>400</v>
      </c>
    </row>
    <row r="30" spans="2:32" ht="15.75" customHeight="1">
      <c r="B30" s="1494"/>
      <c r="C30" s="1474">
        <v>43769</v>
      </c>
      <c r="D30" s="1463" t="s">
        <v>426</v>
      </c>
      <c r="E30" s="3331"/>
      <c r="F30" s="1475" t="s">
        <v>3968</v>
      </c>
      <c r="G30" s="2119">
        <v>4</v>
      </c>
      <c r="H30" s="1477">
        <f>152/(1.18)</f>
        <v>128.81355932203391</v>
      </c>
      <c r="I30" s="1478">
        <f t="shared" si="12"/>
        <v>515.25423728813564</v>
      </c>
      <c r="J30" s="3334"/>
      <c r="K30" s="3337"/>
      <c r="L30" s="3337"/>
      <c r="M30" s="3340"/>
      <c r="N30" s="2210" t="s">
        <v>3969</v>
      </c>
      <c r="O30" s="1480">
        <f>+O29*0.18</f>
        <v>1801.2532881355937</v>
      </c>
      <c r="P30" s="1481">
        <f>+I30*N31</f>
        <v>1724.5559322033903</v>
      </c>
      <c r="Q30" s="1471">
        <f t="shared" si="13"/>
        <v>431.13898305084757</v>
      </c>
      <c r="R30" s="1471">
        <f t="shared" si="14"/>
        <v>77.605016949152557</v>
      </c>
      <c r="S30" s="1472">
        <f t="shared" si="15"/>
        <v>508.74400000000014</v>
      </c>
      <c r="U30" s="693">
        <f>320*2.8</f>
        <v>896</v>
      </c>
      <c r="V30" s="693">
        <f>347*2.8</f>
        <v>971.59999999999991</v>
      </c>
      <c r="W30" s="1493">
        <f t="shared" si="16"/>
        <v>152</v>
      </c>
      <c r="X30" s="2037">
        <f t="shared" si="17"/>
        <v>152</v>
      </c>
    </row>
    <row r="31" spans="2:32" ht="15.75" customHeight="1" thickBot="1">
      <c r="B31" s="1494"/>
      <c r="C31" s="1483">
        <v>43769</v>
      </c>
      <c r="D31" s="1484"/>
      <c r="E31" s="3342"/>
      <c r="F31" s="2694" t="s">
        <v>2391</v>
      </c>
      <c r="G31" s="2120">
        <v>20</v>
      </c>
      <c r="H31" s="1487">
        <f>66/(1.18)</f>
        <v>55.932203389830512</v>
      </c>
      <c r="I31" s="1488">
        <f t="shared" si="12"/>
        <v>1118.6440677966102</v>
      </c>
      <c r="J31" s="3343"/>
      <c r="K31" s="3344"/>
      <c r="L31" s="3344"/>
      <c r="M31" s="3345"/>
      <c r="N31" s="1489">
        <f>(3.345+3.349)/2</f>
        <v>3.3470000000000004</v>
      </c>
      <c r="O31" s="1490">
        <f>+O30+O29+N29</f>
        <v>11808.216000000004</v>
      </c>
      <c r="P31" s="1491">
        <f>+I31*N31</f>
        <v>3744.1016949152549</v>
      </c>
      <c r="Q31" s="1471">
        <f t="shared" si="13"/>
        <v>187.20508474576275</v>
      </c>
      <c r="R31" s="1471">
        <f t="shared" si="14"/>
        <v>33.696915254237297</v>
      </c>
      <c r="S31" s="1472">
        <f t="shared" si="15"/>
        <v>220.90200000000004</v>
      </c>
      <c r="U31" s="693">
        <v>550</v>
      </c>
      <c r="V31" s="693">
        <v>550</v>
      </c>
      <c r="W31" s="1499">
        <f t="shared" si="16"/>
        <v>66</v>
      </c>
      <c r="X31" s="2037">
        <f t="shared" si="17"/>
        <v>66</v>
      </c>
    </row>
    <row r="32" spans="2:32" ht="15.75">
      <c r="B32" s="1494"/>
      <c r="C32" s="1474">
        <v>43827</v>
      </c>
      <c r="D32" s="1463"/>
      <c r="E32" s="3330" t="s">
        <v>4067</v>
      </c>
      <c r="F32" s="1464" t="s">
        <v>2390</v>
      </c>
      <c r="G32" s="1465">
        <v>2</v>
      </c>
      <c r="H32" s="1466">
        <f>243.6/(1.18)</f>
        <v>206.4406779661017</v>
      </c>
      <c r="I32" s="1467">
        <f t="shared" ref="I32:I36" si="30">+H32*G32</f>
        <v>412.88135593220341</v>
      </c>
      <c r="J32" s="3333">
        <f>SUM(I32:I36)</f>
        <v>5074.5762711864409</v>
      </c>
      <c r="K32" s="3336">
        <f>+J32*0.18</f>
        <v>913.42372881355936</v>
      </c>
      <c r="L32" s="3336"/>
      <c r="M32" s="3339">
        <f>+K32+J32</f>
        <v>5988</v>
      </c>
      <c r="N32" s="1468">
        <f>+L32</f>
        <v>0</v>
      </c>
      <c r="O32" s="1469">
        <f>SUM(P32:P36)</f>
        <v>16984.606779661022</v>
      </c>
      <c r="P32" s="1470">
        <f>+I32*N36</f>
        <v>1381.913898305085</v>
      </c>
      <c r="Q32" s="1471">
        <f t="shared" ref="Q32:Q36" si="31">+P32/G32</f>
        <v>690.95694915254251</v>
      </c>
      <c r="R32" s="1471">
        <f t="shared" ref="R32:R36" si="32">+Q32*0.18</f>
        <v>124.37225084745765</v>
      </c>
      <c r="S32" s="1472">
        <f t="shared" ref="S32:S36" si="33">+R32+Q32</f>
        <v>815.32920000000013</v>
      </c>
      <c r="T32" s="652">
        <f>+H32*1.18*N36</f>
        <v>815.32920000000013</v>
      </c>
      <c r="U32" s="693">
        <f>+T32*1.02</f>
        <v>831.63578400000017</v>
      </c>
      <c r="W32" s="1493">
        <f t="shared" ref="W32:W36" si="34">+H32*1.18</f>
        <v>243.6</v>
      </c>
      <c r="X32" s="2037">
        <f t="shared" ref="X32:X36" si="35">+H32*1.18</f>
        <v>243.6</v>
      </c>
    </row>
    <row r="33" spans="2:24" ht="15.75" customHeight="1">
      <c r="B33" s="1494"/>
      <c r="C33" s="1474">
        <v>43827</v>
      </c>
      <c r="D33" s="1463"/>
      <c r="E33" s="3331"/>
      <c r="F33" s="1475" t="s">
        <v>2389</v>
      </c>
      <c r="G33" s="2119">
        <v>8</v>
      </c>
      <c r="H33" s="1477">
        <f>243.6/(1.18)</f>
        <v>206.4406779661017</v>
      </c>
      <c r="I33" s="1478">
        <f t="shared" ref="I33:I34" si="36">+H33*G33</f>
        <v>1651.5254237288136</v>
      </c>
      <c r="J33" s="3334"/>
      <c r="K33" s="3337"/>
      <c r="L33" s="3337"/>
      <c r="M33" s="3340"/>
      <c r="N33" s="2210"/>
      <c r="O33" s="1480"/>
      <c r="P33" s="1481">
        <f>+I33*N36</f>
        <v>5527.6555932203401</v>
      </c>
      <c r="Q33" s="1471">
        <f t="shared" ref="Q33:Q34" si="37">+P33/G33</f>
        <v>690.95694915254251</v>
      </c>
      <c r="R33" s="1471">
        <f t="shared" ref="R33:R34" si="38">+Q33*0.18</f>
        <v>124.37225084745765</v>
      </c>
      <c r="S33" s="1472">
        <f t="shared" ref="S33:S34" si="39">+R33+Q33</f>
        <v>815.32920000000013</v>
      </c>
      <c r="U33" s="693">
        <f t="shared" ref="U33:U34" si="40">320*2.8</f>
        <v>896</v>
      </c>
      <c r="V33" s="693">
        <f t="shared" ref="V33:V34" si="41">347*2.8</f>
        <v>971.59999999999991</v>
      </c>
      <c r="W33" s="1493">
        <f t="shared" ref="W33:W34" si="42">+H33*1.18</f>
        <v>243.6</v>
      </c>
      <c r="X33" s="2037">
        <f t="shared" ref="X33:X34" si="43">+H33*1.18</f>
        <v>243.6</v>
      </c>
    </row>
    <row r="34" spans="2:24" ht="15.75" customHeight="1">
      <c r="B34" s="1494"/>
      <c r="C34" s="1474">
        <v>43827</v>
      </c>
      <c r="D34" s="1463" t="s">
        <v>426</v>
      </c>
      <c r="E34" s="3331"/>
      <c r="F34" s="1475" t="s">
        <v>3329</v>
      </c>
      <c r="G34" s="2119">
        <v>12</v>
      </c>
      <c r="H34" s="1477">
        <f>175/(1.18)</f>
        <v>148.30508474576271</v>
      </c>
      <c r="I34" s="1478">
        <f t="shared" si="36"/>
        <v>1779.6610169491526</v>
      </c>
      <c r="J34" s="3334"/>
      <c r="K34" s="3337"/>
      <c r="L34" s="3337"/>
      <c r="M34" s="3340"/>
      <c r="N34" s="2210" t="s">
        <v>4068</v>
      </c>
      <c r="O34" s="1480">
        <f>+O32*0.18</f>
        <v>3057.2292203389839</v>
      </c>
      <c r="P34" s="1481">
        <f>+I34*N36</f>
        <v>5956.5254237288145</v>
      </c>
      <c r="Q34" s="1471">
        <f t="shared" si="37"/>
        <v>496.37711864406788</v>
      </c>
      <c r="R34" s="1471">
        <f t="shared" si="38"/>
        <v>89.347881355932216</v>
      </c>
      <c r="S34" s="1472">
        <f t="shared" si="39"/>
        <v>585.72500000000014</v>
      </c>
      <c r="U34" s="693">
        <f t="shared" si="40"/>
        <v>896</v>
      </c>
      <c r="V34" s="693">
        <f t="shared" si="41"/>
        <v>971.59999999999991</v>
      </c>
      <c r="W34" s="1493">
        <f t="shared" si="42"/>
        <v>175</v>
      </c>
      <c r="X34" s="2037">
        <f t="shared" si="43"/>
        <v>175</v>
      </c>
    </row>
    <row r="35" spans="2:24" ht="15.75" customHeight="1">
      <c r="B35" s="1494"/>
      <c r="C35" s="1474">
        <v>43827</v>
      </c>
      <c r="D35" s="1463"/>
      <c r="E35" s="3331"/>
      <c r="F35" s="1475" t="s">
        <v>3552</v>
      </c>
      <c r="G35" s="2119">
        <v>8</v>
      </c>
      <c r="H35" s="1477">
        <f>66/(1.18)</f>
        <v>55.932203389830512</v>
      </c>
      <c r="I35" s="1478">
        <f t="shared" si="30"/>
        <v>447.4576271186441</v>
      </c>
      <c r="J35" s="3334"/>
      <c r="K35" s="3337"/>
      <c r="L35" s="3337"/>
      <c r="M35" s="3340"/>
      <c r="N35" s="2210"/>
      <c r="O35" s="1480"/>
      <c r="P35" s="1481">
        <f>+I35*N36</f>
        <v>1497.640677966102</v>
      </c>
      <c r="Q35" s="1471">
        <f t="shared" si="31"/>
        <v>187.20508474576275</v>
      </c>
      <c r="R35" s="1471">
        <f t="shared" si="32"/>
        <v>33.696915254237297</v>
      </c>
      <c r="S35" s="1472">
        <f t="shared" si="33"/>
        <v>220.90200000000004</v>
      </c>
      <c r="U35" s="693">
        <f>320*2.8</f>
        <v>896</v>
      </c>
      <c r="V35" s="693">
        <f>347*2.8</f>
        <v>971.59999999999991</v>
      </c>
      <c r="W35" s="1493">
        <f t="shared" si="34"/>
        <v>66</v>
      </c>
      <c r="X35" s="2037">
        <f t="shared" si="35"/>
        <v>66</v>
      </c>
    </row>
    <row r="36" spans="2:24" ht="15.75" customHeight="1" thickBot="1">
      <c r="B36" s="1494"/>
      <c r="C36" s="1483">
        <v>43827</v>
      </c>
      <c r="D36" s="1484"/>
      <c r="E36" s="3342"/>
      <c r="F36" s="2694" t="s">
        <v>2391</v>
      </c>
      <c r="G36" s="2120">
        <v>14</v>
      </c>
      <c r="H36" s="1487">
        <f>66/(1.18)</f>
        <v>55.932203389830512</v>
      </c>
      <c r="I36" s="1488">
        <f t="shared" si="30"/>
        <v>783.05084745762713</v>
      </c>
      <c r="J36" s="3343"/>
      <c r="K36" s="3344"/>
      <c r="L36" s="3344"/>
      <c r="M36" s="3345"/>
      <c r="N36" s="1489">
        <f>(3.345+3.349)/2</f>
        <v>3.3470000000000004</v>
      </c>
      <c r="O36" s="1490">
        <f>+O34+O32+N32</f>
        <v>20041.836000000007</v>
      </c>
      <c r="P36" s="1491">
        <f>+I36*N36</f>
        <v>2620.8711864406782</v>
      </c>
      <c r="Q36" s="1471">
        <f t="shared" si="31"/>
        <v>187.20508474576272</v>
      </c>
      <c r="R36" s="1471">
        <f t="shared" si="32"/>
        <v>33.69691525423729</v>
      </c>
      <c r="S36" s="1472">
        <f t="shared" si="33"/>
        <v>220.90200000000002</v>
      </c>
      <c r="U36" s="693">
        <v>550</v>
      </c>
      <c r="V36" s="693">
        <v>550</v>
      </c>
      <c r="W36" s="1499">
        <f t="shared" si="34"/>
        <v>66</v>
      </c>
      <c r="X36" s="2037">
        <f t="shared" si="35"/>
        <v>66</v>
      </c>
    </row>
    <row r="37" spans="2:24">
      <c r="H37" s="1443">
        <f>+H8*1.18</f>
        <v>309.99779999999998</v>
      </c>
      <c r="I37" s="822">
        <f>+H11*1.18</f>
        <v>177</v>
      </c>
    </row>
    <row r="38" spans="2:24" ht="18.75" thickBot="1">
      <c r="C38" s="2881" t="s">
        <v>2990</v>
      </c>
      <c r="D38" s="1445"/>
      <c r="E38" s="1445"/>
      <c r="F38" s="1445"/>
      <c r="G38" s="1445"/>
      <c r="H38" s="1445"/>
      <c r="I38" s="1445"/>
      <c r="O38"/>
      <c r="P38"/>
      <c r="Q38"/>
      <c r="R38"/>
    </row>
    <row r="39" spans="2:24" s="463" customFormat="1" ht="34.5" thickBot="1">
      <c r="B39" s="2880"/>
      <c r="C39" s="1449" t="s">
        <v>121</v>
      </c>
      <c r="D39" s="1450" t="s">
        <v>83</v>
      </c>
      <c r="E39" s="1451" t="s">
        <v>414</v>
      </c>
      <c r="F39" s="1451" t="s">
        <v>415</v>
      </c>
      <c r="G39" s="1452" t="s">
        <v>82</v>
      </c>
      <c r="H39" s="1453" t="s">
        <v>416</v>
      </c>
      <c r="I39" s="3391" t="s">
        <v>417</v>
      </c>
      <c r="J39" s="3392"/>
      <c r="K39" s="1454" t="s">
        <v>418</v>
      </c>
      <c r="L39" s="1455" t="s">
        <v>419</v>
      </c>
      <c r="M39" s="1456" t="s">
        <v>420</v>
      </c>
      <c r="N39" s="2883"/>
      <c r="O39" s="2884"/>
      <c r="P39" s="2885"/>
      <c r="Q39" s="804" t="s">
        <v>423</v>
      </c>
      <c r="R39" s="809" t="s">
        <v>424</v>
      </c>
      <c r="S39" s="1460" t="s">
        <v>425</v>
      </c>
      <c r="T39" s="460"/>
      <c r="U39" s="928"/>
      <c r="V39" s="928"/>
      <c r="W39" s="928"/>
    </row>
    <row r="40" spans="2:24" ht="15.75">
      <c r="B40" s="2878"/>
      <c r="C40" s="1474">
        <v>43187</v>
      </c>
      <c r="D40" s="1463"/>
      <c r="E40" s="3331" t="s">
        <v>2991</v>
      </c>
      <c r="F40" s="1855" t="s">
        <v>2389</v>
      </c>
      <c r="G40" s="3023">
        <v>16</v>
      </c>
      <c r="H40" s="2334">
        <v>199.1525</v>
      </c>
      <c r="I40" s="1478">
        <f t="shared" ref="I40:I52" si="44">+H40*G40</f>
        <v>3186.44</v>
      </c>
      <c r="J40" s="3334">
        <f>SUM(I40:I43)</f>
        <v>4203.3888000000006</v>
      </c>
      <c r="K40" s="3337">
        <f>+J40*0.18</f>
        <v>756.60998400000005</v>
      </c>
      <c r="L40" s="3337"/>
      <c r="M40" s="3340">
        <f>+K40+J40</f>
        <v>4959.9987840000003</v>
      </c>
      <c r="N40" s="2335">
        <f>+L40</f>
        <v>0</v>
      </c>
      <c r="O40" s="2336">
        <f>SUM(P40:P43)</f>
        <v>13824.945763199998</v>
      </c>
      <c r="P40" s="1481">
        <f>+I40*N43</f>
        <v>10480.201159999999</v>
      </c>
      <c r="Q40" s="1471">
        <f t="shared" ref="Q40:Q52" si="45">+P40/G40</f>
        <v>655.01257249999992</v>
      </c>
      <c r="R40" s="1471">
        <f t="shared" ref="R40:R52" si="46">+Q40*0.18</f>
        <v>117.90226304999999</v>
      </c>
      <c r="S40" s="1472">
        <f t="shared" ref="S40:S52" si="47">+R40+Q40</f>
        <v>772.91483554999991</v>
      </c>
      <c r="T40" s="652">
        <f>+H40*1.18*N43</f>
        <v>772.91483554999991</v>
      </c>
      <c r="U40" s="693">
        <f>+T40*1.02</f>
        <v>788.37313226099991</v>
      </c>
      <c r="W40" s="1493">
        <f t="shared" ref="W40:W52" si="48">+H40*1.18</f>
        <v>234.99994999999998</v>
      </c>
      <c r="X40" s="2037">
        <f t="shared" ref="X40:X52" si="49">+H40*1.18</f>
        <v>234.99994999999998</v>
      </c>
    </row>
    <row r="41" spans="2:24" ht="15.75">
      <c r="B41" s="2878"/>
      <c r="C41" s="1474">
        <v>43187</v>
      </c>
      <c r="D41" s="1463" t="s">
        <v>426</v>
      </c>
      <c r="E41" s="3331"/>
      <c r="F41" s="1475" t="s">
        <v>2390</v>
      </c>
      <c r="G41" s="2119">
        <v>4</v>
      </c>
      <c r="H41" s="1477">
        <v>199.1525</v>
      </c>
      <c r="I41" s="1478">
        <f t="shared" si="44"/>
        <v>796.61</v>
      </c>
      <c r="J41" s="3334"/>
      <c r="K41" s="3337"/>
      <c r="L41" s="3337"/>
      <c r="M41" s="3340"/>
      <c r="N41" s="2210" t="s">
        <v>2992</v>
      </c>
      <c r="O41" s="1480">
        <f>+O40*0.18</f>
        <v>2488.4902373759996</v>
      </c>
      <c r="P41" s="1481">
        <f>+I41*N43</f>
        <v>2620.0502899999997</v>
      </c>
      <c r="Q41" s="1471">
        <f t="shared" si="45"/>
        <v>655.01257249999992</v>
      </c>
      <c r="R41" s="1471">
        <f t="shared" si="46"/>
        <v>117.90226304999999</v>
      </c>
      <c r="S41" s="1472">
        <f t="shared" si="47"/>
        <v>772.91483554999991</v>
      </c>
      <c r="U41" s="693">
        <f>320*2.8</f>
        <v>896</v>
      </c>
      <c r="V41" s="693">
        <f>347*2.8</f>
        <v>971.59999999999991</v>
      </c>
      <c r="W41" s="1493">
        <f t="shared" si="48"/>
        <v>234.99994999999998</v>
      </c>
      <c r="X41" s="2037">
        <f t="shared" si="49"/>
        <v>234.99994999999998</v>
      </c>
    </row>
    <row r="42" spans="2:24" ht="13.7" customHeight="1">
      <c r="B42" s="1494"/>
      <c r="C42" s="1474">
        <v>43187</v>
      </c>
      <c r="D42" s="1463"/>
      <c r="E42" s="3331"/>
      <c r="F42" s="2293" t="s">
        <v>2391</v>
      </c>
      <c r="G42" s="2119">
        <v>4</v>
      </c>
      <c r="H42" s="1477">
        <v>55.084699999999998</v>
      </c>
      <c r="I42" s="1478">
        <f t="shared" si="44"/>
        <v>220.33879999999999</v>
      </c>
      <c r="J42" s="3334"/>
      <c r="K42" s="3337"/>
      <c r="L42" s="3337"/>
      <c r="M42" s="3340"/>
      <c r="N42" s="1497"/>
      <c r="O42" s="1498"/>
      <c r="P42" s="1481">
        <f>+I42*N43</f>
        <v>724.6943131999999</v>
      </c>
      <c r="Q42" s="1471">
        <f t="shared" si="45"/>
        <v>181.17357829999997</v>
      </c>
      <c r="R42" s="1471">
        <f t="shared" si="46"/>
        <v>32.611244093999993</v>
      </c>
      <c r="S42" s="1472">
        <f t="shared" si="47"/>
        <v>213.78482239399997</v>
      </c>
      <c r="U42" s="693">
        <v>550</v>
      </c>
      <c r="V42" s="693">
        <v>550</v>
      </c>
      <c r="W42" s="1493">
        <f t="shared" si="48"/>
        <v>64.999945999999994</v>
      </c>
      <c r="X42" s="2037">
        <f t="shared" si="49"/>
        <v>64.999945999999994</v>
      </c>
    </row>
    <row r="43" spans="2:24" ht="13.7" customHeight="1" thickBot="1">
      <c r="B43" s="1494"/>
      <c r="C43" s="1483"/>
      <c r="D43" s="1484"/>
      <c r="E43" s="3342"/>
      <c r="F43" s="1485"/>
      <c r="G43" s="2377">
        <v>9.9999999999999994E-37</v>
      </c>
      <c r="H43" s="2378">
        <v>0</v>
      </c>
      <c r="I43" s="2379">
        <f t="shared" si="44"/>
        <v>0</v>
      </c>
      <c r="J43" s="3343"/>
      <c r="K43" s="3344"/>
      <c r="L43" s="3344"/>
      <c r="M43" s="3345"/>
      <c r="N43" s="2337">
        <f>(3.286+3.292)/2</f>
        <v>3.2889999999999997</v>
      </c>
      <c r="O43" s="1490">
        <f>+O41+O40+N40</f>
        <v>16313.436000575997</v>
      </c>
      <c r="P43" s="1491">
        <f>+I43*N43</f>
        <v>0</v>
      </c>
      <c r="Q43" s="1471">
        <f t="shared" si="45"/>
        <v>0</v>
      </c>
      <c r="R43" s="1471">
        <f t="shared" si="46"/>
        <v>0</v>
      </c>
      <c r="S43" s="1472">
        <f t="shared" si="47"/>
        <v>0</v>
      </c>
      <c r="U43" s="693">
        <v>550</v>
      </c>
      <c r="V43" s="693">
        <v>550</v>
      </c>
      <c r="W43" s="1499">
        <f t="shared" si="48"/>
        <v>0</v>
      </c>
      <c r="X43" s="2037">
        <f t="shared" si="49"/>
        <v>0</v>
      </c>
    </row>
    <row r="44" spans="2:24" ht="15.75">
      <c r="B44" s="1494"/>
      <c r="C44" s="1462">
        <v>43279</v>
      </c>
      <c r="D44" s="1500"/>
      <c r="E44" s="3330" t="s">
        <v>3340</v>
      </c>
      <c r="F44" s="1464" t="s">
        <v>3329</v>
      </c>
      <c r="G44" s="3018">
        <v>12</v>
      </c>
      <c r="H44" s="1466">
        <f>179/(1.18)</f>
        <v>151.69491525423729</v>
      </c>
      <c r="I44" s="1467">
        <f t="shared" si="44"/>
        <v>1820.3389830508474</v>
      </c>
      <c r="J44" s="3333">
        <f>SUM(I44:I49)</f>
        <v>4722.3728813559319</v>
      </c>
      <c r="K44" s="3336">
        <f>+J44*0.18</f>
        <v>850.02711864406774</v>
      </c>
      <c r="L44" s="3336"/>
      <c r="M44" s="3339">
        <f>+K44+J44</f>
        <v>5572.4</v>
      </c>
      <c r="N44" s="1468"/>
      <c r="O44" s="1469"/>
      <c r="P44" s="1470"/>
      <c r="Q44" s="1471">
        <f t="shared" si="45"/>
        <v>0</v>
      </c>
      <c r="R44" s="1471">
        <f t="shared" si="46"/>
        <v>0</v>
      </c>
      <c r="S44" s="1472">
        <f t="shared" si="47"/>
        <v>0</v>
      </c>
      <c r="T44" s="652">
        <f>+H44*1.18*N49</f>
        <v>582.28700000000003</v>
      </c>
      <c r="U44" s="693">
        <f>+T44*1.02</f>
        <v>593.93274000000008</v>
      </c>
      <c r="W44" s="1493">
        <f t="shared" si="48"/>
        <v>179</v>
      </c>
      <c r="X44" s="2037">
        <f t="shared" si="49"/>
        <v>179</v>
      </c>
    </row>
    <row r="45" spans="2:24" ht="15.75">
      <c r="B45" s="1494"/>
      <c r="C45" s="1474">
        <v>43279</v>
      </c>
      <c r="D45" s="1463"/>
      <c r="E45" s="3331"/>
      <c r="F45" s="1475" t="s">
        <v>2389</v>
      </c>
      <c r="G45" s="2119">
        <v>8</v>
      </c>
      <c r="H45" s="1477">
        <f t="shared" ref="H45" si="50">235/(1.18)</f>
        <v>199.15254237288136</v>
      </c>
      <c r="I45" s="1478">
        <f t="shared" si="44"/>
        <v>1593.2203389830509</v>
      </c>
      <c r="J45" s="3334"/>
      <c r="K45" s="3337"/>
      <c r="L45" s="3337"/>
      <c r="M45" s="3340"/>
      <c r="N45" s="2210"/>
      <c r="O45" s="1480"/>
      <c r="P45" s="1481"/>
      <c r="Q45" s="1471">
        <f t="shared" si="45"/>
        <v>0</v>
      </c>
      <c r="R45" s="1471">
        <f t="shared" si="46"/>
        <v>0</v>
      </c>
      <c r="S45" s="1472">
        <f t="shared" si="47"/>
        <v>0</v>
      </c>
      <c r="U45" s="693">
        <f>320*2.8</f>
        <v>896</v>
      </c>
      <c r="V45" s="693">
        <f>347*2.8</f>
        <v>971.59999999999991</v>
      </c>
      <c r="W45" s="1493">
        <f t="shared" si="48"/>
        <v>235</v>
      </c>
      <c r="X45" s="2037">
        <f t="shared" si="49"/>
        <v>235</v>
      </c>
    </row>
    <row r="46" spans="2:24" ht="13.7" customHeight="1">
      <c r="B46" s="1494"/>
      <c r="C46" s="1474">
        <v>43279</v>
      </c>
      <c r="D46" s="1463" t="s">
        <v>426</v>
      </c>
      <c r="E46" s="3331"/>
      <c r="F46" s="1475" t="s">
        <v>2390</v>
      </c>
      <c r="G46" s="2119">
        <v>2</v>
      </c>
      <c r="H46" s="1477">
        <f>235/(1.18)</f>
        <v>199.15254237288136</v>
      </c>
      <c r="I46" s="1478">
        <f t="shared" si="44"/>
        <v>398.30508474576271</v>
      </c>
      <c r="J46" s="3334"/>
      <c r="K46" s="3337"/>
      <c r="L46" s="3337"/>
      <c r="M46" s="3340"/>
      <c r="N46" s="2335">
        <f>+L44</f>
        <v>0</v>
      </c>
      <c r="O46" s="2336" t="e">
        <f>SUM(P44:P49)</f>
        <v>#VALUE!</v>
      </c>
      <c r="P46" s="1481" t="e">
        <f>+I46*N51</f>
        <v>#VALUE!</v>
      </c>
      <c r="Q46" s="1471" t="e">
        <f t="shared" si="45"/>
        <v>#VALUE!</v>
      </c>
      <c r="R46" s="1471" t="e">
        <f t="shared" si="46"/>
        <v>#VALUE!</v>
      </c>
      <c r="S46" s="1472" t="e">
        <f t="shared" si="47"/>
        <v>#VALUE!</v>
      </c>
      <c r="U46" s="693">
        <v>550</v>
      </c>
      <c r="V46" s="693">
        <v>550</v>
      </c>
      <c r="W46" s="1499">
        <f t="shared" si="48"/>
        <v>235</v>
      </c>
      <c r="X46" s="2037">
        <f t="shared" si="49"/>
        <v>235</v>
      </c>
    </row>
    <row r="47" spans="2:24" ht="15.75">
      <c r="B47" s="1494"/>
      <c r="C47" s="1474">
        <v>43279</v>
      </c>
      <c r="D47" s="1463"/>
      <c r="E47" s="3331"/>
      <c r="F47" s="1475" t="s">
        <v>2391</v>
      </c>
      <c r="G47" s="3015">
        <v>12</v>
      </c>
      <c r="H47" s="1477">
        <f>65/(1.18)</f>
        <v>55.084745762711869</v>
      </c>
      <c r="I47" s="1478">
        <f t="shared" si="44"/>
        <v>661.01694915254245</v>
      </c>
      <c r="J47" s="3334"/>
      <c r="K47" s="3337"/>
      <c r="L47" s="3337"/>
      <c r="M47" s="3340"/>
      <c r="N47" s="2210" t="s">
        <v>3353</v>
      </c>
      <c r="O47" s="1480" t="e">
        <f>+O46*0.18</f>
        <v>#VALUE!</v>
      </c>
      <c r="P47" s="1481">
        <f>+I47*N49</f>
        <v>2150.2881355932209</v>
      </c>
      <c r="Q47" s="1471">
        <f t="shared" si="45"/>
        <v>179.19067796610173</v>
      </c>
      <c r="R47" s="1471">
        <f t="shared" si="46"/>
        <v>32.254322033898312</v>
      </c>
      <c r="S47" s="1472">
        <f t="shared" si="47"/>
        <v>211.44500000000005</v>
      </c>
      <c r="U47" s="693">
        <f>320*2.8</f>
        <v>896</v>
      </c>
      <c r="V47" s="693">
        <f>347*2.8</f>
        <v>971.59999999999991</v>
      </c>
      <c r="W47" s="1493">
        <f t="shared" si="48"/>
        <v>65</v>
      </c>
      <c r="X47" s="2037">
        <f t="shared" si="49"/>
        <v>65</v>
      </c>
    </row>
    <row r="48" spans="2:24" ht="15.75">
      <c r="B48" s="1494"/>
      <c r="C48" s="1474">
        <v>43279</v>
      </c>
      <c r="D48" s="1463"/>
      <c r="E48" s="3331"/>
      <c r="F48" s="1475" t="s">
        <v>465</v>
      </c>
      <c r="G48" s="2119">
        <v>16</v>
      </c>
      <c r="H48" s="1477">
        <f>10/(1.18)</f>
        <v>8.4745762711864412</v>
      </c>
      <c r="I48" s="1478">
        <f t="shared" ref="I48" si="51">+H48*G48</f>
        <v>135.59322033898306</v>
      </c>
      <c r="J48" s="3334"/>
      <c r="K48" s="3337"/>
      <c r="L48" s="3337"/>
      <c r="M48" s="3340"/>
      <c r="N48" s="2210"/>
      <c r="O48" s="1480" t="e">
        <f>+O47*0.18</f>
        <v>#VALUE!</v>
      </c>
      <c r="P48" s="1481">
        <f>+I48*N50</f>
        <v>0</v>
      </c>
      <c r="Q48" s="1471">
        <f t="shared" ref="Q48" si="52">+P48/G48</f>
        <v>0</v>
      </c>
      <c r="R48" s="1471">
        <f t="shared" ref="R48" si="53">+Q48*0.18</f>
        <v>0</v>
      </c>
      <c r="S48" s="1472">
        <f t="shared" ref="S48" si="54">+R48+Q48</f>
        <v>0</v>
      </c>
      <c r="U48" s="693">
        <f>320*2.8</f>
        <v>896</v>
      </c>
      <c r="V48" s="693">
        <f>347*2.8</f>
        <v>971.59999999999991</v>
      </c>
      <c r="W48" s="1493">
        <f t="shared" ref="W48" si="55">+H48*1.18</f>
        <v>10</v>
      </c>
      <c r="X48" s="2037">
        <f t="shared" ref="X48" si="56">+H48*1.18</f>
        <v>10</v>
      </c>
    </row>
    <row r="49" spans="2:24" ht="13.7" customHeight="1" thickBot="1">
      <c r="B49" s="1494"/>
      <c r="C49" s="1503"/>
      <c r="D49" s="1504"/>
      <c r="E49" s="3332"/>
      <c r="F49" s="1475" t="s">
        <v>468</v>
      </c>
      <c r="G49" s="2120">
        <v>8</v>
      </c>
      <c r="H49" s="1477">
        <f>16.8/(1.18)</f>
        <v>14.237288135593221</v>
      </c>
      <c r="I49" s="2343">
        <f t="shared" si="44"/>
        <v>113.89830508474577</v>
      </c>
      <c r="J49" s="3335"/>
      <c r="K49" s="3338"/>
      <c r="L49" s="3338"/>
      <c r="M49" s="3341"/>
      <c r="N49" s="3014">
        <f>(3.251+3.255)/2</f>
        <v>3.2530000000000001</v>
      </c>
      <c r="O49" s="1498" t="e">
        <f>+O47+O46+N46</f>
        <v>#VALUE!</v>
      </c>
      <c r="P49" s="1481">
        <f>+I49*N49</f>
        <v>370.51118644067799</v>
      </c>
      <c r="Q49" s="1471">
        <f t="shared" si="45"/>
        <v>46.313898305084749</v>
      </c>
      <c r="R49" s="1471">
        <f t="shared" si="46"/>
        <v>8.3365016949152544</v>
      </c>
      <c r="S49" s="1472">
        <f t="shared" si="47"/>
        <v>54.650400000000005</v>
      </c>
      <c r="U49" s="693">
        <v>550</v>
      </c>
      <c r="V49" s="693">
        <v>550</v>
      </c>
      <c r="W49" s="1499">
        <f t="shared" si="48"/>
        <v>16.8</v>
      </c>
      <c r="X49" s="2037">
        <f t="shared" si="49"/>
        <v>16.8</v>
      </c>
    </row>
    <row r="50" spans="2:24" ht="15.75">
      <c r="B50" s="1494"/>
      <c r="C50" s="1462">
        <v>43304</v>
      </c>
      <c r="D50" s="1500"/>
      <c r="E50" s="3330" t="s">
        <v>3277</v>
      </c>
      <c r="F50" s="1464" t="s">
        <v>3274</v>
      </c>
      <c r="G50" s="1465">
        <v>6</v>
      </c>
      <c r="H50" s="1466">
        <v>149</v>
      </c>
      <c r="I50" s="1467">
        <f t="shared" si="44"/>
        <v>894</v>
      </c>
      <c r="J50" s="3333">
        <f>SUM(I50:I52)</f>
        <v>1788</v>
      </c>
      <c r="K50" s="3336">
        <f>+J50*0.18</f>
        <v>321.83999999999997</v>
      </c>
      <c r="L50" s="3336"/>
      <c r="M50" s="3339">
        <f>+K50+J50</f>
        <v>2109.84</v>
      </c>
      <c r="N50" s="1468">
        <f>+L50</f>
        <v>0</v>
      </c>
      <c r="O50" s="1469">
        <f>SUM(P50:P52)</f>
        <v>5853.9120000000003</v>
      </c>
      <c r="P50" s="1470">
        <f>+I50*N52</f>
        <v>2926.9560000000001</v>
      </c>
      <c r="Q50" s="1471">
        <f t="shared" si="45"/>
        <v>487.82600000000002</v>
      </c>
      <c r="R50" s="1471">
        <f t="shared" si="46"/>
        <v>87.808679999999995</v>
      </c>
      <c r="S50" s="1472">
        <f t="shared" si="47"/>
        <v>575.63468</v>
      </c>
      <c r="T50" s="652">
        <f>+H50*1.18*N52</f>
        <v>575.63468</v>
      </c>
      <c r="U50" s="693">
        <f>+T50*1.02</f>
        <v>587.14737360000004</v>
      </c>
      <c r="W50" s="1493">
        <f t="shared" si="48"/>
        <v>175.82</v>
      </c>
      <c r="X50" s="2037">
        <f t="shared" si="49"/>
        <v>175.82</v>
      </c>
    </row>
    <row r="51" spans="2:24" ht="15.75">
      <c r="B51" s="1494"/>
      <c r="C51" s="1474">
        <v>43304</v>
      </c>
      <c r="D51" s="1463" t="s">
        <v>2432</v>
      </c>
      <c r="E51" s="3331"/>
      <c r="F51" s="1475" t="s">
        <v>3274</v>
      </c>
      <c r="G51" s="2119">
        <v>6</v>
      </c>
      <c r="H51" s="1477">
        <v>149</v>
      </c>
      <c r="I51" s="1478">
        <f t="shared" si="44"/>
        <v>894</v>
      </c>
      <c r="J51" s="3334"/>
      <c r="K51" s="3337"/>
      <c r="L51" s="3337"/>
      <c r="M51" s="3340"/>
      <c r="N51" s="2210" t="s">
        <v>3275</v>
      </c>
      <c r="O51" s="1480">
        <f>+O50*0.18</f>
        <v>1053.70416</v>
      </c>
      <c r="P51" s="1481">
        <f>+I51*N52</f>
        <v>2926.9560000000001</v>
      </c>
      <c r="Q51" s="1471">
        <f t="shared" si="45"/>
        <v>487.82600000000002</v>
      </c>
      <c r="R51" s="1471">
        <f t="shared" si="46"/>
        <v>87.808679999999995</v>
      </c>
      <c r="S51" s="1472">
        <f t="shared" si="47"/>
        <v>575.63468</v>
      </c>
      <c r="U51" s="693">
        <f>320*2.8</f>
        <v>896</v>
      </c>
      <c r="V51" s="693">
        <f>347*2.8</f>
        <v>971.59999999999991</v>
      </c>
      <c r="W51" s="1493">
        <f t="shared" si="48"/>
        <v>175.82</v>
      </c>
      <c r="X51" s="2037">
        <f t="shared" si="49"/>
        <v>175.82</v>
      </c>
    </row>
    <row r="52" spans="2:24" ht="13.7" customHeight="1" thickBot="1">
      <c r="B52" s="1494"/>
      <c r="C52" s="1503"/>
      <c r="D52" s="1504"/>
      <c r="E52" s="3332"/>
      <c r="F52" s="1541"/>
      <c r="G52" s="2341">
        <v>4.5000000000000001E-42</v>
      </c>
      <c r="H52" s="2342">
        <v>0</v>
      </c>
      <c r="I52" s="2343">
        <f t="shared" si="44"/>
        <v>0</v>
      </c>
      <c r="J52" s="3335"/>
      <c r="K52" s="3338"/>
      <c r="L52" s="3338"/>
      <c r="M52" s="3341"/>
      <c r="N52" s="2337">
        <f>(3.272+3.276)/2</f>
        <v>3.274</v>
      </c>
      <c r="O52" s="2338">
        <f>+O51+O50+N50</f>
        <v>6907.6161600000005</v>
      </c>
      <c r="P52" s="2339">
        <f>+I52*N52</f>
        <v>0</v>
      </c>
      <c r="Q52" s="1471">
        <f t="shared" si="45"/>
        <v>0</v>
      </c>
      <c r="R52" s="1471">
        <f t="shared" si="46"/>
        <v>0</v>
      </c>
      <c r="S52" s="1472">
        <f t="shared" si="47"/>
        <v>0</v>
      </c>
      <c r="U52" s="693">
        <v>550</v>
      </c>
      <c r="V52" s="693">
        <v>550</v>
      </c>
      <c r="W52" s="1499">
        <f t="shared" si="48"/>
        <v>0</v>
      </c>
      <c r="X52" s="2037">
        <f t="shared" si="49"/>
        <v>0</v>
      </c>
    </row>
    <row r="53" spans="2:24" ht="15.75">
      <c r="B53" s="1494"/>
      <c r="C53" s="1462">
        <v>43341</v>
      </c>
      <c r="D53" s="1500"/>
      <c r="E53" s="3330" t="s">
        <v>3331</v>
      </c>
      <c r="F53" s="1464" t="s">
        <v>3329</v>
      </c>
      <c r="G53" s="1465">
        <v>12</v>
      </c>
      <c r="H53" s="1466">
        <f>179/(1.18)</f>
        <v>151.69491525423729</v>
      </c>
      <c r="I53" s="1467">
        <f t="shared" ref="I53:I57" si="57">+H53*G53</f>
        <v>1820.3389830508474</v>
      </c>
      <c r="J53" s="3333">
        <f>SUM(I53:I57)</f>
        <v>3440.1355932203396</v>
      </c>
      <c r="K53" s="3336">
        <f>+J53*0.18</f>
        <v>619.22440677966108</v>
      </c>
      <c r="L53" s="3336"/>
      <c r="M53" s="3339">
        <f>+K53+J53</f>
        <v>4059.3600000000006</v>
      </c>
      <c r="N53" s="1468"/>
      <c r="O53" s="1469"/>
      <c r="P53" s="1470"/>
      <c r="Q53" s="1471">
        <f t="shared" ref="Q53:Q57" si="58">+P53/G53</f>
        <v>0</v>
      </c>
      <c r="R53" s="1471">
        <f t="shared" ref="R53:R57" si="59">+Q53*0.18</f>
        <v>0</v>
      </c>
      <c r="S53" s="1472">
        <f t="shared" ref="S53:S57" si="60">+R53+Q53</f>
        <v>0</v>
      </c>
      <c r="T53" s="652">
        <f>+H53*1.18*N57</f>
        <v>582.28700000000003</v>
      </c>
      <c r="U53" s="693">
        <f>+T53*1.02</f>
        <v>593.93274000000008</v>
      </c>
      <c r="W53" s="1493">
        <f t="shared" ref="W53:W57" si="61">+H53*1.18</f>
        <v>179</v>
      </c>
      <c r="X53" s="2037">
        <f t="shared" ref="X53:X57" si="62">+H53*1.18</f>
        <v>179</v>
      </c>
    </row>
    <row r="54" spans="2:24" ht="15.75">
      <c r="B54" s="1494"/>
      <c r="C54" s="1474">
        <v>43341</v>
      </c>
      <c r="D54" s="1463"/>
      <c r="E54" s="3331"/>
      <c r="F54" s="1475" t="s">
        <v>2812</v>
      </c>
      <c r="G54" s="3015">
        <v>2</v>
      </c>
      <c r="H54" s="1477">
        <f>91.68/(1.18)</f>
        <v>77.694915254237301</v>
      </c>
      <c r="I54" s="1478">
        <f t="shared" ref="I54" si="63">+H54*G54</f>
        <v>155.3898305084746</v>
      </c>
      <c r="J54" s="3334"/>
      <c r="K54" s="3337"/>
      <c r="L54" s="3337"/>
      <c r="M54" s="3340"/>
      <c r="N54" s="2210"/>
      <c r="O54" s="1480"/>
      <c r="P54" s="1481"/>
      <c r="Q54" s="1471">
        <f t="shared" ref="Q54:Q55" si="64">+P54/G54</f>
        <v>0</v>
      </c>
      <c r="R54" s="1471">
        <f t="shared" ref="R54:R55" si="65">+Q54*0.18</f>
        <v>0</v>
      </c>
      <c r="S54" s="1472">
        <f t="shared" ref="S54:S55" si="66">+R54+Q54</f>
        <v>0</v>
      </c>
      <c r="U54" s="693">
        <f>320*2.8</f>
        <v>896</v>
      </c>
      <c r="V54" s="693">
        <f>347*2.8</f>
        <v>971.59999999999991</v>
      </c>
      <c r="W54" s="1493">
        <f t="shared" ref="W54:W55" si="67">+H54*1.18</f>
        <v>91.68</v>
      </c>
      <c r="X54" s="2037">
        <f t="shared" ref="X54:X55" si="68">+H54*1.18</f>
        <v>91.68</v>
      </c>
    </row>
    <row r="55" spans="2:24" ht="13.7" customHeight="1">
      <c r="B55" s="1494"/>
      <c r="C55" s="1474">
        <v>43341</v>
      </c>
      <c r="D55" s="1463" t="s">
        <v>426</v>
      </c>
      <c r="E55" s="3331"/>
      <c r="F55" s="1475" t="s">
        <v>2391</v>
      </c>
      <c r="G55" s="3019">
        <v>24</v>
      </c>
      <c r="H55" s="1477">
        <f>67/(1.18)</f>
        <v>56.779661016949156</v>
      </c>
      <c r="I55" s="1478">
        <f t="shared" ref="I55" si="69">+H55*G55</f>
        <v>1362.7118644067798</v>
      </c>
      <c r="J55" s="3334"/>
      <c r="K55" s="3337"/>
      <c r="L55" s="3337"/>
      <c r="M55" s="3340"/>
      <c r="N55" s="2335">
        <f>+L53</f>
        <v>0</v>
      </c>
      <c r="O55" s="2336">
        <f>SUM(P53:P57)</f>
        <v>330.81355932203388</v>
      </c>
      <c r="P55" s="1481">
        <f>+I55*N66</f>
        <v>0</v>
      </c>
      <c r="Q55" s="1471">
        <f t="shared" si="64"/>
        <v>0</v>
      </c>
      <c r="R55" s="1471">
        <f t="shared" si="65"/>
        <v>0</v>
      </c>
      <c r="S55" s="1472">
        <f t="shared" si="66"/>
        <v>0</v>
      </c>
      <c r="U55" s="693">
        <v>550</v>
      </c>
      <c r="V55" s="693">
        <v>550</v>
      </c>
      <c r="W55" s="1499">
        <f t="shared" si="67"/>
        <v>67</v>
      </c>
      <c r="X55" s="2037">
        <f t="shared" si="68"/>
        <v>67</v>
      </c>
    </row>
    <row r="56" spans="2:24" ht="15.75">
      <c r="B56" s="1494"/>
      <c r="C56" s="1474">
        <v>43341</v>
      </c>
      <c r="D56" s="1463"/>
      <c r="E56" s="3331"/>
      <c r="F56" s="1475" t="s">
        <v>465</v>
      </c>
      <c r="G56" s="2119">
        <v>12</v>
      </c>
      <c r="H56" s="1477">
        <f>10/(1.18)</f>
        <v>8.4745762711864412</v>
      </c>
      <c r="I56" s="1478">
        <f t="shared" si="57"/>
        <v>101.69491525423729</v>
      </c>
      <c r="J56" s="3334"/>
      <c r="K56" s="3337"/>
      <c r="L56" s="3337"/>
      <c r="M56" s="3340"/>
      <c r="N56" s="2210" t="s">
        <v>3397</v>
      </c>
      <c r="O56" s="1480">
        <f>+O55*0.18</f>
        <v>59.546440677966096</v>
      </c>
      <c r="P56" s="1481">
        <f>+I56*N57</f>
        <v>330.81355932203388</v>
      </c>
      <c r="Q56" s="1471">
        <f t="shared" si="58"/>
        <v>27.567796610169491</v>
      </c>
      <c r="R56" s="1471">
        <f t="shared" si="59"/>
        <v>4.962203389830508</v>
      </c>
      <c r="S56" s="1472">
        <f t="shared" si="60"/>
        <v>32.53</v>
      </c>
      <c r="U56" s="693">
        <f>320*2.8</f>
        <v>896</v>
      </c>
      <c r="V56" s="693">
        <f>347*2.8</f>
        <v>971.59999999999991</v>
      </c>
      <c r="W56" s="1493">
        <f t="shared" si="61"/>
        <v>10</v>
      </c>
      <c r="X56" s="2037">
        <f t="shared" si="62"/>
        <v>10</v>
      </c>
    </row>
    <row r="57" spans="2:24" ht="13.7" customHeight="1" thickBot="1">
      <c r="B57" s="1494"/>
      <c r="C57" s="1503"/>
      <c r="D57" s="1504"/>
      <c r="E57" s="3332"/>
      <c r="F57" s="1541"/>
      <c r="G57" s="2341">
        <v>4.5000000000000001E-42</v>
      </c>
      <c r="H57" s="2342">
        <v>0</v>
      </c>
      <c r="I57" s="2343">
        <f t="shared" si="57"/>
        <v>0</v>
      </c>
      <c r="J57" s="3335"/>
      <c r="K57" s="3338"/>
      <c r="L57" s="3338"/>
      <c r="M57" s="3341"/>
      <c r="N57" s="3014">
        <f>(3.251+3.255)/2</f>
        <v>3.2530000000000001</v>
      </c>
      <c r="O57" s="1498">
        <f>+O56+O55+N55</f>
        <v>390.35999999999996</v>
      </c>
      <c r="P57" s="1481">
        <f>+I57*N57</f>
        <v>0</v>
      </c>
      <c r="Q57" s="1471">
        <f t="shared" si="58"/>
        <v>0</v>
      </c>
      <c r="R57" s="1471">
        <f t="shared" si="59"/>
        <v>0</v>
      </c>
      <c r="S57" s="1472">
        <f t="shared" si="60"/>
        <v>0</v>
      </c>
      <c r="U57" s="693">
        <v>550</v>
      </c>
      <c r="V57" s="693">
        <v>550</v>
      </c>
      <c r="W57" s="1499">
        <f t="shared" si="61"/>
        <v>0</v>
      </c>
      <c r="X57" s="2037">
        <f t="shared" si="62"/>
        <v>0</v>
      </c>
    </row>
    <row r="58" spans="2:24" ht="15.75">
      <c r="B58" s="1494"/>
      <c r="C58" s="1462">
        <v>43341</v>
      </c>
      <c r="D58" s="1500"/>
      <c r="E58" s="3330" t="s">
        <v>3328</v>
      </c>
      <c r="F58" s="1464" t="s">
        <v>3274</v>
      </c>
      <c r="G58" s="1465">
        <v>6</v>
      </c>
      <c r="H58" s="1466">
        <v>149</v>
      </c>
      <c r="I58" s="1467">
        <f t="shared" ref="I58:I64" si="70">+H58*G58</f>
        <v>894</v>
      </c>
      <c r="J58" s="3333">
        <f>SUM(I58:I60)</f>
        <v>1788</v>
      </c>
      <c r="K58" s="3336">
        <f>+J58*0.18</f>
        <v>321.83999999999997</v>
      </c>
      <c r="L58" s="3336"/>
      <c r="M58" s="3339">
        <f>+K58+J58</f>
        <v>2109.84</v>
      </c>
      <c r="N58" s="1468">
        <f>+L58</f>
        <v>0</v>
      </c>
      <c r="O58" s="1469">
        <f>SUM(P58:P60)</f>
        <v>5816.3640000000005</v>
      </c>
      <c r="P58" s="1470">
        <f>+I58*N60</f>
        <v>2908.1820000000002</v>
      </c>
      <c r="Q58" s="1471">
        <f t="shared" ref="Q58:Q64" si="71">+P58/G58</f>
        <v>484.69700000000006</v>
      </c>
      <c r="R58" s="1471">
        <f t="shared" ref="R58:R64" si="72">+Q58*0.18</f>
        <v>87.245460000000008</v>
      </c>
      <c r="S58" s="1472">
        <f t="shared" ref="S58:S64" si="73">+R58+Q58</f>
        <v>571.9424600000001</v>
      </c>
      <c r="T58" s="652">
        <f>+H58*1.18*N60</f>
        <v>571.94245999999998</v>
      </c>
      <c r="U58" s="693">
        <f>+T58*1.02</f>
        <v>583.38130920000003</v>
      </c>
      <c r="W58" s="1493">
        <f t="shared" ref="W58:W64" si="74">+H58*1.18</f>
        <v>175.82</v>
      </c>
      <c r="X58" s="2037">
        <f t="shared" ref="X58:X64" si="75">+H58*1.18</f>
        <v>175.82</v>
      </c>
    </row>
    <row r="59" spans="2:24" ht="15.75">
      <c r="B59" s="1494"/>
      <c r="C59" s="1474">
        <v>43341</v>
      </c>
      <c r="D59" s="1463" t="s">
        <v>2432</v>
      </c>
      <c r="E59" s="3331"/>
      <c r="F59" s="1475" t="s">
        <v>3274</v>
      </c>
      <c r="G59" s="2119">
        <v>6</v>
      </c>
      <c r="H59" s="1477">
        <v>149</v>
      </c>
      <c r="I59" s="1478">
        <f t="shared" si="70"/>
        <v>894</v>
      </c>
      <c r="J59" s="3334"/>
      <c r="K59" s="3337"/>
      <c r="L59" s="3337"/>
      <c r="M59" s="3340"/>
      <c r="N59" s="2210" t="s">
        <v>3348</v>
      </c>
      <c r="O59" s="1480">
        <f>+O58*0.18</f>
        <v>1046.94552</v>
      </c>
      <c r="P59" s="1481">
        <f>+I59*N60</f>
        <v>2908.1820000000002</v>
      </c>
      <c r="Q59" s="1471">
        <f t="shared" si="71"/>
        <v>484.69700000000006</v>
      </c>
      <c r="R59" s="1471">
        <f t="shared" si="72"/>
        <v>87.245460000000008</v>
      </c>
      <c r="S59" s="1472">
        <f t="shared" si="73"/>
        <v>571.9424600000001</v>
      </c>
      <c r="U59" s="693">
        <f>320*2.8</f>
        <v>896</v>
      </c>
      <c r="V59" s="693">
        <f>347*2.8</f>
        <v>971.59999999999991</v>
      </c>
      <c r="W59" s="1493">
        <f t="shared" si="74"/>
        <v>175.82</v>
      </c>
      <c r="X59" s="2037">
        <f t="shared" si="75"/>
        <v>175.82</v>
      </c>
    </row>
    <row r="60" spans="2:24" ht="13.7" customHeight="1" thickBot="1">
      <c r="B60" s="1494"/>
      <c r="C60" s="1503"/>
      <c r="D60" s="1504"/>
      <c r="E60" s="3332"/>
      <c r="F60" s="1541"/>
      <c r="G60" s="2341">
        <v>4.5000000000000001E-42</v>
      </c>
      <c r="H60" s="2342">
        <v>0</v>
      </c>
      <c r="I60" s="2343">
        <f t="shared" si="70"/>
        <v>0</v>
      </c>
      <c r="J60" s="3335"/>
      <c r="K60" s="3338"/>
      <c r="L60" s="3338"/>
      <c r="M60" s="3341"/>
      <c r="N60" s="2337">
        <f>(3.251+3.255)/2</f>
        <v>3.2530000000000001</v>
      </c>
      <c r="O60" s="2338">
        <f>+O59+O58+N58</f>
        <v>6863.3095200000007</v>
      </c>
      <c r="P60" s="2339">
        <f>+I60*N60</f>
        <v>0</v>
      </c>
      <c r="Q60" s="1471">
        <f t="shared" si="71"/>
        <v>0</v>
      </c>
      <c r="R60" s="1471">
        <f t="shared" si="72"/>
        <v>0</v>
      </c>
      <c r="S60" s="1472">
        <f t="shared" si="73"/>
        <v>0</v>
      </c>
      <c r="U60" s="693">
        <v>550</v>
      </c>
      <c r="V60" s="693">
        <v>550</v>
      </c>
      <c r="W60" s="1499">
        <f t="shared" si="74"/>
        <v>0</v>
      </c>
      <c r="X60" s="2037">
        <f t="shared" si="75"/>
        <v>0</v>
      </c>
    </row>
    <row r="61" spans="2:24" ht="15.75">
      <c r="B61" s="1494"/>
      <c r="C61" s="1462">
        <v>43421</v>
      </c>
      <c r="D61" s="1500"/>
      <c r="E61" s="3330" t="s">
        <v>3439</v>
      </c>
      <c r="F61" s="1464" t="s">
        <v>3329</v>
      </c>
      <c r="G61" s="1465">
        <v>12</v>
      </c>
      <c r="H61" s="1466">
        <f>179/(1.18)</f>
        <v>151.69491525423729</v>
      </c>
      <c r="I61" s="1467">
        <f t="shared" si="70"/>
        <v>1820.3389830508474</v>
      </c>
      <c r="J61" s="3333">
        <f>SUM(I61:I64)</f>
        <v>2501.6949152542375</v>
      </c>
      <c r="K61" s="3336">
        <f>+J61*0.18</f>
        <v>450.30508474576271</v>
      </c>
      <c r="L61" s="3336"/>
      <c r="M61" s="3339">
        <f>+K61+J61</f>
        <v>2952</v>
      </c>
      <c r="N61" s="1468"/>
      <c r="O61" s="1469"/>
      <c r="P61" s="1470"/>
      <c r="Q61" s="1471">
        <f t="shared" si="71"/>
        <v>0</v>
      </c>
      <c r="R61" s="1471">
        <f t="shared" si="72"/>
        <v>0</v>
      </c>
      <c r="S61" s="1472">
        <f t="shared" si="73"/>
        <v>0</v>
      </c>
      <c r="T61" s="652">
        <f>+H61*1.18*N64</f>
        <v>606.81000000000006</v>
      </c>
      <c r="U61" s="693">
        <f>+T61*1.02</f>
        <v>618.94620000000009</v>
      </c>
      <c r="W61" s="1493">
        <f t="shared" si="74"/>
        <v>179</v>
      </c>
      <c r="X61" s="2037">
        <f t="shared" si="75"/>
        <v>179</v>
      </c>
    </row>
    <row r="62" spans="2:24" ht="13.7" customHeight="1">
      <c r="B62" s="1494"/>
      <c r="C62" s="1474">
        <v>43421</v>
      </c>
      <c r="D62" s="1463" t="s">
        <v>426</v>
      </c>
      <c r="E62" s="3331"/>
      <c r="F62" s="1475" t="s">
        <v>2391</v>
      </c>
      <c r="G62" s="3019">
        <v>12</v>
      </c>
      <c r="H62" s="1477">
        <f>67/(1.18)</f>
        <v>56.779661016949156</v>
      </c>
      <c r="I62" s="1478">
        <f t="shared" ref="I62" si="76">+H62*G62</f>
        <v>681.3559322033899</v>
      </c>
      <c r="J62" s="3334"/>
      <c r="K62" s="3337"/>
      <c r="L62" s="3337"/>
      <c r="M62" s="3340"/>
      <c r="N62" s="2335">
        <f>+L61</f>
        <v>0</v>
      </c>
      <c r="O62" s="2336">
        <f>SUM(P61:P64)</f>
        <v>0</v>
      </c>
      <c r="P62" s="1481">
        <f>+I62*N74</f>
        <v>0</v>
      </c>
      <c r="Q62" s="1471">
        <f t="shared" si="71"/>
        <v>0</v>
      </c>
      <c r="R62" s="1471">
        <f t="shared" si="72"/>
        <v>0</v>
      </c>
      <c r="S62" s="1472">
        <f t="shared" si="73"/>
        <v>0</v>
      </c>
      <c r="U62" s="693">
        <v>550</v>
      </c>
      <c r="V62" s="693">
        <v>550</v>
      </c>
      <c r="W62" s="1499">
        <f t="shared" si="74"/>
        <v>67</v>
      </c>
      <c r="X62" s="2037">
        <f t="shared" si="75"/>
        <v>67</v>
      </c>
    </row>
    <row r="63" spans="2:24" ht="15">
      <c r="B63" s="1494"/>
      <c r="C63" s="1474"/>
      <c r="D63" s="1463"/>
      <c r="E63" s="3331"/>
      <c r="F63" s="1475"/>
      <c r="G63" s="3044">
        <v>1E-42</v>
      </c>
      <c r="H63" s="3042">
        <v>0</v>
      </c>
      <c r="I63" s="3043">
        <f t="shared" si="70"/>
        <v>0</v>
      </c>
      <c r="J63" s="3334"/>
      <c r="K63" s="3337"/>
      <c r="L63" s="3337"/>
      <c r="M63" s="3340"/>
      <c r="N63" s="2210" t="s">
        <v>3438</v>
      </c>
      <c r="O63" s="1480">
        <f>+O62*0.18</f>
        <v>0</v>
      </c>
      <c r="P63" s="1481">
        <f>+I63*N64</f>
        <v>0</v>
      </c>
      <c r="Q63" s="1471">
        <f t="shared" si="71"/>
        <v>0</v>
      </c>
      <c r="R63" s="1471">
        <f t="shared" si="72"/>
        <v>0</v>
      </c>
      <c r="S63" s="1472">
        <f t="shared" si="73"/>
        <v>0</v>
      </c>
      <c r="U63" s="693">
        <f>320*2.8</f>
        <v>896</v>
      </c>
      <c r="V63" s="693">
        <f>347*2.8</f>
        <v>971.59999999999991</v>
      </c>
      <c r="W63" s="1493">
        <f t="shared" si="74"/>
        <v>0</v>
      </c>
      <c r="X63" s="2037">
        <f t="shared" si="75"/>
        <v>0</v>
      </c>
    </row>
    <row r="64" spans="2:24" ht="13.7" customHeight="1">
      <c r="B64" s="1494"/>
      <c r="C64" s="1503"/>
      <c r="D64" s="1504"/>
      <c r="E64" s="3332"/>
      <c r="F64" s="1541"/>
      <c r="G64" s="2341">
        <v>1E-42</v>
      </c>
      <c r="H64" s="2342">
        <v>0</v>
      </c>
      <c r="I64" s="2343">
        <f t="shared" si="70"/>
        <v>0</v>
      </c>
      <c r="J64" s="3335"/>
      <c r="K64" s="3338"/>
      <c r="L64" s="3338"/>
      <c r="M64" s="3341"/>
      <c r="N64" s="3014">
        <v>3.39</v>
      </c>
      <c r="O64" s="1498">
        <f>+O63+O62+N62</f>
        <v>0</v>
      </c>
      <c r="P64" s="1481">
        <f>+I64*N64</f>
        <v>0</v>
      </c>
      <c r="Q64" s="1471">
        <f t="shared" si="71"/>
        <v>0</v>
      </c>
      <c r="R64" s="1471">
        <f t="shared" si="72"/>
        <v>0</v>
      </c>
      <c r="S64" s="1472">
        <f t="shared" si="73"/>
        <v>0</v>
      </c>
      <c r="U64" s="693">
        <v>550</v>
      </c>
      <c r="V64" s="693">
        <v>550</v>
      </c>
      <c r="W64" s="1499">
        <f t="shared" si="74"/>
        <v>0</v>
      </c>
      <c r="X64" s="2037">
        <f t="shared" si="75"/>
        <v>0</v>
      </c>
    </row>
    <row r="65" spans="2:24">
      <c r="H65" s="1443">
        <f>+H81*1.18</f>
        <v>220.00002599999999</v>
      </c>
      <c r="I65" s="822">
        <v>16.5</v>
      </c>
      <c r="J65" s="1446">
        <f>+H58*1.18</f>
        <v>175.82</v>
      </c>
      <c r="M65">
        <f>+H74*1.18</f>
        <v>179.99719999999999</v>
      </c>
    </row>
    <row r="66" spans="2:24" ht="18.75" thickBot="1">
      <c r="C66" s="2882" t="s">
        <v>2410</v>
      </c>
      <c r="D66" s="1445"/>
      <c r="E66" s="1445"/>
      <c r="F66" s="1445"/>
      <c r="G66" s="1445"/>
      <c r="H66" s="1445">
        <f>+H65*I66/I65</f>
        <v>160.00001890909093</v>
      </c>
      <c r="I66" s="1445">
        <v>12</v>
      </c>
      <c r="O66"/>
      <c r="P66"/>
      <c r="Q66"/>
      <c r="R66"/>
    </row>
    <row r="67" spans="2:24" s="463" customFormat="1" ht="34.5" thickBot="1">
      <c r="C67" s="1449" t="s">
        <v>121</v>
      </c>
      <c r="D67" s="1450" t="s">
        <v>83</v>
      </c>
      <c r="E67" s="1451" t="s">
        <v>414</v>
      </c>
      <c r="F67" s="1451" t="s">
        <v>415</v>
      </c>
      <c r="G67" s="1452" t="s">
        <v>82</v>
      </c>
      <c r="H67" s="1453" t="s">
        <v>416</v>
      </c>
      <c r="I67" s="3391" t="s">
        <v>417</v>
      </c>
      <c r="J67" s="3392"/>
      <c r="K67" s="1454" t="s">
        <v>418</v>
      </c>
      <c r="L67" s="1455" t="s">
        <v>419</v>
      </c>
      <c r="M67" s="1456" t="s">
        <v>420</v>
      </c>
      <c r="N67" s="1457"/>
      <c r="O67" s="1458"/>
      <c r="P67" s="1459"/>
      <c r="Q67" s="804" t="s">
        <v>423</v>
      </c>
      <c r="R67" s="809" t="s">
        <v>424</v>
      </c>
      <c r="S67" s="1460" t="s">
        <v>425</v>
      </c>
      <c r="T67" s="460"/>
      <c r="U67" s="928"/>
      <c r="V67" s="928"/>
      <c r="W67" s="928"/>
    </row>
    <row r="68" spans="2:24" ht="15.75">
      <c r="B68" s="1461"/>
      <c r="C68" s="1462">
        <v>42747</v>
      </c>
      <c r="D68" s="1500"/>
      <c r="E68" s="3330" t="s">
        <v>2438</v>
      </c>
      <c r="F68" s="1464" t="s">
        <v>2436</v>
      </c>
      <c r="G68" s="1465">
        <v>1</v>
      </c>
      <c r="H68" s="1466">
        <v>165.2542</v>
      </c>
      <c r="I68" s="1467">
        <f t="shared" ref="I68:I76" si="77">+H68*G68</f>
        <v>165.2542</v>
      </c>
      <c r="J68" s="3333">
        <f>SUM(I68:I70)</f>
        <v>330.50839999999999</v>
      </c>
      <c r="K68" s="3336">
        <f>+J68*0.18</f>
        <v>59.491512</v>
      </c>
      <c r="L68" s="3336"/>
      <c r="M68" s="3339">
        <f>+K68+J68</f>
        <v>389.99991199999999</v>
      </c>
      <c r="N68" s="1468">
        <f>+L68</f>
        <v>0</v>
      </c>
      <c r="O68" s="1469">
        <f>SUM(P68:P70)</f>
        <v>1087.0421276</v>
      </c>
      <c r="P68" s="1470">
        <f>+I68*N70</f>
        <v>543.52106379999998</v>
      </c>
      <c r="Q68" s="1471">
        <f t="shared" ref="Q68:Q76" si="78">+P68/G68</f>
        <v>543.52106379999998</v>
      </c>
      <c r="R68" s="1471">
        <f t="shared" ref="R68:R76" si="79">+Q68*0.18</f>
        <v>97.833791483999988</v>
      </c>
      <c r="S68" s="1472">
        <f t="shared" ref="S68:S76" si="80">+R68+Q68</f>
        <v>641.354855284</v>
      </c>
      <c r="T68" s="652">
        <f>+H68*1.18*N70</f>
        <v>641.35485528399988</v>
      </c>
      <c r="U68" s="693">
        <f>+T68*1.02</f>
        <v>654.18195238967985</v>
      </c>
      <c r="W68" s="1493">
        <f t="shared" ref="W68:W76" si="81">+H68*1.18</f>
        <v>194.999956</v>
      </c>
      <c r="X68" s="2037">
        <f t="shared" ref="X68:X76" si="82">+H68*1.18</f>
        <v>194.999956</v>
      </c>
    </row>
    <row r="69" spans="2:24" ht="15.75">
      <c r="B69" s="2308"/>
      <c r="C69" s="1474">
        <v>42747</v>
      </c>
      <c r="D69" s="1463" t="s">
        <v>481</v>
      </c>
      <c r="E69" s="3331"/>
      <c r="F69" s="1475" t="s">
        <v>2436</v>
      </c>
      <c r="G69" s="2119">
        <v>1</v>
      </c>
      <c r="H69" s="1477">
        <v>165.2542</v>
      </c>
      <c r="I69" s="1478">
        <f t="shared" si="77"/>
        <v>165.2542</v>
      </c>
      <c r="J69" s="3334"/>
      <c r="K69" s="3337"/>
      <c r="L69" s="3337"/>
      <c r="M69" s="3340"/>
      <c r="N69" s="2210" t="s">
        <v>2437</v>
      </c>
      <c r="O69" s="1480">
        <f>+O68*0.18</f>
        <v>195.66758296799998</v>
      </c>
      <c r="P69" s="1481">
        <f>+I69*N70</f>
        <v>543.52106379999998</v>
      </c>
      <c r="Q69" s="1471">
        <f t="shared" si="78"/>
        <v>543.52106379999998</v>
      </c>
      <c r="R69" s="1471">
        <f t="shared" si="79"/>
        <v>97.833791483999988</v>
      </c>
      <c r="S69" s="1472">
        <f t="shared" si="80"/>
        <v>641.354855284</v>
      </c>
      <c r="U69" s="693">
        <f>320*2.8</f>
        <v>896</v>
      </c>
      <c r="V69" s="693">
        <f>347*2.8</f>
        <v>971.59999999999991</v>
      </c>
      <c r="W69" s="1493">
        <f t="shared" si="81"/>
        <v>194.999956</v>
      </c>
      <c r="X69" s="2037">
        <f t="shared" si="82"/>
        <v>194.999956</v>
      </c>
    </row>
    <row r="70" spans="2:24" ht="13.7" customHeight="1" thickBot="1">
      <c r="B70" s="1494"/>
      <c r="C70" s="1503"/>
      <c r="D70" s="1504"/>
      <c r="E70" s="3332"/>
      <c r="F70" s="1541"/>
      <c r="G70" s="2341">
        <v>4.5000000000000001E-42</v>
      </c>
      <c r="H70" s="2342">
        <v>0</v>
      </c>
      <c r="I70" s="2343">
        <f t="shared" si="77"/>
        <v>0</v>
      </c>
      <c r="J70" s="3335"/>
      <c r="K70" s="3338"/>
      <c r="L70" s="3338"/>
      <c r="M70" s="3341"/>
      <c r="N70" s="2337">
        <f>(3.286+3.292)/2</f>
        <v>3.2889999999999997</v>
      </c>
      <c r="O70" s="2338">
        <f>+O69+O68+N68</f>
        <v>1282.709710568</v>
      </c>
      <c r="P70" s="2339">
        <f>+I70*N70</f>
        <v>0</v>
      </c>
      <c r="Q70" s="1471">
        <f t="shared" si="78"/>
        <v>0</v>
      </c>
      <c r="R70" s="1471">
        <f t="shared" si="79"/>
        <v>0</v>
      </c>
      <c r="S70" s="1472">
        <f t="shared" si="80"/>
        <v>0</v>
      </c>
      <c r="U70" s="693">
        <v>550</v>
      </c>
      <c r="V70" s="693">
        <v>550</v>
      </c>
      <c r="W70" s="1499">
        <f t="shared" si="81"/>
        <v>0</v>
      </c>
      <c r="X70" s="2037">
        <f t="shared" si="82"/>
        <v>0</v>
      </c>
    </row>
    <row r="71" spans="2:24" ht="15.75">
      <c r="B71" s="1494"/>
      <c r="C71" s="1462">
        <v>42760</v>
      </c>
      <c r="D71" s="1500"/>
      <c r="E71" s="3330" t="s">
        <v>2414</v>
      </c>
      <c r="F71" s="1464" t="s">
        <v>2415</v>
      </c>
      <c r="G71" s="1465">
        <v>1</v>
      </c>
      <c r="H71" s="1466">
        <f>98/(1.18)</f>
        <v>83.050847457627128</v>
      </c>
      <c r="I71" s="1467">
        <f t="shared" si="77"/>
        <v>83.050847457627128</v>
      </c>
      <c r="J71" s="3333">
        <f>SUM(I71:I73)</f>
        <v>166.10169491525426</v>
      </c>
      <c r="K71" s="3336">
        <f>+J71*0.18</f>
        <v>29.898305084745765</v>
      </c>
      <c r="L71" s="3336"/>
      <c r="M71" s="3339">
        <f>+K71+J71</f>
        <v>196.00000000000003</v>
      </c>
      <c r="N71" s="1468">
        <f>+L71</f>
        <v>0</v>
      </c>
      <c r="O71" s="1469">
        <f>SUM(P71:P73)</f>
        <v>546.30847457627124</v>
      </c>
      <c r="P71" s="1470">
        <f>+I71*N73</f>
        <v>273.15423728813562</v>
      </c>
      <c r="Q71" s="1471">
        <f t="shared" si="78"/>
        <v>273.15423728813562</v>
      </c>
      <c r="R71" s="1471">
        <f t="shared" si="79"/>
        <v>49.167762711864412</v>
      </c>
      <c r="S71" s="1472">
        <f t="shared" si="80"/>
        <v>322.322</v>
      </c>
      <c r="T71" s="652">
        <f>+H71*1.18*N73</f>
        <v>322.32199999999995</v>
      </c>
      <c r="U71" s="693">
        <f>+T71*1.02</f>
        <v>328.76843999999994</v>
      </c>
      <c r="W71" s="1493">
        <f t="shared" si="81"/>
        <v>98</v>
      </c>
      <c r="X71" s="2037">
        <f t="shared" si="82"/>
        <v>98</v>
      </c>
    </row>
    <row r="72" spans="2:24" ht="15.75">
      <c r="B72" s="2331"/>
      <c r="C72" s="1474">
        <v>42760</v>
      </c>
      <c r="D72" s="1463" t="s">
        <v>481</v>
      </c>
      <c r="E72" s="3331"/>
      <c r="F72" s="1475" t="s">
        <v>2415</v>
      </c>
      <c r="G72" s="2119">
        <v>1</v>
      </c>
      <c r="H72" s="1477">
        <v>83.050847457627128</v>
      </c>
      <c r="I72" s="1478">
        <f t="shared" si="77"/>
        <v>83.050847457627128</v>
      </c>
      <c r="J72" s="3334"/>
      <c r="K72" s="3337"/>
      <c r="L72" s="3337"/>
      <c r="M72" s="3340"/>
      <c r="N72" s="2210" t="s">
        <v>2416</v>
      </c>
      <c r="O72" s="1480">
        <f>+O71*0.18</f>
        <v>98.335525423728825</v>
      </c>
      <c r="P72" s="1481">
        <f>+I72*N73</f>
        <v>273.15423728813562</v>
      </c>
      <c r="Q72" s="1471">
        <f t="shared" si="78"/>
        <v>273.15423728813562</v>
      </c>
      <c r="R72" s="1471">
        <f t="shared" si="79"/>
        <v>49.167762711864412</v>
      </c>
      <c r="S72" s="1472">
        <f t="shared" si="80"/>
        <v>322.322</v>
      </c>
      <c r="U72" s="693">
        <f>320*2.8</f>
        <v>896</v>
      </c>
      <c r="V72" s="693">
        <f>347*2.8</f>
        <v>971.59999999999991</v>
      </c>
      <c r="W72" s="1493">
        <f t="shared" si="81"/>
        <v>98</v>
      </c>
      <c r="X72" s="2037">
        <f t="shared" si="82"/>
        <v>98</v>
      </c>
    </row>
    <row r="73" spans="2:24" ht="13.7" customHeight="1" thickBot="1">
      <c r="B73" s="1494"/>
      <c r="C73" s="1503"/>
      <c r="D73" s="1504"/>
      <c r="E73" s="3332"/>
      <c r="F73" s="1541"/>
      <c r="G73" s="2341">
        <v>4.5000000000000001E-42</v>
      </c>
      <c r="H73" s="2342">
        <v>0</v>
      </c>
      <c r="I73" s="2343">
        <f t="shared" si="77"/>
        <v>0</v>
      </c>
      <c r="J73" s="3335"/>
      <c r="K73" s="3338"/>
      <c r="L73" s="3338"/>
      <c r="M73" s="3341"/>
      <c r="N73" s="2337">
        <f>(3.286+3.292)/2</f>
        <v>3.2889999999999997</v>
      </c>
      <c r="O73" s="2338">
        <f>+O72+O71+N71</f>
        <v>644.64400000000001</v>
      </c>
      <c r="P73" s="2339">
        <f>+I73*N73</f>
        <v>0</v>
      </c>
      <c r="Q73" s="1471">
        <f t="shared" si="78"/>
        <v>0</v>
      </c>
      <c r="R73" s="1471">
        <f t="shared" si="79"/>
        <v>0</v>
      </c>
      <c r="S73" s="1472">
        <f t="shared" si="80"/>
        <v>0</v>
      </c>
      <c r="U73" s="693">
        <v>550</v>
      </c>
      <c r="V73" s="693">
        <v>550</v>
      </c>
      <c r="W73" s="1499">
        <f t="shared" si="81"/>
        <v>0</v>
      </c>
      <c r="X73" s="2037">
        <f t="shared" si="82"/>
        <v>0</v>
      </c>
    </row>
    <row r="74" spans="2:24" ht="15.75">
      <c r="B74" s="1494"/>
      <c r="C74" s="1462">
        <v>42761</v>
      </c>
      <c r="D74" s="1500"/>
      <c r="E74" s="3330" t="s">
        <v>2433</v>
      </c>
      <c r="F74" s="1464" t="s">
        <v>2434</v>
      </c>
      <c r="G74" s="1465">
        <v>1</v>
      </c>
      <c r="H74" s="1466">
        <v>152.54</v>
      </c>
      <c r="I74" s="1467">
        <f t="shared" si="77"/>
        <v>152.54</v>
      </c>
      <c r="J74" s="3333">
        <f>SUM(I74:I76)</f>
        <v>305.08</v>
      </c>
      <c r="K74" s="3336">
        <f>+J74*0.18</f>
        <v>54.914399999999993</v>
      </c>
      <c r="L74" s="3336"/>
      <c r="M74" s="3339">
        <f>+K74+J74</f>
        <v>359.99439999999998</v>
      </c>
      <c r="N74" s="1468">
        <f>+L74</f>
        <v>0</v>
      </c>
      <c r="O74" s="1469">
        <f>SUM(P74:P76)</f>
        <v>1000.35732</v>
      </c>
      <c r="P74" s="1470">
        <f>+I74*N76</f>
        <v>500.17865999999998</v>
      </c>
      <c r="Q74" s="1471">
        <f t="shared" si="78"/>
        <v>500.17865999999998</v>
      </c>
      <c r="R74" s="1471">
        <f t="shared" si="79"/>
        <v>90.032158799999991</v>
      </c>
      <c r="S74" s="1472">
        <f t="shared" si="80"/>
        <v>590.21081879999997</v>
      </c>
      <c r="T74" s="652">
        <f>+H74*1.18*N76</f>
        <v>590.21081879999997</v>
      </c>
      <c r="U74" s="693">
        <f>+T74*1.02</f>
        <v>602.01503517599997</v>
      </c>
      <c r="W74" s="1493">
        <f t="shared" si="81"/>
        <v>179.99719999999999</v>
      </c>
      <c r="X74" s="2037">
        <f t="shared" si="82"/>
        <v>179.99719999999999</v>
      </c>
    </row>
    <row r="75" spans="2:24" ht="15.75">
      <c r="B75" s="2331" t="s">
        <v>504</v>
      </c>
      <c r="C75" s="1474">
        <v>42761</v>
      </c>
      <c r="D75" s="1463" t="s">
        <v>2432</v>
      </c>
      <c r="E75" s="3331"/>
      <c r="F75" s="1475" t="s">
        <v>2434</v>
      </c>
      <c r="G75" s="2119">
        <v>1</v>
      </c>
      <c r="H75" s="1477">
        <v>152.54</v>
      </c>
      <c r="I75" s="1478">
        <f t="shared" si="77"/>
        <v>152.54</v>
      </c>
      <c r="J75" s="3334"/>
      <c r="K75" s="3337"/>
      <c r="L75" s="3337"/>
      <c r="M75" s="3340"/>
      <c r="N75" s="2210" t="s">
        <v>2435</v>
      </c>
      <c r="O75" s="1480">
        <f>+O74*0.18</f>
        <v>180.06431759999998</v>
      </c>
      <c r="P75" s="1481">
        <f>+I75*N76</f>
        <v>500.17865999999998</v>
      </c>
      <c r="Q75" s="1471">
        <f t="shared" si="78"/>
        <v>500.17865999999998</v>
      </c>
      <c r="R75" s="1471">
        <f t="shared" si="79"/>
        <v>90.032158799999991</v>
      </c>
      <c r="S75" s="1472">
        <f t="shared" si="80"/>
        <v>590.21081879999997</v>
      </c>
      <c r="U75" s="693">
        <f>320*2.8</f>
        <v>896</v>
      </c>
      <c r="V75" s="693">
        <f>347*2.8</f>
        <v>971.59999999999991</v>
      </c>
      <c r="W75" s="1493">
        <f t="shared" si="81"/>
        <v>179.99719999999999</v>
      </c>
      <c r="X75" s="2037">
        <f t="shared" si="82"/>
        <v>179.99719999999999</v>
      </c>
    </row>
    <row r="76" spans="2:24" ht="13.7" customHeight="1">
      <c r="B76" s="2331"/>
      <c r="C76" s="1503"/>
      <c r="D76" s="1504"/>
      <c r="E76" s="3332"/>
      <c r="F76" s="1541"/>
      <c r="G76" s="2341">
        <v>4.5000000000000001E-42</v>
      </c>
      <c r="H76" s="2342">
        <v>0</v>
      </c>
      <c r="I76" s="2343">
        <f t="shared" si="77"/>
        <v>0</v>
      </c>
      <c r="J76" s="3335"/>
      <c r="K76" s="3338"/>
      <c r="L76" s="3338"/>
      <c r="M76" s="3341"/>
      <c r="N76" s="2337">
        <v>3.2789999999999999</v>
      </c>
      <c r="O76" s="2338">
        <f>+O75+O74+N74</f>
        <v>1180.4216375999999</v>
      </c>
      <c r="P76" s="2339">
        <f>+I76*N76</f>
        <v>0</v>
      </c>
      <c r="Q76" s="1471">
        <f t="shared" si="78"/>
        <v>0</v>
      </c>
      <c r="R76" s="1471">
        <f t="shared" si="79"/>
        <v>0</v>
      </c>
      <c r="S76" s="1472">
        <f t="shared" si="80"/>
        <v>0</v>
      </c>
      <c r="U76" s="693">
        <v>550</v>
      </c>
      <c r="V76" s="693">
        <v>550</v>
      </c>
      <c r="W76" s="1499">
        <f t="shared" si="81"/>
        <v>0</v>
      </c>
      <c r="X76" s="2037">
        <f t="shared" si="82"/>
        <v>0</v>
      </c>
    </row>
    <row r="77" spans="2:24" ht="15.75">
      <c r="B77" s="2331"/>
      <c r="C77" s="1474">
        <v>42766</v>
      </c>
      <c r="D77" s="1463"/>
      <c r="E77" s="3331" t="s">
        <v>2474</v>
      </c>
      <c r="F77" s="1855" t="s">
        <v>2388</v>
      </c>
      <c r="G77" s="1570">
        <v>12</v>
      </c>
      <c r="H77" s="2334">
        <f>190/(1.18)</f>
        <v>161.0169491525424</v>
      </c>
      <c r="I77" s="1478">
        <f t="shared" ref="I77:I83" si="83">+H77*G77</f>
        <v>1932.2033898305087</v>
      </c>
      <c r="J77" s="3334">
        <f>SUM(I77:I80)</f>
        <v>2865.7632813559326</v>
      </c>
      <c r="K77" s="3337">
        <f>+J77*0.18</f>
        <v>515.8373906440678</v>
      </c>
      <c r="L77" s="3337"/>
      <c r="M77" s="3340">
        <f>+K77+J77</f>
        <v>3381.6006720000005</v>
      </c>
      <c r="N77" s="2335">
        <f>+L77</f>
        <v>0</v>
      </c>
      <c r="O77" s="2336">
        <f>SUM(P77:P80)</f>
        <v>9425.495432379661</v>
      </c>
      <c r="P77" s="1481">
        <f>+I77*N80</f>
        <v>6355.016949152543</v>
      </c>
      <c r="Q77" s="1471">
        <f t="shared" ref="Q77:Q83" si="84">+P77/G77</f>
        <v>529.58474576271192</v>
      </c>
      <c r="R77" s="1471">
        <f t="shared" ref="R77:R83" si="85">+Q77*0.18</f>
        <v>95.325254237288135</v>
      </c>
      <c r="S77" s="1472">
        <f t="shared" ref="S77:S83" si="86">+R77+Q77</f>
        <v>624.91000000000008</v>
      </c>
      <c r="T77" s="652">
        <f>+H77*1.18*N80</f>
        <v>624.91000000000008</v>
      </c>
      <c r="U77" s="693">
        <f>+T77*1.02</f>
        <v>637.40820000000008</v>
      </c>
      <c r="W77" s="1493">
        <f t="shared" ref="W77:W83" si="87">+H77*1.18</f>
        <v>190.00000000000003</v>
      </c>
      <c r="X77" s="2037">
        <f t="shared" ref="X77:X83" si="88">+H77*1.18</f>
        <v>190.00000000000003</v>
      </c>
    </row>
    <row r="78" spans="2:24" ht="15.75">
      <c r="B78" s="2308"/>
      <c r="C78" s="1474">
        <v>42766</v>
      </c>
      <c r="D78" s="1463" t="s">
        <v>426</v>
      </c>
      <c r="E78" s="3331"/>
      <c r="F78" s="1475" t="s">
        <v>2391</v>
      </c>
      <c r="G78" s="2119">
        <v>12</v>
      </c>
      <c r="H78" s="1477">
        <f>60/(1.18)</f>
        <v>50.847457627118644</v>
      </c>
      <c r="I78" s="1478">
        <f t="shared" si="83"/>
        <v>610.16949152542372</v>
      </c>
      <c r="J78" s="3334"/>
      <c r="K78" s="3337"/>
      <c r="L78" s="3337"/>
      <c r="M78" s="3340"/>
      <c r="N78" s="2210" t="s">
        <v>2426</v>
      </c>
      <c r="O78" s="1480">
        <f>+O77*0.18</f>
        <v>1696.589177828339</v>
      </c>
      <c r="P78" s="1481">
        <f>+I78*N80</f>
        <v>2006.8474576271185</v>
      </c>
      <c r="Q78" s="1471">
        <f t="shared" si="84"/>
        <v>167.23728813559322</v>
      </c>
      <c r="R78" s="1471">
        <f t="shared" si="85"/>
        <v>30.102711864406778</v>
      </c>
      <c r="S78" s="1472">
        <f t="shared" si="86"/>
        <v>197.34</v>
      </c>
      <c r="U78" s="693">
        <f>320*2.8</f>
        <v>896</v>
      </c>
      <c r="V78" s="693">
        <f>347*2.8</f>
        <v>971.59999999999991</v>
      </c>
      <c r="W78" s="1493">
        <f t="shared" si="87"/>
        <v>59.999999999999993</v>
      </c>
      <c r="X78" s="2037">
        <f t="shared" si="88"/>
        <v>59.999999999999993</v>
      </c>
    </row>
    <row r="79" spans="2:24" ht="13.7" customHeight="1">
      <c r="B79" s="1494"/>
      <c r="C79" s="1474">
        <v>42766</v>
      </c>
      <c r="D79" s="1463"/>
      <c r="E79" s="3331"/>
      <c r="F79" s="1495" t="s">
        <v>465</v>
      </c>
      <c r="G79" s="2119">
        <v>18</v>
      </c>
      <c r="H79" s="1477">
        <v>8.4746000000000006</v>
      </c>
      <c r="I79" s="1478">
        <f t="shared" si="83"/>
        <v>152.5428</v>
      </c>
      <c r="J79" s="3334"/>
      <c r="K79" s="3337"/>
      <c r="L79" s="3337"/>
      <c r="M79" s="3340"/>
      <c r="N79" s="1497"/>
      <c r="O79" s="1498"/>
      <c r="P79" s="1481">
        <f>+I79*N80</f>
        <v>501.71326919999996</v>
      </c>
      <c r="Q79" s="1471">
        <f t="shared" si="84"/>
        <v>27.872959399999999</v>
      </c>
      <c r="R79" s="1471">
        <f t="shared" si="85"/>
        <v>5.0171326919999997</v>
      </c>
      <c r="S79" s="1472">
        <f t="shared" si="86"/>
        <v>32.890092091999996</v>
      </c>
      <c r="U79" s="693">
        <v>550</v>
      </c>
      <c r="V79" s="693">
        <v>550</v>
      </c>
      <c r="W79" s="1493">
        <f t="shared" si="87"/>
        <v>10.000028</v>
      </c>
      <c r="X79" s="2037">
        <f t="shared" si="88"/>
        <v>10.000028</v>
      </c>
    </row>
    <row r="80" spans="2:24" ht="13.7" customHeight="1" thickBot="1">
      <c r="B80" s="1482"/>
      <c r="C80" s="1483">
        <v>42766</v>
      </c>
      <c r="D80" s="1484"/>
      <c r="E80" s="3342"/>
      <c r="F80" s="1485" t="s">
        <v>2425</v>
      </c>
      <c r="G80" s="2120">
        <v>12</v>
      </c>
      <c r="H80" s="1487">
        <v>14.237299999999999</v>
      </c>
      <c r="I80" s="1488">
        <f t="shared" si="83"/>
        <v>170.8476</v>
      </c>
      <c r="J80" s="3343"/>
      <c r="K80" s="3344"/>
      <c r="L80" s="3344"/>
      <c r="M80" s="3345"/>
      <c r="N80" s="2337">
        <f>(3.286+3.292)/2</f>
        <v>3.2889999999999997</v>
      </c>
      <c r="O80" s="1490">
        <f>+O78+O77+N77</f>
        <v>11122.084610208</v>
      </c>
      <c r="P80" s="1491">
        <f>+I80*N80</f>
        <v>561.91775639999992</v>
      </c>
      <c r="Q80" s="1471">
        <f t="shared" si="84"/>
        <v>46.826479699999993</v>
      </c>
      <c r="R80" s="1471">
        <f t="shared" si="85"/>
        <v>8.428766345999998</v>
      </c>
      <c r="S80" s="1472">
        <f t="shared" si="86"/>
        <v>55.255246045999989</v>
      </c>
      <c r="U80" s="693">
        <v>550</v>
      </c>
      <c r="V80" s="693">
        <v>550</v>
      </c>
      <c r="W80" s="1499">
        <f t="shared" si="87"/>
        <v>16.800013999999997</v>
      </c>
      <c r="X80" s="2037">
        <f t="shared" si="88"/>
        <v>16.800013999999997</v>
      </c>
    </row>
    <row r="81" spans="2:24" ht="15.75">
      <c r="B81" s="1461"/>
      <c r="C81" s="1462">
        <v>42790</v>
      </c>
      <c r="D81" s="1500"/>
      <c r="E81" s="3330" t="s">
        <v>2447</v>
      </c>
      <c r="F81" s="1464" t="s">
        <v>2449</v>
      </c>
      <c r="G81" s="1465">
        <v>1</v>
      </c>
      <c r="H81" s="1466">
        <v>186.44069999999999</v>
      </c>
      <c r="I81" s="1467">
        <f t="shared" si="83"/>
        <v>186.44069999999999</v>
      </c>
      <c r="J81" s="3333">
        <f>SUM(I81:I83)</f>
        <v>372.88139999999999</v>
      </c>
      <c r="K81" s="3336">
        <f>+J81*0.18</f>
        <v>67.118651999999997</v>
      </c>
      <c r="L81" s="3336"/>
      <c r="M81" s="3339">
        <f>+K81+J81</f>
        <v>440.00005199999998</v>
      </c>
      <c r="N81" s="1468">
        <f>+L81</f>
        <v>0</v>
      </c>
      <c r="O81" s="1469">
        <f>SUM(P81:P83)</f>
        <v>1226.4069245999999</v>
      </c>
      <c r="P81" s="1470">
        <f>+I81*N83</f>
        <v>613.20346229999996</v>
      </c>
      <c r="Q81" s="1471">
        <f t="shared" si="84"/>
        <v>613.20346229999996</v>
      </c>
      <c r="R81" s="1471">
        <f t="shared" si="85"/>
        <v>110.37662321399999</v>
      </c>
      <c r="S81" s="1472">
        <f t="shared" si="86"/>
        <v>723.58008551399996</v>
      </c>
      <c r="T81" s="652">
        <f>+H81*1.18*N83</f>
        <v>723.58008551399996</v>
      </c>
      <c r="U81" s="693">
        <f>+T81*1.02</f>
        <v>738.05168722427993</v>
      </c>
      <c r="W81" s="1493">
        <f t="shared" si="87"/>
        <v>220.00002599999999</v>
      </c>
      <c r="X81" s="2037">
        <f t="shared" si="88"/>
        <v>220.00002599999999</v>
      </c>
    </row>
    <row r="82" spans="2:24" ht="15.75">
      <c r="B82" s="2380" t="s">
        <v>260</v>
      </c>
      <c r="C82" s="1474">
        <v>42790</v>
      </c>
      <c r="D82" s="1463" t="s">
        <v>481</v>
      </c>
      <c r="E82" s="3331"/>
      <c r="F82" s="1475" t="s">
        <v>2448</v>
      </c>
      <c r="G82" s="2119">
        <v>1</v>
      </c>
      <c r="H82" s="1477">
        <v>186.44069999999999</v>
      </c>
      <c r="I82" s="1478">
        <f t="shared" si="83"/>
        <v>186.44069999999999</v>
      </c>
      <c r="J82" s="3334"/>
      <c r="K82" s="3337"/>
      <c r="L82" s="3337"/>
      <c r="M82" s="3340"/>
      <c r="N82" s="2210" t="s">
        <v>2468</v>
      </c>
      <c r="O82" s="1480">
        <f>+O81*0.18</f>
        <v>220.75324642799998</v>
      </c>
      <c r="P82" s="1481">
        <f>+I82*N83</f>
        <v>613.20346229999996</v>
      </c>
      <c r="Q82" s="1471">
        <f t="shared" si="84"/>
        <v>613.20346229999996</v>
      </c>
      <c r="R82" s="1471">
        <f t="shared" si="85"/>
        <v>110.37662321399999</v>
      </c>
      <c r="S82" s="1472">
        <f t="shared" si="86"/>
        <v>723.58008551399996</v>
      </c>
      <c r="U82" s="693">
        <f>320*2.8</f>
        <v>896</v>
      </c>
      <c r="V82" s="693">
        <f>347*2.8</f>
        <v>971.59999999999991</v>
      </c>
      <c r="W82" s="1493">
        <f t="shared" si="87"/>
        <v>220.00002599999999</v>
      </c>
      <c r="X82" s="2037">
        <f t="shared" si="88"/>
        <v>220.00002599999999</v>
      </c>
    </row>
    <row r="83" spans="2:24" ht="13.7" customHeight="1" thickBot="1">
      <c r="B83" s="1482"/>
      <c r="C83" s="1483"/>
      <c r="D83" s="1484"/>
      <c r="E83" s="3342"/>
      <c r="F83" s="1485"/>
      <c r="G83" s="2377">
        <v>4.5000000000000001E-42</v>
      </c>
      <c r="H83" s="2378">
        <v>0</v>
      </c>
      <c r="I83" s="2379">
        <f t="shared" si="83"/>
        <v>0</v>
      </c>
      <c r="J83" s="3343"/>
      <c r="K83" s="3344"/>
      <c r="L83" s="3344"/>
      <c r="M83" s="3345"/>
      <c r="N83" s="1489">
        <f>(3.286+3.292)/2</f>
        <v>3.2889999999999997</v>
      </c>
      <c r="O83" s="1490">
        <f>+O82+O81+N81</f>
        <v>1447.1601710279999</v>
      </c>
      <c r="P83" s="1491">
        <f>+I83*N83</f>
        <v>0</v>
      </c>
      <c r="Q83" s="1471">
        <f t="shared" si="84"/>
        <v>0</v>
      </c>
      <c r="R83" s="1471">
        <f t="shared" si="85"/>
        <v>0</v>
      </c>
      <c r="S83" s="1472">
        <f t="shared" si="86"/>
        <v>0</v>
      </c>
      <c r="U83" s="693">
        <v>550</v>
      </c>
      <c r="V83" s="693">
        <v>550</v>
      </c>
      <c r="W83" s="1499">
        <f t="shared" si="87"/>
        <v>0</v>
      </c>
      <c r="X83" s="2037">
        <f t="shared" si="88"/>
        <v>0</v>
      </c>
    </row>
    <row r="84" spans="2:24" ht="15.75">
      <c r="B84" s="2406"/>
      <c r="C84" s="1474">
        <v>42854</v>
      </c>
      <c r="D84" s="1463"/>
      <c r="E84" s="3331" t="s">
        <v>2586</v>
      </c>
      <c r="F84" s="1855" t="s">
        <v>2388</v>
      </c>
      <c r="G84" s="1570">
        <v>12</v>
      </c>
      <c r="H84" s="2334">
        <f>195/(1.18)</f>
        <v>165.25423728813561</v>
      </c>
      <c r="I84" s="1478">
        <f t="shared" ref="I84:I90" si="89">+H84*G84</f>
        <v>1983.0508474576272</v>
      </c>
      <c r="J84" s="3334">
        <f>SUM(I84:I87)</f>
        <v>2678.6440677966102</v>
      </c>
      <c r="K84" s="3337">
        <f>+J84*0.18</f>
        <v>482.1559322033898</v>
      </c>
      <c r="L84" s="3337"/>
      <c r="M84" s="3340">
        <f>+K84+J84</f>
        <v>3160.8</v>
      </c>
      <c r="N84" s="2335">
        <f>+L84</f>
        <v>0</v>
      </c>
      <c r="O84" s="2336">
        <f>SUM(P84:P87)</f>
        <v>8689.5213559322037</v>
      </c>
      <c r="P84" s="1481">
        <f>+I84*N87</f>
        <v>6433.0169491525421</v>
      </c>
      <c r="Q84" s="1471">
        <f t="shared" ref="Q84:Q90" si="90">+P84/G84</f>
        <v>536.0847457627118</v>
      </c>
      <c r="R84" s="1471">
        <f t="shared" ref="R84:R90" si="91">+Q84*0.18</f>
        <v>96.495254237288123</v>
      </c>
      <c r="S84" s="1472">
        <f t="shared" ref="S84:S90" si="92">+R84+Q84</f>
        <v>632.57999999999993</v>
      </c>
      <c r="T84" s="652">
        <f>+H84*1.18*N87</f>
        <v>632.57999999999993</v>
      </c>
      <c r="U84" s="693">
        <f>+T84*1.02</f>
        <v>645.23159999999996</v>
      </c>
      <c r="W84" s="1493">
        <f t="shared" ref="W84:W90" si="93">+H84*1.18</f>
        <v>195</v>
      </c>
      <c r="X84" s="2037">
        <f t="shared" ref="X84:X90" si="94">+H84*1.18</f>
        <v>195</v>
      </c>
    </row>
    <row r="85" spans="2:24" ht="15.75">
      <c r="B85" s="2406" t="s">
        <v>262</v>
      </c>
      <c r="C85" s="1474">
        <v>42854</v>
      </c>
      <c r="D85" s="1463" t="s">
        <v>426</v>
      </c>
      <c r="E85" s="3331"/>
      <c r="F85" s="1475" t="s">
        <v>2391</v>
      </c>
      <c r="G85" s="2119">
        <v>12</v>
      </c>
      <c r="H85" s="1477">
        <f>68.4/(1.18)</f>
        <v>57.96610169491526</v>
      </c>
      <c r="I85" s="1478">
        <f t="shared" si="89"/>
        <v>695.59322033898309</v>
      </c>
      <c r="J85" s="3334"/>
      <c r="K85" s="3337"/>
      <c r="L85" s="3337"/>
      <c r="M85" s="3340"/>
      <c r="N85" s="2210" t="s">
        <v>2513</v>
      </c>
      <c r="O85" s="1480">
        <f>+O84*0.18</f>
        <v>1564.1138440677967</v>
      </c>
      <c r="P85" s="1481">
        <f>+I85*N87</f>
        <v>2256.5044067796612</v>
      </c>
      <c r="Q85" s="1471">
        <f t="shared" si="90"/>
        <v>188.04203389830511</v>
      </c>
      <c r="R85" s="1471">
        <f t="shared" si="91"/>
        <v>33.847566101694916</v>
      </c>
      <c r="S85" s="1472">
        <f t="shared" si="92"/>
        <v>221.88960000000003</v>
      </c>
      <c r="U85" s="693">
        <f>320*2.8</f>
        <v>896</v>
      </c>
      <c r="V85" s="693">
        <f>347*2.8</f>
        <v>971.59999999999991</v>
      </c>
      <c r="W85" s="1493">
        <f t="shared" si="93"/>
        <v>68.400000000000006</v>
      </c>
      <c r="X85" s="2037">
        <f t="shared" si="94"/>
        <v>68.400000000000006</v>
      </c>
    </row>
    <row r="86" spans="2:24" ht="13.7" customHeight="1">
      <c r="B86" s="1494"/>
      <c r="C86" s="1474">
        <v>42854</v>
      </c>
      <c r="D86" s="1463"/>
      <c r="E86" s="3331"/>
      <c r="F86" s="1495"/>
      <c r="G86" s="2409">
        <v>4.5000000000000001E-42</v>
      </c>
      <c r="H86" s="2410">
        <v>0</v>
      </c>
      <c r="I86" s="1478">
        <f t="shared" si="89"/>
        <v>0</v>
      </c>
      <c r="J86" s="3334"/>
      <c r="K86" s="3337"/>
      <c r="L86" s="3337"/>
      <c r="M86" s="3340"/>
      <c r="N86" s="1497"/>
      <c r="O86" s="1498"/>
      <c r="P86" s="1481">
        <f>+I86*N87</f>
        <v>0</v>
      </c>
      <c r="Q86" s="1471">
        <f t="shared" si="90"/>
        <v>0</v>
      </c>
      <c r="R86" s="1471">
        <f t="shared" si="91"/>
        <v>0</v>
      </c>
      <c r="S86" s="1472">
        <f t="shared" si="92"/>
        <v>0</v>
      </c>
      <c r="U86" s="693">
        <v>550</v>
      </c>
      <c r="V86" s="693">
        <v>550</v>
      </c>
      <c r="W86" s="1493">
        <f t="shared" si="93"/>
        <v>0</v>
      </c>
      <c r="X86" s="2037">
        <f t="shared" si="94"/>
        <v>0</v>
      </c>
    </row>
    <row r="87" spans="2:24" ht="13.7" customHeight="1" thickBot="1">
      <c r="B87" s="1482"/>
      <c r="C87" s="1483">
        <v>42854</v>
      </c>
      <c r="D87" s="1484"/>
      <c r="E87" s="3342"/>
      <c r="F87" s="1485"/>
      <c r="G87" s="2377">
        <v>4.5000000000000001E-42</v>
      </c>
      <c r="H87" s="2378">
        <v>0</v>
      </c>
      <c r="I87" s="1488">
        <f t="shared" si="89"/>
        <v>0</v>
      </c>
      <c r="J87" s="3343"/>
      <c r="K87" s="3344"/>
      <c r="L87" s="3344"/>
      <c r="M87" s="3345"/>
      <c r="N87" s="2337">
        <f>(3.242+3.246)/2</f>
        <v>3.2439999999999998</v>
      </c>
      <c r="O87" s="1490">
        <f>+O85+O84+N84</f>
        <v>10253.635200000001</v>
      </c>
      <c r="P87" s="1491">
        <f>+I87*N87</f>
        <v>0</v>
      </c>
      <c r="Q87" s="1471">
        <f t="shared" si="90"/>
        <v>0</v>
      </c>
      <c r="R87" s="1471">
        <f t="shared" si="91"/>
        <v>0</v>
      </c>
      <c r="S87" s="1472">
        <f t="shared" si="92"/>
        <v>0</v>
      </c>
      <c r="U87" s="693">
        <v>550</v>
      </c>
      <c r="V87" s="693">
        <v>550</v>
      </c>
      <c r="W87" s="1499">
        <f t="shared" si="93"/>
        <v>0</v>
      </c>
      <c r="X87" s="2037">
        <f t="shared" si="94"/>
        <v>0</v>
      </c>
    </row>
    <row r="88" spans="2:24" ht="15.75">
      <c r="B88" s="1461"/>
      <c r="C88" s="1462">
        <v>42861</v>
      </c>
      <c r="D88" s="1500"/>
      <c r="E88" s="3330" t="s">
        <v>2510</v>
      </c>
      <c r="F88" s="2324" t="s">
        <v>2511</v>
      </c>
      <c r="G88" s="1465">
        <v>1</v>
      </c>
      <c r="H88" s="1466">
        <v>293.12920000000003</v>
      </c>
      <c r="I88" s="1467">
        <f t="shared" si="89"/>
        <v>293.12920000000003</v>
      </c>
      <c r="J88" s="3333">
        <f>SUM(I88:I90)</f>
        <v>393.67930000000001</v>
      </c>
      <c r="K88" s="3336">
        <f>+J88*0.18</f>
        <v>70.862273999999999</v>
      </c>
      <c r="L88" s="3336"/>
      <c r="M88" s="3339">
        <f>+K88+J88</f>
        <v>464.54157400000003</v>
      </c>
      <c r="N88" s="1468">
        <f>+L88</f>
        <v>0</v>
      </c>
      <c r="O88" s="1469">
        <f>SUM(P88:P90)</f>
        <v>1288.1186696000002</v>
      </c>
      <c r="P88" s="1470">
        <f>+I88*N90</f>
        <v>959.1187424000002</v>
      </c>
      <c r="Q88" s="1471">
        <f t="shared" si="90"/>
        <v>959.1187424000002</v>
      </c>
      <c r="R88" s="1471">
        <f t="shared" si="91"/>
        <v>172.64137363200004</v>
      </c>
      <c r="S88" s="1472">
        <f t="shared" si="92"/>
        <v>1131.7601160320003</v>
      </c>
      <c r="T88" s="652">
        <f>+H88*1.18*N90</f>
        <v>1131.7601160320003</v>
      </c>
      <c r="U88" s="693">
        <f>+T88*1.02</f>
        <v>1154.3953183526403</v>
      </c>
      <c r="W88" s="1493">
        <f t="shared" si="93"/>
        <v>345.89245600000004</v>
      </c>
      <c r="X88" s="2037">
        <f t="shared" si="94"/>
        <v>345.89245600000004</v>
      </c>
    </row>
    <row r="89" spans="2:24" ht="15.75">
      <c r="B89" s="2406" t="s">
        <v>281</v>
      </c>
      <c r="C89" s="1474">
        <v>42861</v>
      </c>
      <c r="D89" s="1463" t="s">
        <v>481</v>
      </c>
      <c r="E89" s="3331"/>
      <c r="F89" s="2323" t="s">
        <v>2512</v>
      </c>
      <c r="G89" s="2119">
        <v>1</v>
      </c>
      <c r="H89" s="1477">
        <v>100.5501</v>
      </c>
      <c r="I89" s="1478">
        <f t="shared" si="89"/>
        <v>100.5501</v>
      </c>
      <c r="J89" s="3334"/>
      <c r="K89" s="3337"/>
      <c r="L89" s="3337"/>
      <c r="M89" s="3340"/>
      <c r="N89" s="2210" t="s">
        <v>2468</v>
      </c>
      <c r="O89" s="1480">
        <f>+O88*0.18</f>
        <v>231.86136052800003</v>
      </c>
      <c r="P89" s="1481">
        <f>+I89*N90</f>
        <v>328.9999272</v>
      </c>
      <c r="Q89" s="1471">
        <f t="shared" si="90"/>
        <v>328.9999272</v>
      </c>
      <c r="R89" s="1471">
        <f t="shared" si="91"/>
        <v>59.219986895999995</v>
      </c>
      <c r="S89" s="1472">
        <f t="shared" si="92"/>
        <v>388.21991409600002</v>
      </c>
      <c r="U89" s="693">
        <f>320*2.8</f>
        <v>896</v>
      </c>
      <c r="V89" s="693">
        <f>347*2.8</f>
        <v>971.59999999999991</v>
      </c>
      <c r="W89" s="1493">
        <f t="shared" si="93"/>
        <v>118.64911799999999</v>
      </c>
      <c r="X89" s="2037">
        <f t="shared" si="94"/>
        <v>118.64911799999999</v>
      </c>
    </row>
    <row r="90" spans="2:24" ht="13.7" customHeight="1" thickBot="1">
      <c r="B90" s="1482"/>
      <c r="C90" s="1483"/>
      <c r="D90" s="1484"/>
      <c r="E90" s="3342"/>
      <c r="F90" s="1485"/>
      <c r="G90" s="2377">
        <v>4.5000000000000001E-42</v>
      </c>
      <c r="H90" s="2378">
        <v>0</v>
      </c>
      <c r="I90" s="2379">
        <f t="shared" si="89"/>
        <v>0</v>
      </c>
      <c r="J90" s="3343"/>
      <c r="K90" s="3344"/>
      <c r="L90" s="3344"/>
      <c r="M90" s="3345"/>
      <c r="N90" s="1489">
        <f>(3.27+3.274)/2</f>
        <v>3.2720000000000002</v>
      </c>
      <c r="O90" s="1490">
        <f>+O89+O88+N88</f>
        <v>1519.9800301280002</v>
      </c>
      <c r="P90" s="1491">
        <f>+I90*N90</f>
        <v>0</v>
      </c>
      <c r="Q90" s="1471">
        <f t="shared" si="90"/>
        <v>0</v>
      </c>
      <c r="R90" s="1471">
        <f t="shared" si="91"/>
        <v>0</v>
      </c>
      <c r="S90" s="1472">
        <f t="shared" si="92"/>
        <v>0</v>
      </c>
      <c r="U90" s="693">
        <v>550</v>
      </c>
      <c r="V90" s="693">
        <v>550</v>
      </c>
      <c r="W90" s="1499">
        <f t="shared" si="93"/>
        <v>0</v>
      </c>
      <c r="X90" s="2037">
        <f t="shared" si="94"/>
        <v>0</v>
      </c>
    </row>
    <row r="91" spans="2:24" ht="15.75">
      <c r="B91" s="2487"/>
      <c r="C91" s="1474">
        <v>42912</v>
      </c>
      <c r="D91" s="1463"/>
      <c r="E91" s="3331" t="s">
        <v>2690</v>
      </c>
      <c r="F91" s="1855" t="s">
        <v>2388</v>
      </c>
      <c r="G91" s="1570">
        <v>12</v>
      </c>
      <c r="H91" s="2334">
        <v>159.322</v>
      </c>
      <c r="I91" s="1478">
        <f t="shared" ref="I91:I100" si="95">+H91*G91</f>
        <v>1911.864</v>
      </c>
      <c r="J91" s="3334">
        <f>SUM(I91:I94)</f>
        <v>4657.6260000000002</v>
      </c>
      <c r="K91" s="3337">
        <f>+J91*0.18</f>
        <v>838.37268000000006</v>
      </c>
      <c r="L91" s="3337"/>
      <c r="M91" s="3340">
        <f>+K91+J91</f>
        <v>5495.9986800000006</v>
      </c>
      <c r="N91" s="2335">
        <f>+L91</f>
        <v>0</v>
      </c>
      <c r="O91" s="2336">
        <f>SUM(P91:P94)</f>
        <v>15169.887881999999</v>
      </c>
      <c r="P91" s="1481">
        <f>+I91*N94</f>
        <v>6226.9410479999997</v>
      </c>
      <c r="Q91" s="1471">
        <f t="shared" ref="Q91:Q100" si="96">+P91/G91</f>
        <v>518.91175399999997</v>
      </c>
      <c r="R91" s="1471">
        <f t="shared" ref="R91:R100" si="97">+Q91*0.18</f>
        <v>93.404115719999993</v>
      </c>
      <c r="S91" s="1472">
        <f t="shared" ref="S91:S100" si="98">+R91+Q91</f>
        <v>612.31586971999991</v>
      </c>
      <c r="T91" s="652">
        <f>+H91*1.18*N94</f>
        <v>612.31586971999991</v>
      </c>
      <c r="U91" s="693">
        <f>+T91*1.02</f>
        <v>624.56218711439988</v>
      </c>
      <c r="W91" s="1493">
        <f t="shared" ref="W91:W100" si="99">+H91*1.18</f>
        <v>187.99995999999999</v>
      </c>
      <c r="X91" s="2037">
        <f t="shared" ref="X91:X100" si="100">+H91*1.18</f>
        <v>187.99995999999999</v>
      </c>
    </row>
    <row r="92" spans="2:24" ht="15.75">
      <c r="B92" s="2487" t="s">
        <v>264</v>
      </c>
      <c r="C92" s="1474">
        <v>42912</v>
      </c>
      <c r="D92" s="1463" t="s">
        <v>426</v>
      </c>
      <c r="E92" s="3331"/>
      <c r="F92" s="1475" t="s">
        <v>2391</v>
      </c>
      <c r="G92" s="2119">
        <v>12</v>
      </c>
      <c r="H92" s="1477">
        <v>59.322000000000003</v>
      </c>
      <c r="I92" s="1478">
        <f t="shared" si="95"/>
        <v>711.86400000000003</v>
      </c>
      <c r="J92" s="3334"/>
      <c r="K92" s="3337"/>
      <c r="L92" s="3337"/>
      <c r="M92" s="3340"/>
      <c r="N92" s="2210" t="s">
        <v>2608</v>
      </c>
      <c r="O92" s="1480">
        <f>+O91*0.18</f>
        <v>2730.5798187599999</v>
      </c>
      <c r="P92" s="1481">
        <f>+I92*N94</f>
        <v>2318.541048</v>
      </c>
      <c r="Q92" s="1471">
        <f t="shared" si="96"/>
        <v>193.21175400000001</v>
      </c>
      <c r="R92" s="1471">
        <f t="shared" si="97"/>
        <v>34.778115720000002</v>
      </c>
      <c r="S92" s="1472">
        <f t="shared" si="98"/>
        <v>227.98986972</v>
      </c>
      <c r="U92" s="693">
        <f>320*2.8</f>
        <v>896</v>
      </c>
      <c r="V92" s="693">
        <f>347*2.8</f>
        <v>971.59999999999991</v>
      </c>
      <c r="W92" s="1493">
        <f t="shared" si="99"/>
        <v>69.999960000000002</v>
      </c>
      <c r="X92" s="2037">
        <f t="shared" si="100"/>
        <v>69.999960000000002</v>
      </c>
    </row>
    <row r="93" spans="2:24" ht="13.7" customHeight="1">
      <c r="B93" s="1494"/>
      <c r="C93" s="1474">
        <v>42912</v>
      </c>
      <c r="D93" s="1463"/>
      <c r="E93" s="3331"/>
      <c r="F93" s="2293" t="s">
        <v>2390</v>
      </c>
      <c r="G93" s="2119">
        <v>10</v>
      </c>
      <c r="H93" s="1477">
        <v>203.38980000000001</v>
      </c>
      <c r="I93" s="1478">
        <f>+H93*G93</f>
        <v>2033.8980000000001</v>
      </c>
      <c r="J93" s="3334"/>
      <c r="K93" s="3337"/>
      <c r="L93" s="3337"/>
      <c r="M93" s="3340"/>
      <c r="N93" s="1497"/>
      <c r="O93" s="1498"/>
      <c r="P93" s="1481">
        <f>+I93*N94</f>
        <v>6624.4057859999994</v>
      </c>
      <c r="Q93" s="1471">
        <f t="shared" si="96"/>
        <v>662.44057859999998</v>
      </c>
      <c r="R93" s="1471">
        <f t="shared" si="97"/>
        <v>119.23930414799999</v>
      </c>
      <c r="S93" s="1472">
        <f t="shared" si="98"/>
        <v>781.67988274799995</v>
      </c>
      <c r="U93" s="693">
        <v>550</v>
      </c>
      <c r="V93" s="693">
        <v>550</v>
      </c>
      <c r="W93" s="1493">
        <f t="shared" si="99"/>
        <v>239.99996400000001</v>
      </c>
      <c r="X93" s="2037">
        <f t="shared" si="100"/>
        <v>239.99996400000001</v>
      </c>
    </row>
    <row r="94" spans="2:24" ht="13.7" customHeight="1" thickBot="1">
      <c r="B94" s="1482"/>
      <c r="C94" s="1483">
        <v>42912</v>
      </c>
      <c r="D94" s="1484"/>
      <c r="E94" s="3342"/>
      <c r="F94" s="1485"/>
      <c r="G94" s="2377">
        <v>4.5000000000000001E-42</v>
      </c>
      <c r="H94" s="2378">
        <v>0</v>
      </c>
      <c r="I94" s="1488">
        <f t="shared" si="95"/>
        <v>0</v>
      </c>
      <c r="J94" s="3343"/>
      <c r="K94" s="3344"/>
      <c r="L94" s="3344"/>
      <c r="M94" s="3345"/>
      <c r="N94" s="2337">
        <f>(3.254+3.26)/2</f>
        <v>3.2569999999999997</v>
      </c>
      <c r="O94" s="1490">
        <f>+O92+O91+N91</f>
        <v>17900.46770076</v>
      </c>
      <c r="P94" s="1491">
        <f>+I94*N94</f>
        <v>0</v>
      </c>
      <c r="Q94" s="1471">
        <f t="shared" si="96"/>
        <v>0</v>
      </c>
      <c r="R94" s="1471">
        <f t="shared" si="97"/>
        <v>0</v>
      </c>
      <c r="S94" s="1472">
        <f t="shared" si="98"/>
        <v>0</v>
      </c>
      <c r="U94" s="693">
        <v>550</v>
      </c>
      <c r="V94" s="693">
        <v>550</v>
      </c>
      <c r="W94" s="1499">
        <f t="shared" si="99"/>
        <v>0</v>
      </c>
      <c r="X94" s="2037">
        <f t="shared" si="100"/>
        <v>0</v>
      </c>
    </row>
    <row r="95" spans="2:24" ht="15.75">
      <c r="B95" s="1461"/>
      <c r="C95" s="1462">
        <v>42919</v>
      </c>
      <c r="D95" s="1500"/>
      <c r="E95" s="3330" t="s">
        <v>2612</v>
      </c>
      <c r="F95" s="1855" t="s">
        <v>2388</v>
      </c>
      <c r="G95" s="1465">
        <v>2</v>
      </c>
      <c r="H95" s="1466">
        <v>165.2542</v>
      </c>
      <c r="I95" s="1467">
        <f t="shared" si="95"/>
        <v>330.50839999999999</v>
      </c>
      <c r="J95" s="3333">
        <f>SUM(I95:I97)</f>
        <v>330.50839999999999</v>
      </c>
      <c r="K95" s="3336">
        <f>+J95*0.18</f>
        <v>59.491512</v>
      </c>
      <c r="L95" s="3336"/>
      <c r="M95" s="3339">
        <f>+K95+J95</f>
        <v>389.99991199999999</v>
      </c>
      <c r="N95" s="1468">
        <f>+L95</f>
        <v>0</v>
      </c>
      <c r="O95" s="1469">
        <f>SUM(P95:P97)</f>
        <v>1075.1438252</v>
      </c>
      <c r="P95" s="1470">
        <f>+I95*N97</f>
        <v>1075.1438252</v>
      </c>
      <c r="Q95" s="1471">
        <f t="shared" si="96"/>
        <v>537.57191260000002</v>
      </c>
      <c r="R95" s="1471">
        <f t="shared" si="97"/>
        <v>96.762944267999998</v>
      </c>
      <c r="S95" s="1472">
        <f t="shared" si="98"/>
        <v>634.33485686799997</v>
      </c>
      <c r="T95" s="652">
        <f>+H95*1.18*N97</f>
        <v>634.33485686799997</v>
      </c>
      <c r="U95" s="693">
        <f>+T95*1.02</f>
        <v>647.02155400536003</v>
      </c>
      <c r="W95" s="1493">
        <f t="shared" si="99"/>
        <v>194.999956</v>
      </c>
      <c r="X95" s="2037">
        <f t="shared" si="100"/>
        <v>194.999956</v>
      </c>
    </row>
    <row r="96" spans="2:24" ht="15.75">
      <c r="B96" s="2488" t="s">
        <v>375</v>
      </c>
      <c r="C96" s="1474"/>
      <c r="D96" s="1463" t="s">
        <v>426</v>
      </c>
      <c r="E96" s="3331"/>
      <c r="F96" s="1475"/>
      <c r="G96" s="2119">
        <v>9.9999999999999993E-40</v>
      </c>
      <c r="H96" s="1477">
        <v>0</v>
      </c>
      <c r="I96" s="1478">
        <f t="shared" si="95"/>
        <v>0</v>
      </c>
      <c r="J96" s="3334"/>
      <c r="K96" s="3337"/>
      <c r="L96" s="3337"/>
      <c r="M96" s="3340"/>
      <c r="N96" s="2210" t="s">
        <v>2613</v>
      </c>
      <c r="O96" s="1480">
        <f>+O95*0.18</f>
        <v>193.525888536</v>
      </c>
      <c r="P96" s="1481">
        <f>+I96*N97</f>
        <v>0</v>
      </c>
      <c r="Q96" s="1471">
        <f t="shared" si="96"/>
        <v>0</v>
      </c>
      <c r="R96" s="1471">
        <f t="shared" si="97"/>
        <v>0</v>
      </c>
      <c r="S96" s="1472">
        <f t="shared" si="98"/>
        <v>0</v>
      </c>
      <c r="U96" s="693">
        <f>320*2.8</f>
        <v>896</v>
      </c>
      <c r="V96" s="693">
        <f>347*2.8</f>
        <v>971.59999999999991</v>
      </c>
      <c r="W96" s="1493">
        <f t="shared" si="99"/>
        <v>0</v>
      </c>
      <c r="X96" s="2037">
        <f t="shared" si="100"/>
        <v>0</v>
      </c>
    </row>
    <row r="97" spans="2:24" ht="13.7" customHeight="1" thickBot="1">
      <c r="B97" s="1482"/>
      <c r="C97" s="1483"/>
      <c r="D97" s="1484"/>
      <c r="E97" s="3342"/>
      <c r="F97" s="1485"/>
      <c r="G97" s="2377">
        <v>4.5000000000000001E-42</v>
      </c>
      <c r="H97" s="2378">
        <v>0</v>
      </c>
      <c r="I97" s="2379">
        <f t="shared" si="95"/>
        <v>0</v>
      </c>
      <c r="J97" s="3343"/>
      <c r="K97" s="3344"/>
      <c r="L97" s="3344"/>
      <c r="M97" s="3345"/>
      <c r="N97" s="1489">
        <f>(3.251+3.255)/2</f>
        <v>3.2530000000000001</v>
      </c>
      <c r="O97" s="1490">
        <f>+O96+O95+N95</f>
        <v>1268.6697137359999</v>
      </c>
      <c r="P97" s="1491">
        <f>+I97*N97</f>
        <v>0</v>
      </c>
      <c r="Q97" s="1471">
        <f t="shared" si="96"/>
        <v>0</v>
      </c>
      <c r="R97" s="1471">
        <f t="shared" si="97"/>
        <v>0</v>
      </c>
      <c r="S97" s="1472">
        <f t="shared" si="98"/>
        <v>0</v>
      </c>
      <c r="U97" s="693">
        <v>550</v>
      </c>
      <c r="V97" s="693">
        <v>550</v>
      </c>
      <c r="W97" s="1499">
        <f t="shared" si="99"/>
        <v>0</v>
      </c>
      <c r="X97" s="2037">
        <f t="shared" si="100"/>
        <v>0</v>
      </c>
    </row>
    <row r="98" spans="2:24" ht="15.75">
      <c r="B98" s="1461"/>
      <c r="C98" s="1462">
        <v>42949</v>
      </c>
      <c r="D98" s="1500"/>
      <c r="E98" s="3330" t="s">
        <v>2637</v>
      </c>
      <c r="F98" s="2324" t="s">
        <v>2635</v>
      </c>
      <c r="G98" s="1465">
        <v>1</v>
      </c>
      <c r="H98" s="1466">
        <v>161.01689999999999</v>
      </c>
      <c r="I98" s="1467">
        <f t="shared" si="95"/>
        <v>161.01689999999999</v>
      </c>
      <c r="J98" s="3333">
        <f>SUM(I98:I100)</f>
        <v>338.98300169491529</v>
      </c>
      <c r="K98" s="3336">
        <f>+J98*0.18</f>
        <v>61.016940305084752</v>
      </c>
      <c r="L98" s="3336"/>
      <c r="M98" s="3339">
        <f>+K98+J98</f>
        <v>399.99994200000003</v>
      </c>
      <c r="N98" s="1468">
        <f>+L98</f>
        <v>0</v>
      </c>
      <c r="O98" s="1469">
        <f>SUM(P98:P100)</f>
        <v>1097.9659424898305</v>
      </c>
      <c r="P98" s="1470">
        <f>+I98*N100</f>
        <v>521.53373909999993</v>
      </c>
      <c r="Q98" s="1471">
        <f t="shared" si="96"/>
        <v>521.53373909999993</v>
      </c>
      <c r="R98" s="1471">
        <f t="shared" si="97"/>
        <v>93.876073037999987</v>
      </c>
      <c r="S98" s="1472">
        <f t="shared" si="98"/>
        <v>615.40981213799989</v>
      </c>
      <c r="T98" s="652">
        <f>+H98*1.18*N100</f>
        <v>615.40981213799989</v>
      </c>
      <c r="U98" s="693">
        <f>+T98*1.02</f>
        <v>627.7180083807599</v>
      </c>
      <c r="W98" s="1493">
        <f t="shared" si="99"/>
        <v>189.99994199999998</v>
      </c>
      <c r="X98" s="2037">
        <f t="shared" si="100"/>
        <v>189.99994199999998</v>
      </c>
    </row>
    <row r="99" spans="2:24" ht="15.75">
      <c r="B99" s="2590"/>
      <c r="C99" s="1474">
        <v>42949</v>
      </c>
      <c r="D99" s="1463" t="s">
        <v>426</v>
      </c>
      <c r="E99" s="3331"/>
      <c r="F99" s="2323" t="s">
        <v>2636</v>
      </c>
      <c r="G99" s="2119">
        <v>3</v>
      </c>
      <c r="H99" s="1477">
        <v>59.322033898305087</v>
      </c>
      <c r="I99" s="1478">
        <f t="shared" si="95"/>
        <v>177.96610169491527</v>
      </c>
      <c r="J99" s="3334"/>
      <c r="K99" s="3337"/>
      <c r="L99" s="3337"/>
      <c r="M99" s="3340"/>
      <c r="N99" s="2210" t="s">
        <v>2668</v>
      </c>
      <c r="O99" s="1480">
        <f>+O98*0.18</f>
        <v>197.63386964816948</v>
      </c>
      <c r="P99" s="1481">
        <f>+I99*N100</f>
        <v>576.43220338983053</v>
      </c>
      <c r="Q99" s="1471">
        <f t="shared" si="96"/>
        <v>192.14406779661019</v>
      </c>
      <c r="R99" s="1471">
        <f t="shared" si="97"/>
        <v>34.585932203389831</v>
      </c>
      <c r="S99" s="1472">
        <f t="shared" si="98"/>
        <v>226.73000000000002</v>
      </c>
      <c r="U99" s="693">
        <f>320*2.8</f>
        <v>896</v>
      </c>
      <c r="V99" s="693">
        <f>347*2.8</f>
        <v>971.59999999999991</v>
      </c>
      <c r="W99" s="1493">
        <f t="shared" si="99"/>
        <v>70</v>
      </c>
      <c r="X99" s="2037">
        <f t="shared" si="100"/>
        <v>70</v>
      </c>
    </row>
    <row r="100" spans="2:24" ht="13.7" customHeight="1">
      <c r="B100" s="2590" t="s">
        <v>266</v>
      </c>
      <c r="C100" s="1503"/>
      <c r="D100" s="1504"/>
      <c r="E100" s="3332"/>
      <c r="F100" s="1541"/>
      <c r="G100" s="2341">
        <v>4.5000000000000001E-42</v>
      </c>
      <c r="H100" s="2342">
        <v>0</v>
      </c>
      <c r="I100" s="2343">
        <f t="shared" si="95"/>
        <v>0</v>
      </c>
      <c r="J100" s="3335"/>
      <c r="K100" s="3338"/>
      <c r="L100" s="3338"/>
      <c r="M100" s="3341"/>
      <c r="N100" s="2337">
        <f>(3.238+3.24)/2</f>
        <v>3.2389999999999999</v>
      </c>
      <c r="O100" s="2338">
        <f>+O99+O98+N98</f>
        <v>1295.5998121379998</v>
      </c>
      <c r="P100" s="2339">
        <f>+I100*N100</f>
        <v>0</v>
      </c>
      <c r="Q100" s="1471">
        <f t="shared" si="96"/>
        <v>0</v>
      </c>
      <c r="R100" s="1471">
        <f t="shared" si="97"/>
        <v>0</v>
      </c>
      <c r="S100" s="1472">
        <f t="shared" si="98"/>
        <v>0</v>
      </c>
      <c r="U100" s="693">
        <v>550</v>
      </c>
      <c r="V100" s="693">
        <v>550</v>
      </c>
      <c r="W100" s="1499">
        <f t="shared" si="99"/>
        <v>0</v>
      </c>
      <c r="X100" s="2037">
        <f t="shared" si="100"/>
        <v>0</v>
      </c>
    </row>
    <row r="101" spans="2:24" ht="15.75">
      <c r="B101" s="1494"/>
      <c r="C101" s="1474">
        <v>42978</v>
      </c>
      <c r="D101" s="1463"/>
      <c r="E101" s="3346" t="s">
        <v>2850</v>
      </c>
      <c r="F101" s="2602" t="s">
        <v>2635</v>
      </c>
      <c r="G101" s="1570">
        <v>24</v>
      </c>
      <c r="H101" s="2334">
        <v>161.01689999999999</v>
      </c>
      <c r="I101" s="1478">
        <f t="shared" ref="I101:I109" si="101">+H101*G101</f>
        <v>3864.4056</v>
      </c>
      <c r="J101" s="3334">
        <f>SUM(I101:I103)</f>
        <v>5288.1344135593226</v>
      </c>
      <c r="K101" s="3337">
        <f>+J101*0.18</f>
        <v>951.86419444067803</v>
      </c>
      <c r="L101" s="3337"/>
      <c r="M101" s="3340">
        <f>+K101+J101</f>
        <v>6239.9986080000008</v>
      </c>
      <c r="N101" s="2335">
        <f>+L101</f>
        <v>0</v>
      </c>
      <c r="O101" s="2336">
        <f>SUM(P101:P103)</f>
        <v>17136.199567138981</v>
      </c>
      <c r="P101" s="1481">
        <f>+I101*N103</f>
        <v>12522.606346799999</v>
      </c>
      <c r="Q101" s="1471">
        <f t="shared" ref="Q101:Q109" si="102">+P101/G101</f>
        <v>521.77526445000001</v>
      </c>
      <c r="R101" s="1471">
        <f t="shared" ref="R101:R109" si="103">+Q101*0.18</f>
        <v>93.919547601000005</v>
      </c>
      <c r="S101" s="1472">
        <f t="shared" ref="S101:S109" si="104">+R101+Q101</f>
        <v>615.69481205099999</v>
      </c>
      <c r="T101" s="652">
        <f>+H101*1.18*N103</f>
        <v>615.69481205099987</v>
      </c>
      <c r="U101" s="693">
        <f>+T101*1.02</f>
        <v>628.00870829201983</v>
      </c>
      <c r="W101" s="1493">
        <f t="shared" ref="W101:W109" si="105">+H101*1.18</f>
        <v>189.99994199999998</v>
      </c>
      <c r="X101" s="2037">
        <f t="shared" ref="X101:X109" si="106">+H101*1.18</f>
        <v>189.99994199999998</v>
      </c>
    </row>
    <row r="102" spans="2:24" ht="15.75">
      <c r="B102" s="2590"/>
      <c r="C102" s="1474">
        <v>42978</v>
      </c>
      <c r="D102" s="1463" t="s">
        <v>426</v>
      </c>
      <c r="E102" s="3346"/>
      <c r="F102" s="2323" t="s">
        <v>2636</v>
      </c>
      <c r="G102" s="2119">
        <v>24</v>
      </c>
      <c r="H102" s="1477">
        <v>59.322033898305087</v>
      </c>
      <c r="I102" s="1478">
        <f t="shared" si="101"/>
        <v>1423.7288135593221</v>
      </c>
      <c r="J102" s="3334"/>
      <c r="K102" s="3337"/>
      <c r="L102" s="3337"/>
      <c r="M102" s="3340"/>
      <c r="N102" s="2210" t="s">
        <v>2680</v>
      </c>
      <c r="O102" s="1480">
        <f>+O101*0.18</f>
        <v>3084.5159220850164</v>
      </c>
      <c r="P102" s="1481">
        <f>+I102*N103</f>
        <v>4613.593220338983</v>
      </c>
      <c r="Q102" s="1471">
        <f t="shared" si="102"/>
        <v>192.23305084745763</v>
      </c>
      <c r="R102" s="1471">
        <f t="shared" si="103"/>
        <v>34.601949152542375</v>
      </c>
      <c r="S102" s="1472">
        <f t="shared" si="104"/>
        <v>226.83500000000001</v>
      </c>
      <c r="U102" s="693">
        <f>320*2.8</f>
        <v>896</v>
      </c>
      <c r="V102" s="693">
        <f>347*2.8</f>
        <v>971.59999999999991</v>
      </c>
      <c r="W102" s="1493">
        <f t="shared" si="105"/>
        <v>70</v>
      </c>
      <c r="X102" s="2037">
        <f t="shared" si="106"/>
        <v>70</v>
      </c>
    </row>
    <row r="103" spans="2:24" ht="13.7" customHeight="1" thickBot="1">
      <c r="B103" s="1482"/>
      <c r="C103" s="1483"/>
      <c r="D103" s="1484"/>
      <c r="E103" s="3347"/>
      <c r="F103" s="1485"/>
      <c r="G103" s="2377">
        <v>4.5000000000000001E-42</v>
      </c>
      <c r="H103" s="2378">
        <v>0</v>
      </c>
      <c r="I103" s="2379">
        <f t="shared" si="101"/>
        <v>0</v>
      </c>
      <c r="J103" s="3343"/>
      <c r="K103" s="3344"/>
      <c r="L103" s="3344"/>
      <c r="M103" s="3345"/>
      <c r="N103" s="1489">
        <f>(3.239+3.242)/2</f>
        <v>3.2404999999999999</v>
      </c>
      <c r="O103" s="1490">
        <f>+O102+O101+N101</f>
        <v>20220.715489224</v>
      </c>
      <c r="P103" s="1491">
        <f>+I103*N103</f>
        <v>0</v>
      </c>
      <c r="Q103" s="1471">
        <f t="shared" si="102"/>
        <v>0</v>
      </c>
      <c r="R103" s="1471">
        <f t="shared" si="103"/>
        <v>0</v>
      </c>
      <c r="S103" s="1472">
        <f t="shared" si="104"/>
        <v>0</v>
      </c>
      <c r="U103" s="693">
        <v>550</v>
      </c>
      <c r="V103" s="693">
        <v>550</v>
      </c>
      <c r="W103" s="1499">
        <f t="shared" si="105"/>
        <v>0</v>
      </c>
      <c r="X103" s="2037">
        <f t="shared" si="106"/>
        <v>0</v>
      </c>
    </row>
    <row r="104" spans="2:24" ht="15.75">
      <c r="B104" s="1461"/>
      <c r="C104" s="1462">
        <v>42989</v>
      </c>
      <c r="D104" s="1500"/>
      <c r="E104" s="3330" t="s">
        <v>2681</v>
      </c>
      <c r="F104" s="1855" t="s">
        <v>2390</v>
      </c>
      <c r="G104" s="1465">
        <v>2</v>
      </c>
      <c r="H104" s="1466">
        <v>203.38980000000001</v>
      </c>
      <c r="I104" s="1467">
        <f>+H104*G104</f>
        <v>406.77960000000002</v>
      </c>
      <c r="J104" s="3333">
        <f>SUM(I104:I106)</f>
        <v>525.42360000000008</v>
      </c>
      <c r="K104" s="3336">
        <f>+J104*0.18</f>
        <v>94.576248000000007</v>
      </c>
      <c r="L104" s="3336"/>
      <c r="M104" s="3339">
        <f>+K104+J104</f>
        <v>619.99984800000004</v>
      </c>
      <c r="N104" s="1468">
        <f>+L104</f>
        <v>0</v>
      </c>
      <c r="O104" s="1469">
        <f>SUM(P104:P106)</f>
        <v>1697.6436516000001</v>
      </c>
      <c r="P104" s="1470">
        <f>+I104*N106</f>
        <v>1314.3048876</v>
      </c>
      <c r="Q104" s="1471">
        <f>+P104/G104</f>
        <v>657.15244380000001</v>
      </c>
      <c r="R104" s="1471">
        <f>+Q104*0.18</f>
        <v>118.28743988399999</v>
      </c>
      <c r="S104" s="1472">
        <f>+R104+Q104</f>
        <v>775.43988368400005</v>
      </c>
      <c r="T104" s="652">
        <f>+H104*1.18*N106</f>
        <v>775.43988368399994</v>
      </c>
      <c r="U104" s="693">
        <f>+T104*1.02</f>
        <v>790.9486813576799</v>
      </c>
      <c r="W104" s="1493">
        <f>+H104*1.18</f>
        <v>239.99996400000001</v>
      </c>
      <c r="X104" s="2037">
        <f>+H104*1.18</f>
        <v>239.99996400000001</v>
      </c>
    </row>
    <row r="105" spans="2:24" ht="15.75">
      <c r="B105" s="2646" t="s">
        <v>270</v>
      </c>
      <c r="C105" s="1474">
        <v>42989</v>
      </c>
      <c r="D105" s="1463" t="s">
        <v>426</v>
      </c>
      <c r="E105" s="3331"/>
      <c r="F105" s="1475" t="s">
        <v>2678</v>
      </c>
      <c r="G105" s="2119">
        <v>2</v>
      </c>
      <c r="H105" s="1477">
        <v>59.322000000000003</v>
      </c>
      <c r="I105" s="1478">
        <f>+H105*G105</f>
        <v>118.64400000000001</v>
      </c>
      <c r="J105" s="3334"/>
      <c r="K105" s="3337"/>
      <c r="L105" s="3337"/>
      <c r="M105" s="3340"/>
      <c r="N105" s="2210" t="s">
        <v>2679</v>
      </c>
      <c r="O105" s="1480">
        <f>+O104*0.18</f>
        <v>305.57585728800001</v>
      </c>
      <c r="P105" s="1481">
        <f>+I105*N106</f>
        <v>383.33876400000003</v>
      </c>
      <c r="Q105" s="1471">
        <f>+P105/G105</f>
        <v>191.66938200000001</v>
      </c>
      <c r="R105" s="1471">
        <f>+Q105*0.18</f>
        <v>34.500488760000003</v>
      </c>
      <c r="S105" s="1472">
        <f>+R105+Q105</f>
        <v>226.16987076000001</v>
      </c>
      <c r="U105" s="693">
        <f>320*2.8</f>
        <v>896</v>
      </c>
      <c r="V105" s="693">
        <f>347*2.8</f>
        <v>971.59999999999991</v>
      </c>
      <c r="W105" s="1493">
        <f>+H105*1.18</f>
        <v>69.999960000000002</v>
      </c>
      <c r="X105" s="2037">
        <f>+H105*1.18</f>
        <v>69.999960000000002</v>
      </c>
    </row>
    <row r="106" spans="2:24" ht="13.7" customHeight="1" thickBot="1">
      <c r="B106" s="1482"/>
      <c r="C106" s="1483"/>
      <c r="D106" s="1484"/>
      <c r="E106" s="3342"/>
      <c r="F106" s="1485"/>
      <c r="G106" s="2377">
        <v>4.5000000000000001E-42</v>
      </c>
      <c r="H106" s="2378">
        <v>0</v>
      </c>
      <c r="I106" s="2379">
        <f>+H106*G106</f>
        <v>0</v>
      </c>
      <c r="J106" s="3343"/>
      <c r="K106" s="3344"/>
      <c r="L106" s="3344"/>
      <c r="M106" s="3345"/>
      <c r="N106" s="1489">
        <f>(3.23+3.232)/2</f>
        <v>3.2309999999999999</v>
      </c>
      <c r="O106" s="1490">
        <f>+O105+O104+N104</f>
        <v>2003.2195088880001</v>
      </c>
      <c r="P106" s="1491">
        <f>+I106*N106</f>
        <v>0</v>
      </c>
      <c r="Q106" s="1471">
        <f>+P106/G106</f>
        <v>0</v>
      </c>
      <c r="R106" s="1471">
        <f>+Q106*0.18</f>
        <v>0</v>
      </c>
      <c r="S106" s="1472">
        <f>+R106+Q106</f>
        <v>0</v>
      </c>
      <c r="U106" s="693">
        <v>550</v>
      </c>
      <c r="V106" s="693">
        <v>550</v>
      </c>
      <c r="W106" s="1499">
        <f>+H106*1.18</f>
        <v>0</v>
      </c>
      <c r="X106" s="2037">
        <f>+H106*1.18</f>
        <v>0</v>
      </c>
    </row>
    <row r="107" spans="2:24" ht="15">
      <c r="B107" s="1461"/>
      <c r="C107" s="1462"/>
      <c r="D107" s="1500"/>
      <c r="E107" s="3330" t="s">
        <v>2735</v>
      </c>
      <c r="F107" s="1464"/>
      <c r="G107" s="2679">
        <v>0</v>
      </c>
      <c r="H107" s="1466"/>
      <c r="I107" s="1467">
        <f t="shared" si="101"/>
        <v>0</v>
      </c>
      <c r="J107" s="3333">
        <f>SUM(I107:I109)</f>
        <v>483.05084745762719</v>
      </c>
      <c r="K107" s="3336">
        <f>+J107*0.18</f>
        <v>86.949152542372886</v>
      </c>
      <c r="L107" s="3336"/>
      <c r="M107" s="3339">
        <f>+K107+J107</f>
        <v>570.00000000000011</v>
      </c>
      <c r="N107" s="1468">
        <f>+L107</f>
        <v>0</v>
      </c>
      <c r="O107" s="1469">
        <f>SUM(P107:P109)</f>
        <v>1560.7372881355934</v>
      </c>
      <c r="P107" s="1470">
        <f>+I107*N109</f>
        <v>0</v>
      </c>
      <c r="Q107" s="1471" t="e">
        <f t="shared" si="102"/>
        <v>#DIV/0!</v>
      </c>
      <c r="R107" s="1471" t="e">
        <f t="shared" si="103"/>
        <v>#DIV/0!</v>
      </c>
      <c r="S107" s="1472" t="e">
        <f t="shared" si="104"/>
        <v>#DIV/0!</v>
      </c>
      <c r="T107" s="652">
        <f>+H107*1.18*N109</f>
        <v>0</v>
      </c>
      <c r="U107" s="693">
        <f>+T107*1.02</f>
        <v>0</v>
      </c>
      <c r="W107" s="1493">
        <f t="shared" si="105"/>
        <v>0</v>
      </c>
      <c r="X107" s="2037">
        <f t="shared" si="106"/>
        <v>0</v>
      </c>
    </row>
    <row r="108" spans="2:24" ht="15.75">
      <c r="B108" s="2646"/>
      <c r="C108" s="1474">
        <v>43019</v>
      </c>
      <c r="D108" s="1463" t="s">
        <v>426</v>
      </c>
      <c r="E108" s="3331"/>
      <c r="F108" s="1475" t="s">
        <v>2388</v>
      </c>
      <c r="G108" s="2119">
        <v>3</v>
      </c>
      <c r="H108" s="1477">
        <v>161.0169491525424</v>
      </c>
      <c r="I108" s="1478">
        <f>+H108*G108</f>
        <v>483.05084745762719</v>
      </c>
      <c r="J108" s="3334"/>
      <c r="K108" s="3337"/>
      <c r="L108" s="3337"/>
      <c r="M108" s="3340"/>
      <c r="N108" s="2210" t="s">
        <v>2733</v>
      </c>
      <c r="O108" s="1480">
        <f>+O107*0.18</f>
        <v>280.93271186440683</v>
      </c>
      <c r="P108" s="1481">
        <f>+I108*N109</f>
        <v>1560.7372881355934</v>
      </c>
      <c r="Q108" s="1471">
        <f t="shared" si="102"/>
        <v>520.24576271186447</v>
      </c>
      <c r="R108" s="1471">
        <f t="shared" si="103"/>
        <v>93.644237288135599</v>
      </c>
      <c r="S108" s="1472">
        <f t="shared" si="104"/>
        <v>613.8900000000001</v>
      </c>
      <c r="U108" s="693">
        <f>320*2.8</f>
        <v>896</v>
      </c>
      <c r="V108" s="693">
        <f>347*2.8</f>
        <v>971.59999999999991</v>
      </c>
      <c r="W108" s="1493">
        <f t="shared" si="105"/>
        <v>190.00000000000003</v>
      </c>
      <c r="X108" s="2037">
        <f t="shared" si="106"/>
        <v>190.00000000000003</v>
      </c>
    </row>
    <row r="109" spans="2:24" ht="13.7" customHeight="1">
      <c r="B109" s="2650" t="s">
        <v>272</v>
      </c>
      <c r="C109" s="1503"/>
      <c r="D109" s="1504"/>
      <c r="E109" s="3332"/>
      <c r="F109" s="1541"/>
      <c r="G109" s="2341">
        <v>4.5000000000000001E-42</v>
      </c>
      <c r="H109" s="2342">
        <v>0</v>
      </c>
      <c r="I109" s="2343">
        <f t="shared" si="101"/>
        <v>0</v>
      </c>
      <c r="J109" s="3335"/>
      <c r="K109" s="3338"/>
      <c r="L109" s="3338"/>
      <c r="M109" s="3341"/>
      <c r="N109" s="2337">
        <f>(3.23+3.232)/2</f>
        <v>3.2309999999999999</v>
      </c>
      <c r="O109" s="2338">
        <f>+O108+O107+N107</f>
        <v>1841.6700000000003</v>
      </c>
      <c r="P109" s="2339">
        <f>+I109*N109</f>
        <v>0</v>
      </c>
      <c r="Q109" s="1471">
        <f t="shared" si="102"/>
        <v>0</v>
      </c>
      <c r="R109" s="1471">
        <f t="shared" si="103"/>
        <v>0</v>
      </c>
      <c r="S109" s="1472">
        <f t="shared" si="104"/>
        <v>0</v>
      </c>
      <c r="U109" s="693">
        <v>550</v>
      </c>
      <c r="V109" s="693">
        <v>550</v>
      </c>
      <c r="W109" s="1499">
        <f t="shared" si="105"/>
        <v>0</v>
      </c>
      <c r="X109" s="2037">
        <f t="shared" si="106"/>
        <v>0</v>
      </c>
    </row>
    <row r="110" spans="2:24" ht="15.75">
      <c r="B110" s="2650"/>
      <c r="C110" s="1474">
        <v>43039</v>
      </c>
      <c r="D110" s="1463"/>
      <c r="E110" s="3331" t="s">
        <v>2760</v>
      </c>
      <c r="F110" s="1855" t="s">
        <v>2390</v>
      </c>
      <c r="G110" s="1570">
        <v>2</v>
      </c>
      <c r="H110" s="2658">
        <f>235/(1.18)</f>
        <v>199.15254237288136</v>
      </c>
      <c r="I110" s="2655">
        <f t="shared" ref="I110:I121" si="107">+H110*G110</f>
        <v>398.30508474576271</v>
      </c>
      <c r="J110" s="3334">
        <f>SUM(I110:I112)</f>
        <v>2584.7457627118647</v>
      </c>
      <c r="K110" s="3337">
        <f>+J110*0.18</f>
        <v>465.25423728813564</v>
      </c>
      <c r="L110" s="3337"/>
      <c r="M110" s="3340">
        <f>+K110+J110</f>
        <v>3050.0000000000005</v>
      </c>
      <c r="N110" s="2335">
        <f>+L110</f>
        <v>0</v>
      </c>
      <c r="O110" s="2336">
        <f>SUM(P110:P112)</f>
        <v>8351.3135593220341</v>
      </c>
      <c r="P110" s="1481">
        <f>+I110*N112</f>
        <v>1286.9237288135594</v>
      </c>
      <c r="Q110" s="1471">
        <f t="shared" ref="Q110:Q121" si="108">+P110/G110</f>
        <v>643.46186440677968</v>
      </c>
      <c r="R110" s="1471">
        <f t="shared" ref="R110:R121" si="109">+Q110*0.18</f>
        <v>115.82313559322034</v>
      </c>
      <c r="S110" s="1472">
        <f t="shared" ref="S110:S121" si="110">+R110+Q110</f>
        <v>759.28500000000008</v>
      </c>
      <c r="T110" s="652">
        <f>+H110*1.18*N112</f>
        <v>759.28499999999997</v>
      </c>
      <c r="U110" s="693">
        <f>+T110*1.02</f>
        <v>774.47069999999997</v>
      </c>
      <c r="W110" s="1493">
        <f t="shared" ref="W110:W121" si="111">+H110*1.18</f>
        <v>235</v>
      </c>
      <c r="X110" s="2037">
        <f t="shared" ref="X110:X121" si="112">+H110*1.18</f>
        <v>235</v>
      </c>
    </row>
    <row r="111" spans="2:24" ht="15.75">
      <c r="B111" s="2650"/>
      <c r="C111" s="1474">
        <v>43039</v>
      </c>
      <c r="D111" s="1463" t="s">
        <v>426</v>
      </c>
      <c r="E111" s="3331"/>
      <c r="F111" s="1475" t="s">
        <v>2389</v>
      </c>
      <c r="G111" s="2119">
        <v>8</v>
      </c>
      <c r="H111" s="2654">
        <f>235/(1.18)</f>
        <v>199.15254237288136</v>
      </c>
      <c r="I111" s="2655">
        <f t="shared" si="107"/>
        <v>1593.2203389830509</v>
      </c>
      <c r="J111" s="3334"/>
      <c r="K111" s="3337"/>
      <c r="L111" s="3337"/>
      <c r="M111" s="3340"/>
      <c r="N111" s="2210" t="s">
        <v>2750</v>
      </c>
      <c r="O111" s="1480">
        <f>+O110*0.18</f>
        <v>1503.2364406779661</v>
      </c>
      <c r="P111" s="1481">
        <f>+I111*N112</f>
        <v>5147.6949152542375</v>
      </c>
      <c r="Q111" s="1471">
        <f t="shared" si="108"/>
        <v>643.46186440677968</v>
      </c>
      <c r="R111" s="1471">
        <f t="shared" si="109"/>
        <v>115.82313559322034</v>
      </c>
      <c r="S111" s="1472">
        <f t="shared" si="110"/>
        <v>759.28500000000008</v>
      </c>
      <c r="U111" s="693">
        <f>320*2.8</f>
        <v>896</v>
      </c>
      <c r="V111" s="693">
        <f>347*2.8</f>
        <v>971.59999999999991</v>
      </c>
      <c r="W111" s="1493">
        <f t="shared" si="111"/>
        <v>235</v>
      </c>
      <c r="X111" s="2037">
        <f t="shared" si="112"/>
        <v>235</v>
      </c>
    </row>
    <row r="112" spans="2:24" ht="13.7" customHeight="1" thickBot="1">
      <c r="B112" s="1482"/>
      <c r="C112" s="1483">
        <v>43039</v>
      </c>
      <c r="D112" s="1484"/>
      <c r="E112" s="3342"/>
      <c r="F112" s="1578" t="s">
        <v>2391</v>
      </c>
      <c r="G112" s="2120">
        <v>10</v>
      </c>
      <c r="H112" s="2656">
        <f>70/(1.18)</f>
        <v>59.322033898305087</v>
      </c>
      <c r="I112" s="2657">
        <f t="shared" si="107"/>
        <v>593.22033898305085</v>
      </c>
      <c r="J112" s="3343"/>
      <c r="K112" s="3344"/>
      <c r="L112" s="3344"/>
      <c r="M112" s="3345"/>
      <c r="N112" s="1489">
        <f>(3.23+3.232)/2</f>
        <v>3.2309999999999999</v>
      </c>
      <c r="O112" s="1490">
        <f>+O111+O110+N110</f>
        <v>9854.5499999999993</v>
      </c>
      <c r="P112" s="1491">
        <f>+I112*N112</f>
        <v>1916.6949152542372</v>
      </c>
      <c r="Q112" s="1471">
        <f t="shared" si="108"/>
        <v>191.66949152542372</v>
      </c>
      <c r="R112" s="1471">
        <f t="shared" si="109"/>
        <v>34.500508474576272</v>
      </c>
      <c r="S112" s="1472">
        <f t="shared" si="110"/>
        <v>226.17</v>
      </c>
      <c r="U112" s="693">
        <v>550</v>
      </c>
      <c r="V112" s="693">
        <v>550</v>
      </c>
      <c r="W112" s="1499">
        <f t="shared" si="111"/>
        <v>70</v>
      </c>
      <c r="X112" s="2037">
        <f t="shared" si="112"/>
        <v>70</v>
      </c>
    </row>
    <row r="113" spans="2:24" ht="15">
      <c r="B113" s="1461"/>
      <c r="C113" s="1462"/>
      <c r="D113" s="1500"/>
      <c r="E113" s="3330" t="s">
        <v>2800</v>
      </c>
      <c r="F113" s="1464"/>
      <c r="G113" s="2679">
        <v>0</v>
      </c>
      <c r="H113" s="2678">
        <v>0</v>
      </c>
      <c r="I113" s="1467">
        <f t="shared" ref="I113:I118" si="113">+H113*G113</f>
        <v>0</v>
      </c>
      <c r="J113" s="3333">
        <f>SUM(I113:I115)</f>
        <v>101.6952</v>
      </c>
      <c r="K113" s="3336">
        <f>+J113*0.18</f>
        <v>18.305136000000001</v>
      </c>
      <c r="L113" s="3336"/>
      <c r="M113" s="3339">
        <f>+K113+J113</f>
        <v>120.000336</v>
      </c>
      <c r="N113" s="1468">
        <f>+L113</f>
        <v>0</v>
      </c>
      <c r="O113" s="1469">
        <f>SUM(P113:P115)</f>
        <v>328.57719119999996</v>
      </c>
      <c r="P113" s="1470">
        <f>+I113*N115</f>
        <v>0</v>
      </c>
      <c r="Q113" s="1471" t="e">
        <f t="shared" ref="Q113:Q118" si="114">+P113/G113</f>
        <v>#DIV/0!</v>
      </c>
      <c r="R113" s="1471" t="e">
        <f t="shared" ref="R113:R118" si="115">+Q113*0.18</f>
        <v>#DIV/0!</v>
      </c>
      <c r="S113" s="1472" t="e">
        <f t="shared" ref="S113:S118" si="116">+R113+Q113</f>
        <v>#DIV/0!</v>
      </c>
      <c r="T113" s="652">
        <f>+H113*1.18*N115</f>
        <v>0</v>
      </c>
      <c r="U113" s="693">
        <f>+T113*1.02</f>
        <v>0</v>
      </c>
      <c r="W113" s="1493">
        <f t="shared" ref="W113:W118" si="117">+H113*1.18</f>
        <v>0</v>
      </c>
      <c r="X113" s="2037">
        <f t="shared" ref="X113:X118" si="118">+H113*1.18</f>
        <v>0</v>
      </c>
    </row>
    <row r="114" spans="2:24" ht="15.75">
      <c r="B114" s="2677"/>
      <c r="C114" s="1474">
        <v>43074</v>
      </c>
      <c r="D114" s="1463" t="s">
        <v>426</v>
      </c>
      <c r="E114" s="3331"/>
      <c r="F114" s="1475" t="s">
        <v>465</v>
      </c>
      <c r="G114" s="2119">
        <v>12</v>
      </c>
      <c r="H114" s="1477">
        <v>8.4746000000000006</v>
      </c>
      <c r="I114" s="1478">
        <f t="shared" si="113"/>
        <v>101.6952</v>
      </c>
      <c r="J114" s="3334"/>
      <c r="K114" s="3337"/>
      <c r="L114" s="3337"/>
      <c r="M114" s="3340"/>
      <c r="N114" s="2210" t="s">
        <v>2801</v>
      </c>
      <c r="O114" s="1480">
        <f>+O113*0.18</f>
        <v>59.143894415999988</v>
      </c>
      <c r="P114" s="1481">
        <f>+I114*N115</f>
        <v>328.57719119999996</v>
      </c>
      <c r="Q114" s="1471">
        <f t="shared" si="114"/>
        <v>27.381432599999997</v>
      </c>
      <c r="R114" s="1471">
        <f t="shared" si="115"/>
        <v>4.9286578679999993</v>
      </c>
      <c r="S114" s="1472">
        <f t="shared" si="116"/>
        <v>32.310090467999999</v>
      </c>
      <c r="U114" s="693">
        <f>320*2.8</f>
        <v>896</v>
      </c>
      <c r="V114" s="693">
        <f>347*2.8</f>
        <v>971.59999999999991</v>
      </c>
      <c r="W114" s="1493">
        <f t="shared" si="117"/>
        <v>10.000028</v>
      </c>
      <c r="X114" s="2037">
        <f t="shared" si="118"/>
        <v>10.000028</v>
      </c>
    </row>
    <row r="115" spans="2:24" ht="13.7" customHeight="1" thickBot="1">
      <c r="B115" s="2677"/>
      <c r="C115" s="1483"/>
      <c r="D115" s="1484"/>
      <c r="E115" s="3342"/>
      <c r="F115" s="1485"/>
      <c r="G115" s="2377">
        <v>4.5000000000000001E-42</v>
      </c>
      <c r="H115" s="2378">
        <v>0</v>
      </c>
      <c r="I115" s="2379">
        <f t="shared" si="113"/>
        <v>0</v>
      </c>
      <c r="J115" s="3343"/>
      <c r="K115" s="3344"/>
      <c r="L115" s="3344"/>
      <c r="M115" s="3345"/>
      <c r="N115" s="1489">
        <f>(3.23+3.232)/2</f>
        <v>3.2309999999999999</v>
      </c>
      <c r="O115" s="1490">
        <f>+O114+O113+N113</f>
        <v>387.72108561599993</v>
      </c>
      <c r="P115" s="1491">
        <f>+I115*N115</f>
        <v>0</v>
      </c>
      <c r="Q115" s="1471">
        <f t="shared" si="114"/>
        <v>0</v>
      </c>
      <c r="R115" s="1471">
        <f t="shared" si="115"/>
        <v>0</v>
      </c>
      <c r="S115" s="1472">
        <f t="shared" si="116"/>
        <v>0</v>
      </c>
      <c r="U115" s="693">
        <v>550</v>
      </c>
      <c r="V115" s="693">
        <v>550</v>
      </c>
      <c r="W115" s="1499">
        <f t="shared" si="117"/>
        <v>0</v>
      </c>
      <c r="X115" s="2037">
        <f t="shared" si="118"/>
        <v>0</v>
      </c>
    </row>
    <row r="116" spans="2:24" ht="15">
      <c r="B116" s="2692"/>
      <c r="C116" s="1462"/>
      <c r="D116" s="1500"/>
      <c r="E116" s="3330" t="s">
        <v>2851</v>
      </c>
      <c r="F116" s="1464"/>
      <c r="G116" s="2679">
        <v>0</v>
      </c>
      <c r="H116" s="2678">
        <v>0</v>
      </c>
      <c r="I116" s="1467">
        <f t="shared" si="113"/>
        <v>0</v>
      </c>
      <c r="J116" s="3333">
        <f>SUM(I116:I118)</f>
        <v>155.3898305084746</v>
      </c>
      <c r="K116" s="3336">
        <f>+J116*0.18</f>
        <v>27.970169491525429</v>
      </c>
      <c r="L116" s="3336"/>
      <c r="M116" s="3339">
        <f>+K116+J116</f>
        <v>183.36000000000004</v>
      </c>
      <c r="N116" s="1468">
        <f>+L116</f>
        <v>0</v>
      </c>
      <c r="O116" s="1469">
        <f>SUM(P116:P118)</f>
        <v>502.06454237288142</v>
      </c>
      <c r="P116" s="1470">
        <f>+I116*N118</f>
        <v>0</v>
      </c>
      <c r="Q116" s="1471" t="e">
        <f t="shared" si="114"/>
        <v>#DIV/0!</v>
      </c>
      <c r="R116" s="1471" t="e">
        <f t="shared" si="115"/>
        <v>#DIV/0!</v>
      </c>
      <c r="S116" s="1472" t="e">
        <f t="shared" si="116"/>
        <v>#DIV/0!</v>
      </c>
      <c r="T116" s="652">
        <f>+H116*1.18*N118</f>
        <v>0</v>
      </c>
      <c r="U116" s="693">
        <f>+T116*1.02</f>
        <v>0</v>
      </c>
      <c r="W116" s="1493">
        <f t="shared" si="117"/>
        <v>0</v>
      </c>
      <c r="X116" s="2037">
        <f t="shared" si="118"/>
        <v>0</v>
      </c>
    </row>
    <row r="117" spans="2:24" ht="15.75">
      <c r="B117" s="2692"/>
      <c r="C117" s="1474">
        <v>43081</v>
      </c>
      <c r="D117" s="1463" t="s">
        <v>426</v>
      </c>
      <c r="E117" s="3331"/>
      <c r="F117" s="1475" t="s">
        <v>2812</v>
      </c>
      <c r="G117" s="2119">
        <v>2</v>
      </c>
      <c r="H117" s="2654">
        <f>91.68/(1.18)</f>
        <v>77.694915254237301</v>
      </c>
      <c r="I117" s="1478">
        <f t="shared" si="113"/>
        <v>155.3898305084746</v>
      </c>
      <c r="J117" s="3334"/>
      <c r="K117" s="3337"/>
      <c r="L117" s="3337"/>
      <c r="M117" s="3340"/>
      <c r="N117" s="2210" t="s">
        <v>2811</v>
      </c>
      <c r="O117" s="1480">
        <f>+O116*0.18</f>
        <v>90.371617627118653</v>
      </c>
      <c r="P117" s="1481">
        <f>+I117*N118</f>
        <v>502.06454237288142</v>
      </c>
      <c r="Q117" s="1471">
        <f t="shared" si="114"/>
        <v>251.03227118644071</v>
      </c>
      <c r="R117" s="1471">
        <f t="shared" si="115"/>
        <v>45.185808813559326</v>
      </c>
      <c r="S117" s="1472">
        <f t="shared" si="116"/>
        <v>296.21808000000004</v>
      </c>
      <c r="U117" s="693">
        <f>320*2.8</f>
        <v>896</v>
      </c>
      <c r="V117" s="693">
        <f>347*2.8</f>
        <v>971.59999999999991</v>
      </c>
      <c r="W117" s="1493">
        <f t="shared" si="117"/>
        <v>91.68</v>
      </c>
      <c r="X117" s="2037">
        <f t="shared" si="118"/>
        <v>91.68</v>
      </c>
    </row>
    <row r="118" spans="2:24" ht="13.7" customHeight="1" thickBot="1">
      <c r="B118" s="2692"/>
      <c r="C118" s="1483"/>
      <c r="D118" s="1484"/>
      <c r="E118" s="3342"/>
      <c r="F118" s="2696" t="s">
        <v>2813</v>
      </c>
      <c r="G118" s="2377">
        <v>4.5000000000000001E-42</v>
      </c>
      <c r="H118" s="2378">
        <v>0</v>
      </c>
      <c r="I118" s="2379">
        <f t="shared" si="113"/>
        <v>0</v>
      </c>
      <c r="J118" s="3343"/>
      <c r="K118" s="3344"/>
      <c r="L118" s="3344"/>
      <c r="M118" s="3345"/>
      <c r="N118" s="1489">
        <f>(3.23+3.232)/2</f>
        <v>3.2309999999999999</v>
      </c>
      <c r="O118" s="1490">
        <f>+O117+O116+N116</f>
        <v>592.43616000000009</v>
      </c>
      <c r="P118" s="1491">
        <f>+I118*N118</f>
        <v>0</v>
      </c>
      <c r="Q118" s="1471">
        <f t="shared" si="114"/>
        <v>0</v>
      </c>
      <c r="R118" s="1471">
        <f t="shared" si="115"/>
        <v>0</v>
      </c>
      <c r="S118" s="1472">
        <f t="shared" si="116"/>
        <v>0</v>
      </c>
      <c r="U118" s="693">
        <v>550</v>
      </c>
      <c r="V118" s="693">
        <v>550</v>
      </c>
      <c r="W118" s="1499">
        <f t="shared" si="117"/>
        <v>0</v>
      </c>
      <c r="X118" s="2037">
        <f t="shared" si="118"/>
        <v>0</v>
      </c>
    </row>
    <row r="119" spans="2:24" ht="15">
      <c r="B119" s="2692"/>
      <c r="C119" s="1462"/>
      <c r="D119" s="1500"/>
      <c r="E119" s="3330" t="s">
        <v>2809</v>
      </c>
      <c r="F119" s="1464"/>
      <c r="G119" s="2679">
        <v>0</v>
      </c>
      <c r="H119" s="2678">
        <v>0</v>
      </c>
      <c r="I119" s="1467">
        <f t="shared" si="107"/>
        <v>0</v>
      </c>
      <c r="J119" s="3333">
        <f>SUM(I119:I121)</f>
        <v>101.6952</v>
      </c>
      <c r="K119" s="3336">
        <f>+J119*0.18</f>
        <v>18.305136000000001</v>
      </c>
      <c r="L119" s="3336"/>
      <c r="M119" s="3339">
        <f>+K119+J119</f>
        <v>120.000336</v>
      </c>
      <c r="N119" s="1468">
        <f>+L119</f>
        <v>0</v>
      </c>
      <c r="O119" s="1469">
        <f>SUM(P119:P121)</f>
        <v>328.57719119999996</v>
      </c>
      <c r="P119" s="1470">
        <f>+I119*N121</f>
        <v>0</v>
      </c>
      <c r="Q119" s="1471" t="e">
        <f t="shared" si="108"/>
        <v>#DIV/0!</v>
      </c>
      <c r="R119" s="1471" t="e">
        <f t="shared" si="109"/>
        <v>#DIV/0!</v>
      </c>
      <c r="S119" s="1472" t="e">
        <f t="shared" si="110"/>
        <v>#DIV/0!</v>
      </c>
      <c r="T119" s="652">
        <f>+H119*1.18*N121</f>
        <v>0</v>
      </c>
      <c r="U119" s="693">
        <f>+T119*1.02</f>
        <v>0</v>
      </c>
      <c r="W119" s="1493">
        <f t="shared" si="111"/>
        <v>0</v>
      </c>
      <c r="X119" s="2037">
        <f t="shared" si="112"/>
        <v>0</v>
      </c>
    </row>
    <row r="120" spans="2:24" ht="15.75">
      <c r="B120" s="2692" t="s">
        <v>276</v>
      </c>
      <c r="C120" s="1474">
        <v>43088</v>
      </c>
      <c r="D120" s="1463" t="s">
        <v>426</v>
      </c>
      <c r="E120" s="3331"/>
      <c r="F120" s="1475" t="s">
        <v>465</v>
      </c>
      <c r="G120" s="2119">
        <v>12</v>
      </c>
      <c r="H120" s="1477">
        <v>8.4746000000000006</v>
      </c>
      <c r="I120" s="1478">
        <f t="shared" si="107"/>
        <v>101.6952</v>
      </c>
      <c r="J120" s="3334"/>
      <c r="K120" s="3337"/>
      <c r="L120" s="3337"/>
      <c r="M120" s="3340"/>
      <c r="N120" s="2210" t="s">
        <v>2810</v>
      </c>
      <c r="O120" s="1480">
        <f>+O119*0.18</f>
        <v>59.143894415999988</v>
      </c>
      <c r="P120" s="1481">
        <f>+I120*N121</f>
        <v>328.57719119999996</v>
      </c>
      <c r="Q120" s="1471">
        <f t="shared" si="108"/>
        <v>27.381432599999997</v>
      </c>
      <c r="R120" s="1471">
        <f t="shared" si="109"/>
        <v>4.9286578679999993</v>
      </c>
      <c r="S120" s="1472">
        <f t="shared" si="110"/>
        <v>32.310090467999999</v>
      </c>
      <c r="U120" s="693">
        <f>320*2.8</f>
        <v>896</v>
      </c>
      <c r="V120" s="693">
        <f>347*2.8</f>
        <v>971.59999999999991</v>
      </c>
      <c r="W120" s="1493">
        <f t="shared" si="111"/>
        <v>10.000028</v>
      </c>
      <c r="X120" s="2037">
        <f t="shared" si="112"/>
        <v>10.000028</v>
      </c>
    </row>
    <row r="121" spans="2:24" ht="13.7" customHeight="1" thickBot="1">
      <c r="B121" s="2692"/>
      <c r="C121" s="1483"/>
      <c r="D121" s="1484"/>
      <c r="E121" s="3342"/>
      <c r="F121" s="1485"/>
      <c r="G121" s="2377">
        <v>4.5000000000000001E-42</v>
      </c>
      <c r="H121" s="2378">
        <v>0</v>
      </c>
      <c r="I121" s="2379">
        <f t="shared" si="107"/>
        <v>0</v>
      </c>
      <c r="J121" s="3343"/>
      <c r="K121" s="3344"/>
      <c r="L121" s="3344"/>
      <c r="M121" s="3345"/>
      <c r="N121" s="1489">
        <f>(3.23+3.232)/2</f>
        <v>3.2309999999999999</v>
      </c>
      <c r="O121" s="1490">
        <f>+O120+O119+N119</f>
        <v>387.72108561599993</v>
      </c>
      <c r="P121" s="1491">
        <f>+I121*N121</f>
        <v>0</v>
      </c>
      <c r="Q121" s="1471">
        <f t="shared" si="108"/>
        <v>0</v>
      </c>
      <c r="R121" s="1471">
        <f t="shared" si="109"/>
        <v>0</v>
      </c>
      <c r="S121" s="1472">
        <f t="shared" si="110"/>
        <v>0</v>
      </c>
      <c r="U121" s="693">
        <v>550</v>
      </c>
      <c r="V121" s="693">
        <v>550</v>
      </c>
      <c r="W121" s="1499">
        <f t="shared" si="111"/>
        <v>0</v>
      </c>
      <c r="X121" s="2037">
        <f t="shared" si="112"/>
        <v>0</v>
      </c>
    </row>
    <row r="122" spans="2:24" ht="15.75">
      <c r="B122" s="2692"/>
      <c r="C122" s="1462">
        <v>43089</v>
      </c>
      <c r="D122" s="1500"/>
      <c r="E122" s="3330" t="s">
        <v>3330</v>
      </c>
      <c r="F122" s="1464" t="s">
        <v>2388</v>
      </c>
      <c r="G122" s="3018">
        <v>40</v>
      </c>
      <c r="H122" s="2678">
        <f>185/(1.18)</f>
        <v>156.77966101694915</v>
      </c>
      <c r="I122" s="2695">
        <f>+H122*G122</f>
        <v>6271.1864406779659</v>
      </c>
      <c r="J122" s="3333">
        <f>SUM(I122:I126)</f>
        <v>10508.474576271186</v>
      </c>
      <c r="K122" s="3336">
        <f>+J122*0.18</f>
        <v>1891.5254237288134</v>
      </c>
      <c r="L122" s="3336"/>
      <c r="M122" s="3339">
        <f>+K122+J122</f>
        <v>12400</v>
      </c>
      <c r="N122" s="1468">
        <f>+L122</f>
        <v>0</v>
      </c>
      <c r="O122" s="1469">
        <f>SUM(P122:P126)</f>
        <v>25409.898305084746</v>
      </c>
      <c r="P122" s="1470">
        <f>+I122*N126</f>
        <v>20262.203389830509</v>
      </c>
      <c r="Q122" s="1471">
        <f>+P122/G122</f>
        <v>506.55508474576271</v>
      </c>
      <c r="R122" s="1471">
        <f>+Q122*0.18</f>
        <v>91.179915254237287</v>
      </c>
      <c r="S122" s="1472">
        <f>+R122+Q122</f>
        <v>597.73500000000001</v>
      </c>
      <c r="T122" s="652">
        <f>+H122*1.18*N126</f>
        <v>597.7349999999999</v>
      </c>
      <c r="U122" s="693">
        <f>+T122*1.02</f>
        <v>609.6896999999999</v>
      </c>
      <c r="W122" s="1493">
        <f>+H122*1.18</f>
        <v>184.99999999999997</v>
      </c>
      <c r="X122" s="2037">
        <f>+H122*1.18</f>
        <v>184.99999999999997</v>
      </c>
    </row>
    <row r="123" spans="2:24" ht="15.75">
      <c r="B123" s="2692"/>
      <c r="C123" s="1474">
        <v>43089</v>
      </c>
      <c r="D123" s="1463" t="s">
        <v>426</v>
      </c>
      <c r="E123" s="3331"/>
      <c r="F123" s="1475" t="s">
        <v>2390</v>
      </c>
      <c r="G123" s="2119">
        <v>8</v>
      </c>
      <c r="H123" s="2654">
        <f>235/(1.18)</f>
        <v>199.15254237288136</v>
      </c>
      <c r="I123" s="2655">
        <f>+H123*G123</f>
        <v>1593.2203389830509</v>
      </c>
      <c r="J123" s="3334"/>
      <c r="K123" s="3337"/>
      <c r="L123" s="3337"/>
      <c r="M123" s="3340"/>
      <c r="N123" s="2210" t="s">
        <v>2808</v>
      </c>
      <c r="O123" s="1480">
        <f>+O122*0.18</f>
        <v>4573.7816949152539</v>
      </c>
      <c r="P123" s="1481">
        <f>+I123*N126</f>
        <v>5147.6949152542375</v>
      </c>
      <c r="Q123" s="1471">
        <f>+P123/G123</f>
        <v>643.46186440677968</v>
      </c>
      <c r="R123" s="1471">
        <f>+Q123*0.18</f>
        <v>115.82313559322034</v>
      </c>
      <c r="S123" s="1472">
        <f>+R123+Q123</f>
        <v>759.28500000000008</v>
      </c>
      <c r="U123" s="693">
        <f>320*2.8</f>
        <v>896</v>
      </c>
      <c r="V123" s="693">
        <f>347*2.8</f>
        <v>971.59999999999991</v>
      </c>
      <c r="W123" s="1493">
        <f>+H123*1.18</f>
        <v>235</v>
      </c>
      <c r="X123" s="2037">
        <f>+H123*1.18</f>
        <v>235</v>
      </c>
    </row>
    <row r="124" spans="2:24" ht="15.75">
      <c r="B124" s="2709"/>
      <c r="C124" s="1474">
        <v>43089</v>
      </c>
      <c r="D124" s="1463"/>
      <c r="E124" s="3331"/>
      <c r="F124" s="1475" t="s">
        <v>2391</v>
      </c>
      <c r="G124" s="2119">
        <v>48</v>
      </c>
      <c r="H124" s="2654">
        <f>65/(1.18)</f>
        <v>55.084745762711869</v>
      </c>
      <c r="I124" s="2655">
        <f>+H124*G124</f>
        <v>2644.0677966101698</v>
      </c>
      <c r="J124" s="3334"/>
      <c r="K124" s="3337"/>
      <c r="L124" s="3337"/>
      <c r="M124" s="3340"/>
      <c r="N124" s="2210"/>
      <c r="O124" s="1480"/>
      <c r="P124" s="1481"/>
      <c r="Q124" s="1471"/>
      <c r="R124" s="1471"/>
      <c r="S124" s="1472"/>
      <c r="W124" s="1493"/>
      <c r="X124" s="2037"/>
    </row>
    <row r="125" spans="2:24" ht="15">
      <c r="B125" s="2709"/>
      <c r="C125" s="1474"/>
      <c r="D125" s="1463"/>
      <c r="E125" s="3331"/>
      <c r="F125" s="1475"/>
      <c r="G125" s="2409">
        <v>0</v>
      </c>
      <c r="H125" s="2717">
        <v>0</v>
      </c>
      <c r="I125" s="2718">
        <f>+H125*G125</f>
        <v>0</v>
      </c>
      <c r="J125" s="3334"/>
      <c r="K125" s="3337"/>
      <c r="L125" s="3337"/>
      <c r="M125" s="3340"/>
      <c r="N125" s="2210"/>
      <c r="O125" s="1480"/>
      <c r="P125" s="1481"/>
      <c r="Q125" s="1471"/>
      <c r="R125" s="1471"/>
      <c r="S125" s="1472"/>
      <c r="W125" s="1493"/>
      <c r="X125" s="2037"/>
    </row>
    <row r="126" spans="2:24" ht="13.7" customHeight="1" thickBot="1">
      <c r="B126" s="2693"/>
      <c r="C126" s="1483"/>
      <c r="D126" s="1484"/>
      <c r="E126" s="3342"/>
      <c r="F126" s="2694"/>
      <c r="G126" s="2377">
        <v>0</v>
      </c>
      <c r="H126" s="2378">
        <v>0</v>
      </c>
      <c r="I126" s="2379">
        <f>+H126*G126</f>
        <v>0</v>
      </c>
      <c r="J126" s="3343"/>
      <c r="K126" s="3344"/>
      <c r="L126" s="3344"/>
      <c r="M126" s="3345"/>
      <c r="N126" s="1489">
        <f>(3.23+3.232)/2</f>
        <v>3.2309999999999999</v>
      </c>
      <c r="O126" s="1490">
        <f>+O123+O122+N122</f>
        <v>29983.68</v>
      </c>
      <c r="P126" s="1491">
        <f>+I126*N126</f>
        <v>0</v>
      </c>
      <c r="Q126" s="1471" t="e">
        <f>+P126/G126</f>
        <v>#DIV/0!</v>
      </c>
      <c r="R126" s="1471" t="e">
        <f>+Q126*0.18</f>
        <v>#DIV/0!</v>
      </c>
      <c r="S126" s="1472" t="e">
        <f>+R126+Q126</f>
        <v>#DIV/0!</v>
      </c>
      <c r="U126" s="693">
        <v>550</v>
      </c>
      <c r="V126" s="693">
        <v>550</v>
      </c>
      <c r="W126" s="1499">
        <f>+H126*1.18</f>
        <v>0</v>
      </c>
      <c r="X126" s="2037">
        <f>+H126*1.18</f>
        <v>0</v>
      </c>
    </row>
    <row r="127" spans="2:24" ht="13.7" customHeight="1">
      <c r="B127" s="2307"/>
      <c r="C127" s="1514" t="s">
        <v>3100</v>
      </c>
      <c r="D127" s="1515" t="s">
        <v>3099</v>
      </c>
      <c r="E127" s="1516" t="s">
        <v>3007</v>
      </c>
      <c r="F127" s="1517"/>
      <c r="G127" s="67"/>
      <c r="H127" s="1518" t="s">
        <v>469</v>
      </c>
      <c r="I127" s="1519" t="s">
        <v>470</v>
      </c>
      <c r="J127" s="1520" t="s">
        <v>471</v>
      </c>
      <c r="K127" s="1521"/>
      <c r="L127" s="1522"/>
      <c r="M127" s="1523"/>
      <c r="N127"/>
      <c r="O127" s="1524"/>
      <c r="P127" s="1525"/>
      <c r="Q127" s="1471"/>
      <c r="R127" s="1471"/>
      <c r="S127" s="1526"/>
      <c r="U127" s="1493"/>
    </row>
    <row r="128" spans="2:24">
      <c r="D128" s="2587">
        <v>185</v>
      </c>
      <c r="E128" s="2587">
        <v>185</v>
      </c>
      <c r="F128" s="1527"/>
      <c r="G128" s="1527" t="s">
        <v>2197</v>
      </c>
      <c r="H128" s="1443">
        <v>235</v>
      </c>
      <c r="I128" s="1443">
        <v>230</v>
      </c>
      <c r="J128" s="1520">
        <f>65.2542*1.18</f>
        <v>76.999955999999997</v>
      </c>
      <c r="K128" s="1528">
        <f>+H122</f>
        <v>156.77966101694915</v>
      </c>
      <c r="L128" s="1528">
        <f>+H123</f>
        <v>199.15254237288136</v>
      </c>
      <c r="M128" s="1528"/>
      <c r="N128"/>
      <c r="O128">
        <v>270</v>
      </c>
      <c r="P128">
        <v>274.05</v>
      </c>
      <c r="Q128"/>
      <c r="R128"/>
      <c r="S128" s="1472">
        <f>+H88*N90</f>
        <v>959.1187424000002</v>
      </c>
      <c r="U128" s="1493"/>
    </row>
    <row r="129" spans="2:24" ht="13.7" customHeight="1">
      <c r="B129" s="772"/>
      <c r="C129" s="1514"/>
      <c r="D129" s="2587">
        <v>185</v>
      </c>
      <c r="E129" s="2587">
        <v>208</v>
      </c>
      <c r="F129" s="2064" t="s">
        <v>522</v>
      </c>
      <c r="G129" s="2038"/>
      <c r="H129" s="1443" t="s">
        <v>1343</v>
      </c>
      <c r="I129" s="1518">
        <v>250</v>
      </c>
      <c r="J129" s="1520">
        <f>65.2542*1.18</f>
        <v>76.999955999999997</v>
      </c>
      <c r="K129" s="1521">
        <f>+K128*0.18</f>
        <v>28.220338983050844</v>
      </c>
      <c r="L129" s="1521">
        <f>+L128*0.18</f>
        <v>35.847457627118644</v>
      </c>
      <c r="M129" s="1523"/>
      <c r="O129" s="1524">
        <v>1.18</v>
      </c>
      <c r="P129" s="1524">
        <v>1.18</v>
      </c>
      <c r="Q129" s="1471"/>
      <c r="R129" s="1471"/>
      <c r="S129" s="1472">
        <f>+I89*N90</f>
        <v>328.9999272</v>
      </c>
      <c r="W129" s="2039"/>
      <c r="X129" s="2037"/>
    </row>
    <row r="130" spans="2:24">
      <c r="D130" s="2037">
        <f>+D129-D128</f>
        <v>0</v>
      </c>
      <c r="E130" s="2037">
        <f>+E129-E128</f>
        <v>23</v>
      </c>
      <c r="F130" s="1527" t="s">
        <v>2196</v>
      </c>
      <c r="H130" s="1518">
        <v>250</v>
      </c>
      <c r="I130" s="1443" t="s">
        <v>1343</v>
      </c>
      <c r="J130" s="1520">
        <f>65.2542*1.18</f>
        <v>76.999955999999997</v>
      </c>
      <c r="K130" s="2844">
        <f>+K129+K128</f>
        <v>185</v>
      </c>
      <c r="L130" s="2844">
        <f>+L129+L128</f>
        <v>235</v>
      </c>
      <c r="M130" s="1448"/>
      <c r="O130">
        <f>+O128/O129</f>
        <v>228.81355932203391</v>
      </c>
      <c r="P130">
        <f>+P128/P129</f>
        <v>232.24576271186442</v>
      </c>
      <c r="Q130"/>
      <c r="R130"/>
      <c r="S130" s="2408"/>
      <c r="U130" s="1493"/>
    </row>
    <row r="131" spans="2:24">
      <c r="I131" s="1443"/>
      <c r="J131" s="1443"/>
      <c r="N131"/>
      <c r="O131"/>
      <c r="P131"/>
      <c r="Q131"/>
      <c r="R131"/>
      <c r="S131"/>
      <c r="U131" s="1493"/>
    </row>
    <row r="132" spans="2:24" ht="18.75" thickBot="1">
      <c r="C132" s="2351" t="s">
        <v>400</v>
      </c>
      <c r="D132" s="1445"/>
      <c r="E132" s="1445"/>
      <c r="F132" s="1445"/>
      <c r="G132" s="1445"/>
      <c r="H132" s="1445"/>
      <c r="I132" s="1445"/>
      <c r="O132"/>
      <c r="P132"/>
      <c r="Q132"/>
      <c r="R132"/>
    </row>
    <row r="133" spans="2:24" s="463" customFormat="1" ht="34.5" thickBot="1">
      <c r="C133" s="1449" t="s">
        <v>121</v>
      </c>
      <c r="D133" s="1450" t="s">
        <v>83</v>
      </c>
      <c r="E133" s="1451" t="s">
        <v>414</v>
      </c>
      <c r="F133" s="1451" t="s">
        <v>415</v>
      </c>
      <c r="G133" s="1452" t="s">
        <v>82</v>
      </c>
      <c r="H133" s="1453" t="s">
        <v>416</v>
      </c>
      <c r="I133" s="3391" t="s">
        <v>417</v>
      </c>
      <c r="J133" s="3392"/>
      <c r="K133" s="1454" t="s">
        <v>418</v>
      </c>
      <c r="L133" s="1455" t="s">
        <v>419</v>
      </c>
      <c r="M133" s="1456" t="s">
        <v>420</v>
      </c>
      <c r="N133" s="1457"/>
      <c r="O133" s="1458"/>
      <c r="P133" s="1459"/>
      <c r="Q133" s="804" t="s">
        <v>423</v>
      </c>
      <c r="R133" s="809" t="s">
        <v>424</v>
      </c>
      <c r="S133" s="1460" t="s">
        <v>425</v>
      </c>
      <c r="T133" s="460"/>
      <c r="U133" s="928"/>
      <c r="V133" s="928"/>
      <c r="W133" s="928"/>
    </row>
    <row r="134" spans="2:24" ht="15.75">
      <c r="B134" s="1461"/>
      <c r="C134" s="1462">
        <v>42429</v>
      </c>
      <c r="D134" s="1463" t="s">
        <v>426</v>
      </c>
      <c r="E134" s="3330" t="s">
        <v>401</v>
      </c>
      <c r="F134" s="1464" t="s">
        <v>402</v>
      </c>
      <c r="G134" s="1465">
        <v>2</v>
      </c>
      <c r="H134" s="1466">
        <v>199.15254237288136</v>
      </c>
      <c r="I134" s="1467">
        <f t="shared" ref="I134:I142" si="119">+H134*G134</f>
        <v>398.30508474576271</v>
      </c>
      <c r="J134" s="3333">
        <f>SUM(I134:I137)</f>
        <v>2745.763091525424</v>
      </c>
      <c r="K134" s="3336">
        <f>+J134*0.18</f>
        <v>494.2373564745763</v>
      </c>
      <c r="L134" s="3336"/>
      <c r="M134" s="3339">
        <f>+K134+J134</f>
        <v>3240.0004480000002</v>
      </c>
      <c r="N134" s="1468">
        <f>+L134</f>
        <v>0</v>
      </c>
      <c r="O134" s="1469">
        <f>SUM(P134:P137)</f>
        <v>9678.8148976271186</v>
      </c>
      <c r="P134" s="1470">
        <f>+I134*N137</f>
        <v>1404.0254237288136</v>
      </c>
      <c r="Q134" s="1471">
        <f t="shared" ref="Q134:Q142" si="120">+P134/G134</f>
        <v>702.01271186440681</v>
      </c>
      <c r="R134" s="1471">
        <f t="shared" ref="R134:R169" si="121">+Q134*0.18</f>
        <v>126.36228813559322</v>
      </c>
      <c r="S134" s="1472">
        <f t="shared" ref="S134:S142" si="122">+R134+Q134</f>
        <v>828.375</v>
      </c>
      <c r="T134" s="652">
        <f>+H134*1.18*N137</f>
        <v>828.375</v>
      </c>
      <c r="U134" s="693">
        <f>+T134*1.02</f>
        <v>844.9425</v>
      </c>
      <c r="W134" s="1493">
        <f t="shared" ref="W134:W142" si="123">+H134*1.18</f>
        <v>235</v>
      </c>
      <c r="X134" s="2037">
        <f t="shared" ref="X134:X142" si="124">+H134*1.18</f>
        <v>235</v>
      </c>
    </row>
    <row r="135" spans="2:24" ht="15.75">
      <c r="B135" s="1190" t="s">
        <v>428</v>
      </c>
      <c r="C135" s="1474">
        <v>42429</v>
      </c>
      <c r="D135" s="1463" t="s">
        <v>426</v>
      </c>
      <c r="E135" s="3331"/>
      <c r="F135" s="1475" t="s">
        <v>403</v>
      </c>
      <c r="G135" s="1476">
        <v>8</v>
      </c>
      <c r="H135" s="1477">
        <v>194.91525423728814</v>
      </c>
      <c r="I135" s="1478">
        <f t="shared" si="119"/>
        <v>1559.3220338983051</v>
      </c>
      <c r="J135" s="3334"/>
      <c r="K135" s="3337"/>
      <c r="L135" s="3337"/>
      <c r="M135" s="3340"/>
      <c r="N135" s="1479" t="s">
        <v>441</v>
      </c>
      <c r="O135" s="1480">
        <f>+O134*0.18</f>
        <v>1742.1866815728813</v>
      </c>
      <c r="P135" s="1481">
        <f>+I135*N137</f>
        <v>5496.6101694915251</v>
      </c>
      <c r="Q135" s="1471">
        <f t="shared" si="120"/>
        <v>687.07627118644064</v>
      </c>
      <c r="R135" s="1471">
        <f t="shared" si="121"/>
        <v>123.67372881355931</v>
      </c>
      <c r="S135" s="1472">
        <f t="shared" si="122"/>
        <v>810.75</v>
      </c>
      <c r="U135" s="693">
        <f>320*2.8</f>
        <v>896</v>
      </c>
      <c r="V135" s="693">
        <f>347*2.8</f>
        <v>971.59999999999991</v>
      </c>
      <c r="W135" s="1493">
        <f t="shared" si="123"/>
        <v>230</v>
      </c>
      <c r="X135" s="2037">
        <f t="shared" si="124"/>
        <v>230</v>
      </c>
    </row>
    <row r="136" spans="2:24" ht="13.7" customHeight="1">
      <c r="B136" s="1494"/>
      <c r="C136" s="1474">
        <v>42429</v>
      </c>
      <c r="D136" s="1463" t="s">
        <v>426</v>
      </c>
      <c r="E136" s="3331"/>
      <c r="F136" s="1495" t="s">
        <v>404</v>
      </c>
      <c r="G136" s="1496">
        <v>10</v>
      </c>
      <c r="H136" s="1477">
        <v>65.254237288135599</v>
      </c>
      <c r="I136" s="1478">
        <f t="shared" si="119"/>
        <v>652.54237288135596</v>
      </c>
      <c r="J136" s="3334"/>
      <c r="K136" s="3337"/>
      <c r="L136" s="3337"/>
      <c r="M136" s="3340"/>
      <c r="N136" s="1497"/>
      <c r="O136" s="1498"/>
      <c r="P136" s="1481">
        <f>+I136*N137</f>
        <v>2300.2118644067796</v>
      </c>
      <c r="Q136" s="1471">
        <f t="shared" si="120"/>
        <v>230.02118644067795</v>
      </c>
      <c r="R136" s="1471">
        <f t="shared" si="121"/>
        <v>41.403813559322032</v>
      </c>
      <c r="S136" s="1472">
        <f t="shared" si="122"/>
        <v>271.42499999999995</v>
      </c>
      <c r="U136" s="693">
        <v>550</v>
      </c>
      <c r="V136" s="693">
        <v>550</v>
      </c>
      <c r="W136" s="1493">
        <f t="shared" si="123"/>
        <v>77</v>
      </c>
      <c r="X136" s="2037">
        <f t="shared" si="124"/>
        <v>77</v>
      </c>
    </row>
    <row r="137" spans="2:24" ht="13.7" customHeight="1" thickBot="1">
      <c r="B137" s="1482"/>
      <c r="C137" s="1483">
        <v>42429</v>
      </c>
      <c r="D137" s="1484" t="s">
        <v>426</v>
      </c>
      <c r="E137" s="3342"/>
      <c r="F137" s="1485" t="s">
        <v>465</v>
      </c>
      <c r="G137" s="1486">
        <v>16</v>
      </c>
      <c r="H137" s="1487">
        <v>8.4746000000000006</v>
      </c>
      <c r="I137" s="1488">
        <f t="shared" si="119"/>
        <v>135.59360000000001</v>
      </c>
      <c r="J137" s="3343"/>
      <c r="K137" s="3344"/>
      <c r="L137" s="3344"/>
      <c r="M137" s="3345"/>
      <c r="N137" s="1489">
        <v>3.5249999999999999</v>
      </c>
      <c r="O137" s="1490">
        <f>+O135+O134+N134</f>
        <v>11421.001579199999</v>
      </c>
      <c r="P137" s="1491">
        <f>+I137*N137</f>
        <v>477.96744000000001</v>
      </c>
      <c r="Q137" s="1471">
        <f t="shared" si="120"/>
        <v>29.872965000000001</v>
      </c>
      <c r="R137" s="1471">
        <f t="shared" si="121"/>
        <v>5.3771336999999999</v>
      </c>
      <c r="S137" s="1472">
        <f t="shared" si="122"/>
        <v>35.250098700000002</v>
      </c>
      <c r="U137" s="693">
        <v>550</v>
      </c>
      <c r="V137" s="693">
        <v>550</v>
      </c>
      <c r="W137" s="1499">
        <f t="shared" si="123"/>
        <v>10.000028</v>
      </c>
      <c r="X137" s="2037">
        <f t="shared" si="124"/>
        <v>10.000028</v>
      </c>
    </row>
    <row r="138" spans="2:24" ht="15.75">
      <c r="B138" s="1461"/>
      <c r="C138" s="1462">
        <v>42489</v>
      </c>
      <c r="D138" s="1463" t="s">
        <v>426</v>
      </c>
      <c r="E138" s="3330" t="s">
        <v>1095</v>
      </c>
      <c r="F138" s="1464" t="s">
        <v>1096</v>
      </c>
      <c r="G138" s="1465">
        <v>2</v>
      </c>
      <c r="H138" s="1466">
        <f>275/(1.18)</f>
        <v>233.05084745762713</v>
      </c>
      <c r="I138" s="1467">
        <f t="shared" si="119"/>
        <v>466.10169491525426</v>
      </c>
      <c r="J138" s="3333">
        <f>SUM(I138:I142)</f>
        <v>3016.9488677966101</v>
      </c>
      <c r="K138" s="3336">
        <f>+J138*0.18</f>
        <v>543.05079620338984</v>
      </c>
      <c r="L138" s="3336"/>
      <c r="M138" s="3339">
        <f>+K138+J138</f>
        <v>3559.9996639999999</v>
      </c>
      <c r="N138" s="1468">
        <f>+L138</f>
        <v>0</v>
      </c>
      <c r="O138" s="1469">
        <f>SUM(P138:P142)</f>
        <v>9895.5922863728811</v>
      </c>
      <c r="P138" s="1470">
        <f>+I138*N142</f>
        <v>1528.8135593220338</v>
      </c>
      <c r="Q138" s="1471">
        <f t="shared" si="120"/>
        <v>764.40677966101691</v>
      </c>
      <c r="R138" s="1471">
        <f t="shared" si="121"/>
        <v>137.59322033898303</v>
      </c>
      <c r="S138" s="1472">
        <f t="shared" si="122"/>
        <v>902</v>
      </c>
      <c r="T138" s="652">
        <f>+H138*1.18*N142</f>
        <v>902</v>
      </c>
      <c r="U138" s="693">
        <f>+T138*1.02</f>
        <v>920.04</v>
      </c>
      <c r="W138" s="1493">
        <f t="shared" si="123"/>
        <v>275</v>
      </c>
      <c r="X138" s="2037">
        <f t="shared" si="124"/>
        <v>275</v>
      </c>
    </row>
    <row r="139" spans="2:24" ht="15.75">
      <c r="B139" s="1190"/>
      <c r="C139" s="1474">
        <v>42489</v>
      </c>
      <c r="D139" s="1463" t="s">
        <v>426</v>
      </c>
      <c r="E139" s="3331"/>
      <c r="F139" s="2078" t="s">
        <v>680</v>
      </c>
      <c r="G139" s="1476">
        <v>2</v>
      </c>
      <c r="H139" s="1477">
        <v>0</v>
      </c>
      <c r="I139" s="1478">
        <f>+H139*G139</f>
        <v>0</v>
      </c>
      <c r="J139" s="3334"/>
      <c r="K139" s="3337"/>
      <c r="L139" s="3337"/>
      <c r="M139" s="3340"/>
      <c r="N139" s="1479"/>
      <c r="O139" s="1480"/>
      <c r="P139" s="1481">
        <f>+I139*N141</f>
        <v>0</v>
      </c>
      <c r="Q139" s="1471">
        <f>+P139/G139</f>
        <v>0</v>
      </c>
      <c r="R139" s="1471">
        <f t="shared" si="121"/>
        <v>0</v>
      </c>
      <c r="S139" s="1472">
        <f>+R139+Q139</f>
        <v>0</v>
      </c>
      <c r="U139" s="693">
        <f>320*2.8</f>
        <v>896</v>
      </c>
      <c r="V139" s="693">
        <f>347*2.8</f>
        <v>971.59999999999991</v>
      </c>
      <c r="W139" s="1493">
        <f>+H139*1.18</f>
        <v>0</v>
      </c>
      <c r="X139" s="2037">
        <f>+H139*1.18</f>
        <v>0</v>
      </c>
    </row>
    <row r="140" spans="2:24" ht="15.75">
      <c r="B140" s="1190" t="s">
        <v>438</v>
      </c>
      <c r="C140" s="1474">
        <v>42489</v>
      </c>
      <c r="D140" s="1463" t="s">
        <v>426</v>
      </c>
      <c r="E140" s="3331"/>
      <c r="F140" s="1475" t="s">
        <v>1097</v>
      </c>
      <c r="G140" s="1476">
        <v>8</v>
      </c>
      <c r="H140" s="1477">
        <v>237.28809999999999</v>
      </c>
      <c r="I140" s="1478">
        <f t="shared" si="119"/>
        <v>1898.3047999999999</v>
      </c>
      <c r="J140" s="3334"/>
      <c r="K140" s="3337"/>
      <c r="L140" s="3337"/>
      <c r="M140" s="3340"/>
      <c r="N140" s="1479" t="s">
        <v>676</v>
      </c>
      <c r="O140" s="1480">
        <f>+O138*0.18</f>
        <v>1781.2066115471184</v>
      </c>
      <c r="P140" s="1481">
        <f>+I140*N142</f>
        <v>6226.4397439999993</v>
      </c>
      <c r="Q140" s="1471">
        <f t="shared" si="120"/>
        <v>778.30496799999992</v>
      </c>
      <c r="R140" s="1471">
        <f t="shared" si="121"/>
        <v>140.09489423999997</v>
      </c>
      <c r="S140" s="1472">
        <f t="shared" si="122"/>
        <v>918.39986223999995</v>
      </c>
      <c r="U140" s="693">
        <f>320*2.8</f>
        <v>896</v>
      </c>
      <c r="V140" s="693">
        <f>347*2.8</f>
        <v>971.59999999999991</v>
      </c>
      <c r="W140" s="1493">
        <f t="shared" si="123"/>
        <v>279.99995799999999</v>
      </c>
      <c r="X140" s="2037">
        <f t="shared" si="124"/>
        <v>279.99995799999999</v>
      </c>
    </row>
    <row r="141" spans="2:24" ht="13.7" customHeight="1">
      <c r="B141" s="1494"/>
      <c r="C141" s="1474">
        <v>42489</v>
      </c>
      <c r="D141" s="1463" t="s">
        <v>426</v>
      </c>
      <c r="E141" s="3331"/>
      <c r="F141" s="1495" t="s">
        <v>404</v>
      </c>
      <c r="G141" s="1496">
        <v>10</v>
      </c>
      <c r="H141" s="1477">
        <f>77/(1.18)</f>
        <v>65.254237288135599</v>
      </c>
      <c r="I141" s="1478">
        <f t="shared" si="119"/>
        <v>652.54237288135596</v>
      </c>
      <c r="J141" s="3334"/>
      <c r="K141" s="3337"/>
      <c r="L141" s="3337"/>
      <c r="M141" s="3340"/>
      <c r="N141" s="1497"/>
      <c r="O141" s="1498"/>
      <c r="P141" s="1481">
        <f>+I141*N142</f>
        <v>2140.3389830508472</v>
      </c>
      <c r="Q141" s="1471">
        <f t="shared" si="120"/>
        <v>214.03389830508473</v>
      </c>
      <c r="R141" s="1471">
        <f t="shared" si="121"/>
        <v>38.526101694915248</v>
      </c>
      <c r="S141" s="1472">
        <f t="shared" si="122"/>
        <v>252.55999999999997</v>
      </c>
      <c r="U141" s="693">
        <v>550</v>
      </c>
      <c r="V141" s="693">
        <v>550</v>
      </c>
      <c r="W141" s="1493">
        <f t="shared" si="123"/>
        <v>77</v>
      </c>
      <c r="X141" s="2037">
        <f t="shared" si="124"/>
        <v>77</v>
      </c>
    </row>
    <row r="142" spans="2:24" ht="13.7" customHeight="1" thickBot="1">
      <c r="B142" s="1482"/>
      <c r="C142" s="1483"/>
      <c r="D142" s="1484"/>
      <c r="E142" s="3342"/>
      <c r="F142" s="1485"/>
      <c r="G142" s="2067">
        <v>4.5000000000000002E-36</v>
      </c>
      <c r="H142" s="1487"/>
      <c r="I142" s="1488">
        <f t="shared" si="119"/>
        <v>0</v>
      </c>
      <c r="J142" s="3343"/>
      <c r="K142" s="3344"/>
      <c r="L142" s="3344"/>
      <c r="M142" s="3345"/>
      <c r="N142" s="1489">
        <v>3.28</v>
      </c>
      <c r="O142" s="1490">
        <f>+O140+O138+N138</f>
        <v>11676.79889792</v>
      </c>
      <c r="P142" s="1491">
        <f>+I142*N142</f>
        <v>0</v>
      </c>
      <c r="Q142" s="1471">
        <f t="shared" si="120"/>
        <v>0</v>
      </c>
      <c r="R142" s="1471">
        <f t="shared" si="121"/>
        <v>0</v>
      </c>
      <c r="S142" s="1472">
        <f t="shared" si="122"/>
        <v>0</v>
      </c>
      <c r="U142" s="693">
        <v>550</v>
      </c>
      <c r="V142" s="693">
        <v>550</v>
      </c>
      <c r="W142" s="1499">
        <f t="shared" si="123"/>
        <v>0</v>
      </c>
      <c r="X142" s="2037">
        <f t="shared" si="124"/>
        <v>0</v>
      </c>
    </row>
    <row r="143" spans="2:24" ht="15.75">
      <c r="B143" s="1461"/>
      <c r="C143" s="1462">
        <v>42545</v>
      </c>
      <c r="D143" s="1463" t="s">
        <v>426</v>
      </c>
      <c r="E143" s="3330" t="s">
        <v>1138</v>
      </c>
      <c r="F143" s="1464" t="s">
        <v>1096</v>
      </c>
      <c r="G143" s="1465">
        <v>2</v>
      </c>
      <c r="H143" s="1466">
        <v>228.81356</v>
      </c>
      <c r="I143" s="1467">
        <f t="shared" ref="I143:I151" si="125">+H143*G143</f>
        <v>457.62711999999999</v>
      </c>
      <c r="J143" s="3333">
        <f>SUM(I143:I147)</f>
        <v>3310.5086528813558</v>
      </c>
      <c r="K143" s="3336">
        <f>+J143*0.18</f>
        <v>595.89155751864405</v>
      </c>
      <c r="L143" s="3336"/>
      <c r="M143" s="3339">
        <f>+K143+J143</f>
        <v>3906.4002104000001</v>
      </c>
      <c r="N143" s="1468">
        <f>+L143</f>
        <v>0</v>
      </c>
      <c r="O143" s="1469">
        <f>SUM(P143:P147)</f>
        <v>10315.100658462372</v>
      </c>
      <c r="P143" s="1470">
        <f>+I143*N147</f>
        <v>1502.8474620799998</v>
      </c>
      <c r="Q143" s="1471">
        <f t="shared" ref="Q143:Q151" si="126">+P143/G143</f>
        <v>751.42373103999989</v>
      </c>
      <c r="R143" s="1471">
        <f t="shared" si="121"/>
        <v>135.25627158719999</v>
      </c>
      <c r="S143" s="1472">
        <f t="shared" ref="S143:S151" si="127">+R143+Q143</f>
        <v>886.68000262719988</v>
      </c>
      <c r="T143" s="652">
        <f>+H143*1.18*N147</f>
        <v>886.68000262719977</v>
      </c>
      <c r="U143" s="693">
        <f>+T143*1.02</f>
        <v>904.4136026797438</v>
      </c>
      <c r="W143" s="1493">
        <f t="shared" ref="W143:W151" si="128">+H143*1.18</f>
        <v>270.00000079999995</v>
      </c>
      <c r="X143" s="2037">
        <f t="shared" ref="X143:X151" si="129">+H143*1.18</f>
        <v>270.00000079999995</v>
      </c>
    </row>
    <row r="144" spans="2:24" ht="15.75">
      <c r="B144" s="1190" t="s">
        <v>204</v>
      </c>
      <c r="C144" s="1474">
        <v>42545</v>
      </c>
      <c r="D144" s="1463" t="s">
        <v>426</v>
      </c>
      <c r="E144" s="3331"/>
      <c r="F144" s="1475" t="s">
        <v>1097</v>
      </c>
      <c r="G144" s="1476">
        <v>8</v>
      </c>
      <c r="H144" s="1477">
        <v>232.2458</v>
      </c>
      <c r="I144" s="1478">
        <f t="shared" si="125"/>
        <v>1857.9664</v>
      </c>
      <c r="J144" s="3334"/>
      <c r="K144" s="3337"/>
      <c r="L144" s="3337"/>
      <c r="M144" s="3340"/>
      <c r="N144" s="1479" t="s">
        <v>1140</v>
      </c>
      <c r="O144" s="1480">
        <f>+O143*0.18</f>
        <v>1856.7181185232268</v>
      </c>
      <c r="P144" s="1481">
        <f>+I144*N147</f>
        <v>6101.5616575999993</v>
      </c>
      <c r="Q144" s="1471">
        <f t="shared" si="126"/>
        <v>762.69520719999991</v>
      </c>
      <c r="R144" s="1471">
        <f t="shared" si="121"/>
        <v>137.28513729599999</v>
      </c>
      <c r="S144" s="1472">
        <f t="shared" si="127"/>
        <v>899.98034449599993</v>
      </c>
      <c r="U144" s="693">
        <f>320*2.8</f>
        <v>896</v>
      </c>
      <c r="V144" s="693">
        <f>347*2.8</f>
        <v>971.59999999999991</v>
      </c>
      <c r="W144" s="1493">
        <f t="shared" si="128"/>
        <v>274.05004400000001</v>
      </c>
      <c r="X144" s="2037">
        <f t="shared" si="129"/>
        <v>274.05004400000001</v>
      </c>
    </row>
    <row r="145" spans="2:24" ht="13.7" customHeight="1">
      <c r="B145" s="1494"/>
      <c r="C145" s="1474">
        <v>42545</v>
      </c>
      <c r="D145" s="1463" t="s">
        <v>426</v>
      </c>
      <c r="E145" s="3331"/>
      <c r="F145" s="1495" t="s">
        <v>404</v>
      </c>
      <c r="G145" s="1496">
        <v>10</v>
      </c>
      <c r="H145" s="1477">
        <v>65.254237288135599</v>
      </c>
      <c r="I145" s="1478">
        <f t="shared" si="125"/>
        <v>652.54237288135596</v>
      </c>
      <c r="J145" s="3334"/>
      <c r="K145" s="3337"/>
      <c r="L145" s="3337"/>
      <c r="M145" s="3340"/>
      <c r="N145" s="1497"/>
      <c r="O145" s="1498"/>
      <c r="P145" s="1481">
        <f>+I145*N147</f>
        <v>2142.9491525423728</v>
      </c>
      <c r="Q145" s="1471">
        <f t="shared" si="126"/>
        <v>214.29491525423728</v>
      </c>
      <c r="R145" s="1471">
        <f t="shared" si="121"/>
        <v>38.573084745762706</v>
      </c>
      <c r="S145" s="1472">
        <f t="shared" si="127"/>
        <v>252.86799999999999</v>
      </c>
      <c r="U145" s="693">
        <v>550</v>
      </c>
      <c r="V145" s="693">
        <v>550</v>
      </c>
      <c r="W145" s="1493">
        <f t="shared" si="128"/>
        <v>77</v>
      </c>
      <c r="X145" s="2037">
        <f t="shared" si="129"/>
        <v>77</v>
      </c>
    </row>
    <row r="146" spans="2:24" ht="13.7" customHeight="1">
      <c r="B146" s="1494"/>
      <c r="C146" s="1474">
        <v>42545</v>
      </c>
      <c r="D146" s="1463" t="s">
        <v>426</v>
      </c>
      <c r="E146" s="3331"/>
      <c r="F146" s="1495" t="s">
        <v>465</v>
      </c>
      <c r="G146" s="1496">
        <v>20</v>
      </c>
      <c r="H146" s="1477">
        <v>8.4745699999999999</v>
      </c>
      <c r="I146" s="1478">
        <f t="shared" si="125"/>
        <v>169.4914</v>
      </c>
      <c r="J146" s="3334"/>
      <c r="K146" s="3337"/>
      <c r="L146" s="3337"/>
      <c r="M146" s="3340"/>
      <c r="N146" s="1497"/>
      <c r="O146" s="1498"/>
      <c r="P146" s="1481">
        <f>+I146*N148</f>
        <v>0</v>
      </c>
      <c r="Q146" s="1471">
        <f t="shared" si="126"/>
        <v>0</v>
      </c>
      <c r="R146" s="1471">
        <f t="shared" si="121"/>
        <v>0</v>
      </c>
      <c r="S146" s="1472">
        <f t="shared" si="127"/>
        <v>0</v>
      </c>
      <c r="U146" s="693">
        <v>550</v>
      </c>
      <c r="V146" s="693">
        <v>550</v>
      </c>
      <c r="W146" s="1493">
        <f t="shared" si="128"/>
        <v>9.9999925999999988</v>
      </c>
      <c r="X146" s="2037">
        <f t="shared" si="129"/>
        <v>9.9999925999999988</v>
      </c>
    </row>
    <row r="147" spans="2:24" ht="13.7" customHeight="1" thickBot="1">
      <c r="B147" s="1482"/>
      <c r="C147" s="1483">
        <v>42545</v>
      </c>
      <c r="D147" s="1484" t="s">
        <v>426</v>
      </c>
      <c r="E147" s="3342"/>
      <c r="F147" s="1485" t="s">
        <v>1139</v>
      </c>
      <c r="G147" s="1486">
        <v>12</v>
      </c>
      <c r="H147" s="1487">
        <v>14.406779999999999</v>
      </c>
      <c r="I147" s="1488">
        <f t="shared" si="125"/>
        <v>172.88136</v>
      </c>
      <c r="J147" s="3343"/>
      <c r="K147" s="3344"/>
      <c r="L147" s="3344"/>
      <c r="M147" s="3345"/>
      <c r="N147" s="1489">
        <v>3.2839999999999998</v>
      </c>
      <c r="O147" s="1490">
        <f>+O144+O143+N143</f>
        <v>12171.818776985599</v>
      </c>
      <c r="P147" s="1491">
        <f>+I147*N147</f>
        <v>567.74238623999997</v>
      </c>
      <c r="Q147" s="1471">
        <f t="shared" si="126"/>
        <v>47.311865519999998</v>
      </c>
      <c r="R147" s="1471">
        <f t="shared" si="121"/>
        <v>8.5161357936000002</v>
      </c>
      <c r="S147" s="1472">
        <f t="shared" si="127"/>
        <v>55.828001313599998</v>
      </c>
      <c r="U147" s="693">
        <v>550</v>
      </c>
      <c r="V147" s="693">
        <v>550</v>
      </c>
      <c r="W147" s="1499">
        <f t="shared" si="128"/>
        <v>17.000000399999998</v>
      </c>
      <c r="X147" s="2037">
        <f t="shared" si="129"/>
        <v>17.000000399999998</v>
      </c>
    </row>
    <row r="148" spans="2:24" ht="15.75">
      <c r="B148" s="1461"/>
      <c r="C148" s="1462">
        <v>42566</v>
      </c>
      <c r="D148" s="1463" t="s">
        <v>426</v>
      </c>
      <c r="E148" s="3330" t="s">
        <v>1135</v>
      </c>
      <c r="F148" s="2324" t="s">
        <v>1136</v>
      </c>
      <c r="G148" s="1465">
        <v>7</v>
      </c>
      <c r="H148" s="1466">
        <v>368.64407</v>
      </c>
      <c r="I148" s="1467">
        <f t="shared" si="125"/>
        <v>2580.5084900000002</v>
      </c>
      <c r="J148" s="3333">
        <f>SUM(I148:I151)</f>
        <v>3144.0678150000003</v>
      </c>
      <c r="K148" s="3336">
        <f>+J148*0.18</f>
        <v>565.93220670000005</v>
      </c>
      <c r="L148" s="3336"/>
      <c r="M148" s="3339">
        <f>+K148+J148</f>
        <v>3710.0000217000006</v>
      </c>
      <c r="N148" s="1468">
        <f>+L148</f>
        <v>0</v>
      </c>
      <c r="O148" s="1469">
        <f>SUM(P148:P151)</f>
        <v>10312.5424332</v>
      </c>
      <c r="P148" s="1470">
        <f>+I148*N151</f>
        <v>8464.0678472</v>
      </c>
      <c r="Q148" s="1471">
        <f t="shared" si="126"/>
        <v>1209.1525495999999</v>
      </c>
      <c r="R148" s="1471">
        <f t="shared" si="121"/>
        <v>217.64745892799999</v>
      </c>
      <c r="S148" s="1472">
        <f t="shared" si="127"/>
        <v>1426.800008528</v>
      </c>
      <c r="T148" s="652">
        <f>+H148*1.18*N151</f>
        <v>1426.8000085279998</v>
      </c>
      <c r="U148" s="693">
        <f>+T148*1.02</f>
        <v>1455.3360086985599</v>
      </c>
      <c r="W148" s="1493">
        <f t="shared" si="128"/>
        <v>435.00000259999996</v>
      </c>
      <c r="X148" s="2037">
        <f t="shared" si="129"/>
        <v>435.00000259999996</v>
      </c>
    </row>
    <row r="149" spans="2:24" ht="15.75">
      <c r="B149" s="1190" t="s">
        <v>444</v>
      </c>
      <c r="C149" s="1474"/>
      <c r="D149" s="1463"/>
      <c r="E149" s="3331"/>
      <c r="F149" s="1475"/>
      <c r="G149" s="2119">
        <v>4.5000000000000002E-27</v>
      </c>
      <c r="H149" s="1477">
        <v>0</v>
      </c>
      <c r="I149" s="1478">
        <f t="shared" si="125"/>
        <v>0</v>
      </c>
      <c r="J149" s="3334"/>
      <c r="K149" s="3337"/>
      <c r="L149" s="3337"/>
      <c r="M149" s="3340"/>
      <c r="N149" s="1479" t="s">
        <v>1137</v>
      </c>
      <c r="O149" s="1480">
        <f>+O148*0.18</f>
        <v>1856.2576379760001</v>
      </c>
      <c r="P149" s="1481">
        <f>+I149*N151</f>
        <v>0</v>
      </c>
      <c r="Q149" s="1471">
        <f t="shared" si="126"/>
        <v>0</v>
      </c>
      <c r="R149" s="1471">
        <f t="shared" si="121"/>
        <v>0</v>
      </c>
      <c r="S149" s="1472">
        <f t="shared" si="127"/>
        <v>0</v>
      </c>
      <c r="U149" s="693">
        <f>320*2.8</f>
        <v>896</v>
      </c>
      <c r="V149" s="693">
        <f>347*2.8</f>
        <v>971.59999999999991</v>
      </c>
      <c r="W149" s="1493">
        <f t="shared" si="128"/>
        <v>0</v>
      </c>
      <c r="X149" s="2037">
        <f t="shared" si="129"/>
        <v>0</v>
      </c>
    </row>
    <row r="150" spans="2:24" ht="13.7" customHeight="1">
      <c r="B150" s="1494"/>
      <c r="C150" s="1474">
        <v>42566</v>
      </c>
      <c r="D150" s="1463" t="s">
        <v>426</v>
      </c>
      <c r="E150" s="3331"/>
      <c r="F150" s="2323" t="s">
        <v>2198</v>
      </c>
      <c r="G150" s="2121">
        <v>7</v>
      </c>
      <c r="H150" s="1477">
        <v>80.508475000000004</v>
      </c>
      <c r="I150" s="1478">
        <f t="shared" si="125"/>
        <v>563.55932500000006</v>
      </c>
      <c r="J150" s="3334"/>
      <c r="K150" s="3337"/>
      <c r="L150" s="3337"/>
      <c r="M150" s="3340"/>
      <c r="N150" s="1497"/>
      <c r="O150" s="1498"/>
      <c r="P150" s="1481">
        <f>+I150*N151</f>
        <v>1848.474586</v>
      </c>
      <c r="Q150" s="1471">
        <f t="shared" si="126"/>
        <v>264.06779799999998</v>
      </c>
      <c r="R150" s="1471">
        <f t="shared" si="121"/>
        <v>47.532203639999992</v>
      </c>
      <c r="S150" s="1472">
        <f t="shared" si="127"/>
        <v>311.60000163999996</v>
      </c>
      <c r="U150" s="693">
        <v>550</v>
      </c>
      <c r="V150" s="693">
        <v>550</v>
      </c>
      <c r="W150" s="1493">
        <f t="shared" si="128"/>
        <v>95.000000499999999</v>
      </c>
      <c r="X150" s="2037">
        <f t="shared" si="129"/>
        <v>95.000000499999999</v>
      </c>
    </row>
    <row r="151" spans="2:24" ht="13.7" customHeight="1" thickBot="1">
      <c r="B151" s="1482"/>
      <c r="C151" s="1483"/>
      <c r="D151" s="1484"/>
      <c r="E151" s="3342"/>
      <c r="F151" s="1485"/>
      <c r="G151" s="2120">
        <v>4.5000000000000002E-27</v>
      </c>
      <c r="H151" s="1487">
        <v>0</v>
      </c>
      <c r="I151" s="1488">
        <f t="shared" si="125"/>
        <v>0</v>
      </c>
      <c r="J151" s="3343"/>
      <c r="K151" s="3344"/>
      <c r="L151" s="3344"/>
      <c r="M151" s="3345"/>
      <c r="N151" s="1489">
        <v>3.28</v>
      </c>
      <c r="O151" s="1490">
        <f>+O149+O148+N148</f>
        <v>12168.800071176</v>
      </c>
      <c r="P151" s="1491">
        <f>+I151*N151</f>
        <v>0</v>
      </c>
      <c r="Q151" s="1471">
        <f t="shared" si="126"/>
        <v>0</v>
      </c>
      <c r="R151" s="1471">
        <f t="shared" si="121"/>
        <v>0</v>
      </c>
      <c r="S151" s="1472">
        <f t="shared" si="127"/>
        <v>0</v>
      </c>
      <c r="U151" s="693">
        <v>550</v>
      </c>
      <c r="V151" s="693">
        <v>550</v>
      </c>
      <c r="W151" s="1499">
        <f t="shared" si="128"/>
        <v>0</v>
      </c>
      <c r="X151" s="2037">
        <f t="shared" si="129"/>
        <v>0</v>
      </c>
    </row>
    <row r="152" spans="2:24" ht="15.75">
      <c r="B152" s="1461"/>
      <c r="C152" s="1462">
        <v>42642</v>
      </c>
      <c r="D152" s="1463" t="s">
        <v>426</v>
      </c>
      <c r="E152" s="3330" t="s">
        <v>519</v>
      </c>
      <c r="F152" s="1464" t="s">
        <v>663</v>
      </c>
      <c r="G152" s="1465">
        <v>16</v>
      </c>
      <c r="H152" s="1466">
        <v>211.86440677966104</v>
      </c>
      <c r="I152" s="1467">
        <f t="shared" ref="I152:I165" si="130">+H152*G152</f>
        <v>3389.8305084745766</v>
      </c>
      <c r="J152" s="3333">
        <f>SUM(I152:I155)</f>
        <v>4766.1016949152545</v>
      </c>
      <c r="K152" s="3336">
        <f>+J152*0.18</f>
        <v>857.89830508474574</v>
      </c>
      <c r="L152" s="3336"/>
      <c r="M152" s="3339">
        <f>+K152+J152</f>
        <v>5624</v>
      </c>
      <c r="N152" s="1468">
        <f>+L152</f>
        <v>0</v>
      </c>
      <c r="O152" s="1469">
        <f>SUM(P152:P155)</f>
        <v>16099.891525423731</v>
      </c>
      <c r="P152" s="1470">
        <f>+I152*N155</f>
        <v>11450.84745762712</v>
      </c>
      <c r="Q152" s="1471">
        <f t="shared" ref="Q152:Q159" si="131">+P152/G152</f>
        <v>715.67796610169501</v>
      </c>
      <c r="R152" s="1471">
        <f t="shared" si="121"/>
        <v>128.82203389830511</v>
      </c>
      <c r="S152" s="1472">
        <f t="shared" ref="S152:S159" si="132">+R152+Q152</f>
        <v>844.50000000000011</v>
      </c>
      <c r="T152" s="652">
        <f>+H152*1.18*N155</f>
        <v>844.5</v>
      </c>
      <c r="U152" s="693">
        <f>+T152*1.02</f>
        <v>861.39</v>
      </c>
      <c r="W152" s="1493">
        <f t="shared" ref="W152:W159" si="133">+H152*1.18</f>
        <v>250</v>
      </c>
      <c r="X152" s="2037">
        <f t="shared" ref="X152:X159" si="134">+H152*1.18</f>
        <v>250</v>
      </c>
    </row>
    <row r="153" spans="2:24" ht="15.75">
      <c r="B153" s="1512" t="s">
        <v>451</v>
      </c>
      <c r="C153" s="1474">
        <v>42642</v>
      </c>
      <c r="D153" s="1463" t="s">
        <v>426</v>
      </c>
      <c r="E153" s="3331"/>
      <c r="F153" s="1475" t="s">
        <v>662</v>
      </c>
      <c r="G153" s="2119">
        <v>16</v>
      </c>
      <c r="H153" s="1477">
        <v>65.254237288135599</v>
      </c>
      <c r="I153" s="1478">
        <f t="shared" si="130"/>
        <v>1044.0677966101696</v>
      </c>
      <c r="J153" s="3334"/>
      <c r="K153" s="3337"/>
      <c r="L153" s="3337"/>
      <c r="M153" s="3340"/>
      <c r="N153" s="1479" t="s">
        <v>521</v>
      </c>
      <c r="O153" s="1480">
        <f>+O152*0.18</f>
        <v>2897.9804745762713</v>
      </c>
      <c r="P153" s="1481">
        <f>+I153*N155</f>
        <v>3526.8610169491531</v>
      </c>
      <c r="Q153" s="1471">
        <f t="shared" si="131"/>
        <v>220.42881355932207</v>
      </c>
      <c r="R153" s="1471">
        <f t="shared" si="121"/>
        <v>39.677186440677971</v>
      </c>
      <c r="S153" s="1472">
        <f t="shared" si="132"/>
        <v>260.10600000000005</v>
      </c>
      <c r="U153" s="693">
        <f>320*2.8</f>
        <v>896</v>
      </c>
      <c r="V153" s="693">
        <f>347*2.8</f>
        <v>971.59999999999991</v>
      </c>
      <c r="W153" s="1493">
        <f t="shared" si="133"/>
        <v>77</v>
      </c>
      <c r="X153" s="2037">
        <f t="shared" si="134"/>
        <v>77</v>
      </c>
    </row>
    <row r="154" spans="2:24" ht="13.7" customHeight="1">
      <c r="B154" s="1494"/>
      <c r="C154" s="2309">
        <v>42642</v>
      </c>
      <c r="D154" s="2310" t="s">
        <v>426</v>
      </c>
      <c r="E154" s="3331"/>
      <c r="F154" s="2311" t="s">
        <v>520</v>
      </c>
      <c r="G154" s="2312">
        <v>4</v>
      </c>
      <c r="H154" s="2313">
        <v>83.050847457627128</v>
      </c>
      <c r="I154" s="2314">
        <f t="shared" si="130"/>
        <v>332.20338983050851</v>
      </c>
      <c r="J154" s="3334"/>
      <c r="K154" s="3337"/>
      <c r="L154" s="3337"/>
      <c r="M154" s="3340"/>
      <c r="N154" s="1497"/>
      <c r="O154" s="1498"/>
      <c r="P154" s="2315">
        <f>+I154*N155</f>
        <v>1122.1830508474577</v>
      </c>
      <c r="Q154" s="2316">
        <f t="shared" si="131"/>
        <v>280.54576271186443</v>
      </c>
      <c r="R154" s="2316">
        <f t="shared" si="121"/>
        <v>50.498237288135591</v>
      </c>
      <c r="S154" s="2317">
        <f t="shared" si="132"/>
        <v>331.04400000000004</v>
      </c>
      <c r="T154" s="2318"/>
      <c r="U154" s="2319">
        <v>550</v>
      </c>
      <c r="V154" s="2319">
        <v>550</v>
      </c>
      <c r="W154" s="2320">
        <f t="shared" si="133"/>
        <v>98</v>
      </c>
      <c r="X154" s="2321">
        <f t="shared" si="134"/>
        <v>98</v>
      </c>
    </row>
    <row r="155" spans="2:24" ht="13.7" customHeight="1" thickBot="1">
      <c r="B155" s="1482"/>
      <c r="C155" s="1483"/>
      <c r="D155" s="1484"/>
      <c r="E155" s="3342"/>
      <c r="F155" s="1485"/>
      <c r="G155" s="2173">
        <v>4.4999999999999999E-45</v>
      </c>
      <c r="H155" s="1487">
        <v>0</v>
      </c>
      <c r="I155" s="1488">
        <f t="shared" si="130"/>
        <v>0</v>
      </c>
      <c r="J155" s="3343"/>
      <c r="K155" s="3344"/>
      <c r="L155" s="3344"/>
      <c r="M155" s="3345"/>
      <c r="N155" s="1489">
        <v>3.3780000000000001</v>
      </c>
      <c r="O155" s="1490">
        <f>+O153+O152+N152</f>
        <v>18997.872000000003</v>
      </c>
      <c r="P155" s="1491">
        <f>+I155*N155</f>
        <v>0</v>
      </c>
      <c r="Q155" s="1471">
        <f t="shared" si="131"/>
        <v>0</v>
      </c>
      <c r="R155" s="1471">
        <f t="shared" si="121"/>
        <v>0</v>
      </c>
      <c r="S155" s="1472">
        <f t="shared" si="132"/>
        <v>0</v>
      </c>
      <c r="U155" s="693">
        <v>550</v>
      </c>
      <c r="V155" s="693">
        <v>550</v>
      </c>
      <c r="W155" s="1499">
        <f t="shared" si="133"/>
        <v>0</v>
      </c>
      <c r="X155" s="2037">
        <f t="shared" si="134"/>
        <v>0</v>
      </c>
    </row>
    <row r="156" spans="2:24" ht="15.75">
      <c r="B156" s="1461"/>
      <c r="C156" s="1462">
        <v>42668</v>
      </c>
      <c r="D156" s="1463" t="s">
        <v>523</v>
      </c>
      <c r="E156" s="3330" t="s">
        <v>524</v>
      </c>
      <c r="F156" s="2175" t="s">
        <v>525</v>
      </c>
      <c r="G156" s="1465">
        <v>2</v>
      </c>
      <c r="H156" s="1466">
        <v>176.27118644067798</v>
      </c>
      <c r="I156" s="1467">
        <f t="shared" si="130"/>
        <v>352.54237288135596</v>
      </c>
      <c r="J156" s="3333">
        <f>SUM(I156:I159)</f>
        <v>352.54237288135596</v>
      </c>
      <c r="K156" s="3336">
        <f>+J156*0.18</f>
        <v>63.457627118644069</v>
      </c>
      <c r="L156" s="3336"/>
      <c r="M156" s="3339">
        <f>+K156+J156</f>
        <v>416</v>
      </c>
      <c r="N156" s="1468">
        <f>+L156</f>
        <v>0</v>
      </c>
      <c r="O156" s="1469">
        <f>SUM(P156:P159)</f>
        <v>1181.7220338983052</v>
      </c>
      <c r="P156" s="1470">
        <f>+I156*N159</f>
        <v>1181.7220338983052</v>
      </c>
      <c r="Q156" s="1471">
        <f t="shared" si="131"/>
        <v>590.8610169491526</v>
      </c>
      <c r="R156" s="1471">
        <f t="shared" si="121"/>
        <v>106.35498305084747</v>
      </c>
      <c r="S156" s="1472">
        <f t="shared" si="132"/>
        <v>697.21600000000012</v>
      </c>
      <c r="T156" s="652">
        <f>+H156*1.18*N159</f>
        <v>697.21600000000001</v>
      </c>
      <c r="U156" s="693">
        <f>+T156*1.02</f>
        <v>711.16032000000007</v>
      </c>
      <c r="W156" s="1493">
        <f t="shared" si="133"/>
        <v>208</v>
      </c>
      <c r="X156" s="2037">
        <f t="shared" si="134"/>
        <v>208</v>
      </c>
    </row>
    <row r="157" spans="2:24">
      <c r="B157" s="1190"/>
      <c r="C157" s="1474">
        <v>42668</v>
      </c>
      <c r="D157" s="1463" t="s">
        <v>523</v>
      </c>
      <c r="E157" s="3331"/>
      <c r="F157" s="1855" t="s">
        <v>526</v>
      </c>
      <c r="G157" s="2174">
        <v>4.4999999999999998E-54</v>
      </c>
      <c r="H157" s="1477">
        <f>225/(1.18)</f>
        <v>190.67796610169492</v>
      </c>
      <c r="I157" s="1478">
        <f t="shared" si="130"/>
        <v>8.5805084745762711E-52</v>
      </c>
      <c r="J157" s="3334"/>
      <c r="K157" s="3337"/>
      <c r="L157" s="3337"/>
      <c r="M157" s="3340"/>
      <c r="N157" s="1479" t="s">
        <v>528</v>
      </c>
      <c r="O157" s="1480">
        <f>+O156*0.18</f>
        <v>212.70996610169493</v>
      </c>
      <c r="P157" s="1481">
        <f>+I157*N159</f>
        <v>2.876186440677966E-51</v>
      </c>
      <c r="Q157" s="1471">
        <f t="shared" si="131"/>
        <v>639.15254237288138</v>
      </c>
      <c r="R157" s="1471">
        <f t="shared" si="121"/>
        <v>115.04745762711865</v>
      </c>
      <c r="S157" s="1472">
        <f t="shared" si="132"/>
        <v>754.2</v>
      </c>
      <c r="U157" s="693">
        <f>320*2.8</f>
        <v>896</v>
      </c>
      <c r="V157" s="693">
        <f>347*2.8</f>
        <v>971.59999999999991</v>
      </c>
      <c r="W157" s="1493">
        <f t="shared" si="133"/>
        <v>225</v>
      </c>
      <c r="X157" s="2037">
        <f t="shared" si="134"/>
        <v>225</v>
      </c>
    </row>
    <row r="158" spans="2:24" ht="13.7" customHeight="1">
      <c r="B158" s="1494"/>
      <c r="C158" s="1474">
        <v>42668</v>
      </c>
      <c r="D158" s="1463" t="s">
        <v>523</v>
      </c>
      <c r="E158" s="3331"/>
      <c r="F158" s="1495" t="s">
        <v>527</v>
      </c>
      <c r="G158" s="2174">
        <v>4.4999999999999998E-54</v>
      </c>
      <c r="H158" s="1477">
        <f>63/(1.18)</f>
        <v>53.389830508474581</v>
      </c>
      <c r="I158" s="1478">
        <f t="shared" si="130"/>
        <v>2.4025423728813562E-52</v>
      </c>
      <c r="J158" s="3334"/>
      <c r="K158" s="3337"/>
      <c r="L158" s="3337"/>
      <c r="M158" s="3340"/>
      <c r="N158" s="1497"/>
      <c r="O158" s="1498"/>
      <c r="P158" s="1481">
        <f>+I158*N159</f>
        <v>8.0533220338983058E-52</v>
      </c>
      <c r="Q158" s="1471">
        <f t="shared" si="131"/>
        <v>178.9627118644068</v>
      </c>
      <c r="R158" s="1471">
        <f t="shared" si="121"/>
        <v>32.213288135593224</v>
      </c>
      <c r="S158" s="1472">
        <f t="shared" si="132"/>
        <v>211.17600000000002</v>
      </c>
      <c r="U158" s="693">
        <v>550</v>
      </c>
      <c r="V158" s="693">
        <v>550</v>
      </c>
      <c r="W158" s="1493">
        <f t="shared" si="133"/>
        <v>63</v>
      </c>
      <c r="X158" s="2037">
        <f t="shared" si="134"/>
        <v>63</v>
      </c>
    </row>
    <row r="159" spans="2:24" ht="13.7" customHeight="1" thickBot="1">
      <c r="B159" s="1190"/>
      <c r="C159" s="1483"/>
      <c r="D159" s="1484"/>
      <c r="E159" s="3342"/>
      <c r="F159" s="1485"/>
      <c r="G159" s="2173">
        <v>4.4999999999999999E-45</v>
      </c>
      <c r="H159" s="1487">
        <v>0</v>
      </c>
      <c r="I159" s="1488">
        <f t="shared" si="130"/>
        <v>0</v>
      </c>
      <c r="J159" s="3343"/>
      <c r="K159" s="3344"/>
      <c r="L159" s="3344"/>
      <c r="M159" s="3345"/>
      <c r="N159" s="1489">
        <v>3.3519999999999999</v>
      </c>
      <c r="O159" s="1490">
        <f>+O157+O156+N156</f>
        <v>1394.4320000000002</v>
      </c>
      <c r="P159" s="1491">
        <f>+I159*N159</f>
        <v>0</v>
      </c>
      <c r="Q159" s="1471">
        <f t="shared" si="131"/>
        <v>0</v>
      </c>
      <c r="R159" s="1471">
        <f t="shared" si="121"/>
        <v>0</v>
      </c>
      <c r="S159" s="1472">
        <f t="shared" si="132"/>
        <v>0</v>
      </c>
      <c r="U159" s="693">
        <v>550</v>
      </c>
      <c r="V159" s="693">
        <v>550</v>
      </c>
      <c r="W159" s="1499">
        <f t="shared" si="133"/>
        <v>0</v>
      </c>
      <c r="X159" s="2037">
        <f t="shared" si="134"/>
        <v>0</v>
      </c>
    </row>
    <row r="160" spans="2:24" ht="15.75">
      <c r="B160" s="1190" t="s">
        <v>455</v>
      </c>
      <c r="C160" s="1462">
        <v>42670</v>
      </c>
      <c r="D160" s="1463" t="s">
        <v>426</v>
      </c>
      <c r="E160" s="3330" t="s">
        <v>661</v>
      </c>
      <c r="F160" s="2322" t="s">
        <v>664</v>
      </c>
      <c r="G160" s="2121">
        <v>6</v>
      </c>
      <c r="H160" s="1466">
        <v>353.89830000000001</v>
      </c>
      <c r="I160" s="1467">
        <f t="shared" si="130"/>
        <v>2123.3897999999999</v>
      </c>
      <c r="J160" s="3333">
        <f>SUM(I160:I165)</f>
        <v>4012.8817999999997</v>
      </c>
      <c r="K160" s="3336">
        <f>+J160*0.18</f>
        <v>722.31872399999986</v>
      </c>
      <c r="L160" s="3336"/>
      <c r="M160" s="3339">
        <f>+K160+J160</f>
        <v>4735.2005239999999</v>
      </c>
      <c r="N160" s="1468">
        <f>+L160</f>
        <v>0</v>
      </c>
      <c r="O160" s="1469">
        <f>SUM(P160:P165)</f>
        <v>12833.916279999999</v>
      </c>
      <c r="P160" s="1470">
        <f>+I160*N165</f>
        <v>7117.6026095999996</v>
      </c>
      <c r="Q160" s="1471">
        <f t="shared" ref="Q160:Q169" si="135">+P160/G160</f>
        <v>1186.2671015999999</v>
      </c>
      <c r="R160" s="1471">
        <f t="shared" si="121"/>
        <v>213.52807828799999</v>
      </c>
      <c r="S160" s="1472">
        <f t="shared" ref="S160:S169" si="136">+R160+Q160</f>
        <v>1399.7951798879999</v>
      </c>
      <c r="T160" s="652">
        <f>+H160*1.18*N165</f>
        <v>1399.7951798879999</v>
      </c>
      <c r="U160" s="693">
        <f>+T160*1.02</f>
        <v>1427.7910834857598</v>
      </c>
      <c r="W160" s="1493">
        <f t="shared" ref="W160:W169" si="137">+H160*1.18</f>
        <v>417.59999399999998</v>
      </c>
      <c r="X160" s="2037">
        <f t="shared" ref="X160:X169" si="138">+H160*1.18</f>
        <v>417.59999399999998</v>
      </c>
    </row>
    <row r="161" spans="2:24" ht="15.75">
      <c r="B161" s="1190"/>
      <c r="C161" s="1474">
        <v>42670</v>
      </c>
      <c r="D161" s="1463" t="s">
        <v>426</v>
      </c>
      <c r="E161" s="3331"/>
      <c r="F161" s="1855" t="s">
        <v>669</v>
      </c>
      <c r="G161" s="2121">
        <v>4</v>
      </c>
      <c r="H161" s="1477">
        <v>211.86439999999999</v>
      </c>
      <c r="I161" s="1478">
        <f t="shared" si="130"/>
        <v>847.45759999999996</v>
      </c>
      <c r="J161" s="3334"/>
      <c r="K161" s="3337"/>
      <c r="L161" s="3337"/>
      <c r="M161" s="3340"/>
      <c r="N161" s="1479" t="s">
        <v>2195</v>
      </c>
      <c r="O161" s="1480">
        <f>+O160*0.18</f>
        <v>2310.1049303999998</v>
      </c>
      <c r="P161" s="1481">
        <f>+I161*N165</f>
        <v>2840.6778751999996</v>
      </c>
      <c r="Q161" s="1471">
        <f t="shared" si="135"/>
        <v>710.16946879999989</v>
      </c>
      <c r="R161" s="1471">
        <f t="shared" si="121"/>
        <v>127.83050438399998</v>
      </c>
      <c r="S161" s="1472">
        <f t="shared" si="136"/>
        <v>837.99997318399983</v>
      </c>
      <c r="U161" s="693">
        <f>320*2.8</f>
        <v>896</v>
      </c>
      <c r="V161" s="693">
        <f>347*2.8</f>
        <v>971.59999999999991</v>
      </c>
      <c r="W161" s="1493">
        <f t="shared" si="137"/>
        <v>249.99999199999996</v>
      </c>
      <c r="X161" s="2037">
        <f t="shared" si="138"/>
        <v>249.99999199999996</v>
      </c>
    </row>
    <row r="162" spans="2:24" ht="13.7" customHeight="1">
      <c r="B162" s="1494"/>
      <c r="C162" s="1474">
        <v>42670</v>
      </c>
      <c r="D162" s="1463" t="s">
        <v>426</v>
      </c>
      <c r="E162" s="3331"/>
      <c r="F162" s="2323" t="s">
        <v>665</v>
      </c>
      <c r="G162" s="2121">
        <v>6</v>
      </c>
      <c r="H162" s="1477">
        <v>76.271199999999993</v>
      </c>
      <c r="I162" s="1478">
        <f t="shared" si="130"/>
        <v>457.62719999999996</v>
      </c>
      <c r="J162" s="3334"/>
      <c r="K162" s="3337"/>
      <c r="L162" s="3337"/>
      <c r="M162" s="3340"/>
      <c r="N162" s="1497"/>
      <c r="O162" s="1498"/>
      <c r="P162" s="1481">
        <f>+I162*N165</f>
        <v>1533.9663743999997</v>
      </c>
      <c r="Q162" s="1471">
        <f t="shared" si="135"/>
        <v>255.66106239999996</v>
      </c>
      <c r="R162" s="1471">
        <f t="shared" si="121"/>
        <v>46.018991231999991</v>
      </c>
      <c r="S162" s="1472">
        <f t="shared" si="136"/>
        <v>301.68005363199995</v>
      </c>
      <c r="U162" s="693">
        <v>550</v>
      </c>
      <c r="V162" s="693">
        <v>550</v>
      </c>
      <c r="W162" s="1493">
        <f t="shared" si="137"/>
        <v>90.000015999999988</v>
      </c>
      <c r="X162" s="2037">
        <f t="shared" si="138"/>
        <v>90.000015999999988</v>
      </c>
    </row>
    <row r="163" spans="2:24" ht="13.7" customHeight="1">
      <c r="B163" s="1494"/>
      <c r="C163" s="1474">
        <v>42670</v>
      </c>
      <c r="D163" s="1463" t="s">
        <v>426</v>
      </c>
      <c r="E163" s="3331"/>
      <c r="F163" s="1495" t="s">
        <v>668</v>
      </c>
      <c r="G163" s="2121">
        <v>4</v>
      </c>
      <c r="H163" s="1477">
        <v>65.254199999999997</v>
      </c>
      <c r="I163" s="1478">
        <f t="shared" si="130"/>
        <v>261.01679999999999</v>
      </c>
      <c r="J163" s="3334"/>
      <c r="K163" s="3337"/>
      <c r="L163" s="3337"/>
      <c r="M163" s="3340"/>
      <c r="N163" s="1497"/>
      <c r="O163" s="1498"/>
      <c r="P163" s="1481">
        <f>+I163-N165</f>
        <v>257.66480000000001</v>
      </c>
      <c r="Q163" s="1471"/>
      <c r="R163" s="1471"/>
      <c r="S163" s="1472"/>
      <c r="W163" s="1493"/>
      <c r="X163" s="2037"/>
    </row>
    <row r="164" spans="2:24" ht="13.7" customHeight="1">
      <c r="B164" s="1494"/>
      <c r="C164" s="1474">
        <v>42670</v>
      </c>
      <c r="D164" s="1463" t="s">
        <v>426</v>
      </c>
      <c r="E164" s="3331"/>
      <c r="F164" s="1495" t="s">
        <v>666</v>
      </c>
      <c r="G164" s="2121">
        <v>18</v>
      </c>
      <c r="H164" s="1477">
        <v>8.4746000000000006</v>
      </c>
      <c r="I164" s="1478">
        <f t="shared" si="130"/>
        <v>152.5428</v>
      </c>
      <c r="J164" s="3334"/>
      <c r="K164" s="3337"/>
      <c r="L164" s="3337"/>
      <c r="M164" s="3340"/>
      <c r="N164" s="1497"/>
      <c r="O164" s="1498"/>
      <c r="P164" s="1481">
        <f>+I164*N165</f>
        <v>511.32346559999996</v>
      </c>
      <c r="Q164" s="1471"/>
      <c r="R164" s="1471"/>
      <c r="S164" s="1472"/>
      <c r="W164" s="1493"/>
      <c r="X164" s="2037"/>
    </row>
    <row r="165" spans="2:24" ht="13.7" customHeight="1" thickBot="1">
      <c r="B165" s="1482"/>
      <c r="C165" s="1483">
        <v>42670</v>
      </c>
      <c r="D165" s="1484" t="s">
        <v>426</v>
      </c>
      <c r="E165" s="3342"/>
      <c r="F165" s="1485" t="s">
        <v>667</v>
      </c>
      <c r="G165" s="2176">
        <v>12</v>
      </c>
      <c r="H165" s="1487">
        <v>14.237299999999999</v>
      </c>
      <c r="I165" s="1488">
        <f t="shared" si="130"/>
        <v>170.8476</v>
      </c>
      <c r="J165" s="3343"/>
      <c r="K165" s="3344"/>
      <c r="L165" s="3344"/>
      <c r="M165" s="3345"/>
      <c r="N165" s="1489">
        <v>3.3519999999999999</v>
      </c>
      <c r="O165" s="1490">
        <f>+O161+O160+N160</f>
        <v>15144.021210399998</v>
      </c>
      <c r="P165" s="1491">
        <f>+I165*N165</f>
        <v>572.68115519999992</v>
      </c>
      <c r="Q165" s="1471">
        <f t="shared" si="135"/>
        <v>47.723429599999996</v>
      </c>
      <c r="R165" s="1471">
        <f t="shared" si="121"/>
        <v>8.5902173279999996</v>
      </c>
      <c r="S165" s="1472">
        <f t="shared" si="136"/>
        <v>56.313646927999997</v>
      </c>
      <c r="U165" s="693">
        <v>550</v>
      </c>
      <c r="V165" s="693">
        <v>550</v>
      </c>
      <c r="W165" s="1499">
        <f t="shared" si="137"/>
        <v>16.800013999999997</v>
      </c>
      <c r="X165" s="2037">
        <f t="shared" si="138"/>
        <v>16.800013999999997</v>
      </c>
    </row>
    <row r="166" spans="2:24" ht="15.75">
      <c r="B166" s="1461"/>
      <c r="C166" s="1462">
        <v>42704</v>
      </c>
      <c r="D166" s="1463" t="s">
        <v>426</v>
      </c>
      <c r="E166" s="3330" t="s">
        <v>1301</v>
      </c>
      <c r="F166" s="1464" t="s">
        <v>1303</v>
      </c>
      <c r="G166" s="1465">
        <v>12</v>
      </c>
      <c r="H166" s="1466">
        <f>190/(1.18)</f>
        <v>161.0169491525424</v>
      </c>
      <c r="I166" s="1467">
        <f t="shared" ref="I166:I173" si="139">+H166*G166</f>
        <v>1932.2033898305087</v>
      </c>
      <c r="J166" s="3333">
        <f>SUM(I166:I169)</f>
        <v>2694.9152542372885</v>
      </c>
      <c r="K166" s="3336">
        <f>+J166*0.18</f>
        <v>485.08474576271192</v>
      </c>
      <c r="L166" s="3336"/>
      <c r="M166" s="3339">
        <f>+K166+J166</f>
        <v>3180.0000000000005</v>
      </c>
      <c r="N166" s="1468">
        <f>+L166</f>
        <v>0</v>
      </c>
      <c r="O166" s="1469">
        <f>SUM(P166:P169)</f>
        <v>9103.423728813561</v>
      </c>
      <c r="P166" s="1470">
        <f>+I166*N169</f>
        <v>6526.9830508474588</v>
      </c>
      <c r="Q166" s="1471">
        <f t="shared" si="135"/>
        <v>543.9152542372882</v>
      </c>
      <c r="R166" s="1471">
        <f t="shared" si="121"/>
        <v>97.904745762711869</v>
      </c>
      <c r="S166" s="1472">
        <f t="shared" si="136"/>
        <v>641.82000000000005</v>
      </c>
      <c r="T166" s="652">
        <f>+H166*1.18*N169</f>
        <v>641.82000000000016</v>
      </c>
      <c r="U166" s="693">
        <f>+T166*1.02</f>
        <v>654.65640000000019</v>
      </c>
      <c r="W166" s="1493">
        <f t="shared" si="137"/>
        <v>190.00000000000003</v>
      </c>
      <c r="X166" s="2037">
        <f t="shared" si="138"/>
        <v>190.00000000000003</v>
      </c>
    </row>
    <row r="167" spans="2:24" ht="15.75">
      <c r="B167" s="1512" t="s">
        <v>459</v>
      </c>
      <c r="C167" s="1474">
        <v>42704</v>
      </c>
      <c r="D167" s="1463" t="s">
        <v>426</v>
      </c>
      <c r="E167" s="3331"/>
      <c r="F167" s="1475" t="s">
        <v>1302</v>
      </c>
      <c r="G167" s="2119">
        <v>12</v>
      </c>
      <c r="H167" s="1477">
        <f>75/(1.18)</f>
        <v>63.559322033898312</v>
      </c>
      <c r="I167" s="1478">
        <f t="shared" si="139"/>
        <v>762.7118644067798</v>
      </c>
      <c r="J167" s="3334"/>
      <c r="K167" s="3337"/>
      <c r="L167" s="3337"/>
      <c r="M167" s="3340"/>
      <c r="N167" s="2210" t="s">
        <v>1304</v>
      </c>
      <c r="O167" s="1480">
        <f>+O166*0.18</f>
        <v>1638.6162711864408</v>
      </c>
      <c r="P167" s="1481">
        <f>+I167*N169</f>
        <v>2576.4406779661022</v>
      </c>
      <c r="Q167" s="1471">
        <f t="shared" si="135"/>
        <v>214.70338983050851</v>
      </c>
      <c r="R167" s="1471">
        <f t="shared" si="121"/>
        <v>38.646610169491531</v>
      </c>
      <c r="S167" s="1472">
        <f t="shared" si="136"/>
        <v>253.35000000000005</v>
      </c>
      <c r="U167" s="693">
        <f>320*2.8</f>
        <v>896</v>
      </c>
      <c r="V167" s="693">
        <f>347*2.8</f>
        <v>971.59999999999991</v>
      </c>
      <c r="W167" s="1493">
        <f t="shared" si="137"/>
        <v>75</v>
      </c>
      <c r="X167" s="2037">
        <f t="shared" si="138"/>
        <v>75</v>
      </c>
    </row>
    <row r="168" spans="2:24" ht="13.7" customHeight="1">
      <c r="B168" s="1494"/>
      <c r="C168" s="1474"/>
      <c r="D168" s="1463"/>
      <c r="E168" s="3331"/>
      <c r="F168" s="1495"/>
      <c r="G168" s="2211">
        <v>4.4999999999999998E-29</v>
      </c>
      <c r="H168" s="1477">
        <v>0</v>
      </c>
      <c r="I168" s="1478">
        <f t="shared" si="139"/>
        <v>0</v>
      </c>
      <c r="J168" s="3334"/>
      <c r="K168" s="3337"/>
      <c r="L168" s="3337"/>
      <c r="M168" s="3340"/>
      <c r="N168" s="1497"/>
      <c r="O168" s="1498"/>
      <c r="P168" s="1481">
        <f>+I168*N169</f>
        <v>0</v>
      </c>
      <c r="Q168" s="1471">
        <f t="shared" si="135"/>
        <v>0</v>
      </c>
      <c r="R168" s="1471">
        <f t="shared" si="121"/>
        <v>0</v>
      </c>
      <c r="S168" s="1472">
        <f t="shared" si="136"/>
        <v>0</v>
      </c>
      <c r="U168" s="693">
        <v>550</v>
      </c>
      <c r="V168" s="693">
        <v>550</v>
      </c>
      <c r="W168" s="1493">
        <f t="shared" si="137"/>
        <v>0</v>
      </c>
      <c r="X168" s="2037">
        <f t="shared" si="138"/>
        <v>0</v>
      </c>
    </row>
    <row r="169" spans="2:24" ht="13.7" customHeight="1" thickBot="1">
      <c r="B169" s="1482"/>
      <c r="C169" s="1483"/>
      <c r="D169" s="1484"/>
      <c r="E169" s="3342"/>
      <c r="F169" s="1485"/>
      <c r="G169" s="2173">
        <v>4.5000000000000001E-38</v>
      </c>
      <c r="H169" s="1487">
        <v>0</v>
      </c>
      <c r="I169" s="1488">
        <f t="shared" si="139"/>
        <v>0</v>
      </c>
      <c r="J169" s="3343"/>
      <c r="K169" s="3344"/>
      <c r="L169" s="3344"/>
      <c r="M169" s="3345"/>
      <c r="N169" s="1489">
        <v>3.3780000000000001</v>
      </c>
      <c r="O169" s="1490">
        <f>+O167+O166+N166</f>
        <v>10742.04</v>
      </c>
      <c r="P169" s="1491">
        <f>+I169*N169</f>
        <v>0</v>
      </c>
      <c r="Q169" s="1471">
        <f t="shared" si="135"/>
        <v>0</v>
      </c>
      <c r="R169" s="1471">
        <f t="shared" si="121"/>
        <v>0</v>
      </c>
      <c r="S169" s="1472">
        <f t="shared" si="136"/>
        <v>0</v>
      </c>
      <c r="U169" s="693">
        <v>550</v>
      </c>
      <c r="V169" s="693">
        <v>550</v>
      </c>
      <c r="W169" s="1499">
        <f t="shared" si="137"/>
        <v>0</v>
      </c>
      <c r="X169" s="2037">
        <f t="shared" si="138"/>
        <v>0</v>
      </c>
    </row>
    <row r="170" spans="2:24" ht="15.75">
      <c r="B170" s="1461"/>
      <c r="C170" s="1462">
        <v>42734</v>
      </c>
      <c r="D170" s="1463" t="s">
        <v>426</v>
      </c>
      <c r="E170" s="3457" t="s">
        <v>2700</v>
      </c>
      <c r="F170" s="1464" t="s">
        <v>2388</v>
      </c>
      <c r="G170" s="1465">
        <v>24</v>
      </c>
      <c r="H170" s="1466">
        <f>190/(1.18)</f>
        <v>161.0169491525424</v>
      </c>
      <c r="I170" s="1467">
        <f t="shared" si="139"/>
        <v>3864.4067796610175</v>
      </c>
      <c r="J170" s="3333">
        <f>SUM(I170:I173)</f>
        <v>7584.7457627118647</v>
      </c>
      <c r="K170" s="3336">
        <f>+J170*0.18</f>
        <v>1365.2542372881355</v>
      </c>
      <c r="L170" s="3336"/>
      <c r="M170" s="3339">
        <f>+K170+J170</f>
        <v>8950</v>
      </c>
      <c r="N170" s="1468">
        <f>+L170</f>
        <v>0</v>
      </c>
      <c r="O170" s="1469">
        <f>SUM(P170:P173)</f>
        <v>25621.271186440681</v>
      </c>
      <c r="P170" s="1470">
        <f>+I170*N173</f>
        <v>13053.966101694918</v>
      </c>
      <c r="Q170" s="1471">
        <f>+P170/G170</f>
        <v>543.9152542372882</v>
      </c>
      <c r="R170" s="1471">
        <f>+Q170*0.18</f>
        <v>97.904745762711869</v>
      </c>
      <c r="S170" s="1472">
        <f>+R170+Q170</f>
        <v>641.82000000000005</v>
      </c>
      <c r="T170" s="652">
        <f>+H170*1.18*N173</f>
        <v>641.82000000000016</v>
      </c>
      <c r="U170" s="693">
        <f>+T170*1.02</f>
        <v>654.65640000000019</v>
      </c>
      <c r="W170" s="1493">
        <f>+H170*1.18</f>
        <v>190.00000000000003</v>
      </c>
      <c r="X170" s="2037">
        <f>+H170*1.18</f>
        <v>190.00000000000003</v>
      </c>
    </row>
    <row r="171" spans="2:24" ht="15.75">
      <c r="B171" s="2289" t="s">
        <v>463</v>
      </c>
      <c r="C171" s="1474">
        <v>42734</v>
      </c>
      <c r="D171" s="1463" t="s">
        <v>426</v>
      </c>
      <c r="E171" s="3458"/>
      <c r="F171" s="1475" t="s">
        <v>2389</v>
      </c>
      <c r="G171" s="2119">
        <v>8</v>
      </c>
      <c r="H171" s="1477">
        <f>235/(1.18)</f>
        <v>199.15254237288136</v>
      </c>
      <c r="I171" s="1478">
        <f t="shared" si="139"/>
        <v>1593.2203389830509</v>
      </c>
      <c r="J171" s="3334"/>
      <c r="K171" s="3337"/>
      <c r="L171" s="3337"/>
      <c r="M171" s="3340"/>
      <c r="N171" s="2210" t="s">
        <v>2446</v>
      </c>
      <c r="O171" s="1480">
        <f>+O170*0.18</f>
        <v>4611.828813559322</v>
      </c>
      <c r="P171" s="1481">
        <f>+I171*N173</f>
        <v>5381.8983050847455</v>
      </c>
      <c r="Q171" s="1471">
        <f>+P171/G171</f>
        <v>672.73728813559319</v>
      </c>
      <c r="R171" s="1471">
        <f>+Q171*0.18</f>
        <v>121.09271186440677</v>
      </c>
      <c r="S171" s="1472">
        <f>+R171+Q171</f>
        <v>793.82999999999993</v>
      </c>
      <c r="U171" s="693">
        <f>320*2.8</f>
        <v>896</v>
      </c>
      <c r="V171" s="693">
        <f>347*2.8</f>
        <v>971.59999999999991</v>
      </c>
      <c r="W171" s="1493">
        <f>+H171*1.18</f>
        <v>235</v>
      </c>
      <c r="X171" s="2037">
        <f>+H171*1.18</f>
        <v>235</v>
      </c>
    </row>
    <row r="172" spans="2:24" ht="13.7" customHeight="1">
      <c r="B172" s="1494"/>
      <c r="C172" s="1474">
        <v>42734</v>
      </c>
      <c r="D172" s="1463" t="s">
        <v>426</v>
      </c>
      <c r="E172" s="3458"/>
      <c r="F172" s="2643" t="s">
        <v>2390</v>
      </c>
      <c r="G172" s="2119">
        <v>2</v>
      </c>
      <c r="H172" s="1477">
        <f>235/(1.18)</f>
        <v>199.15254237288136</v>
      </c>
      <c r="I172" s="1478">
        <f t="shared" si="139"/>
        <v>398.30508474576271</v>
      </c>
      <c r="J172" s="3334"/>
      <c r="K172" s="3337"/>
      <c r="L172" s="3337"/>
      <c r="M172" s="3340"/>
      <c r="N172" s="1497"/>
      <c r="O172" s="1498"/>
      <c r="P172" s="1481">
        <f>+I172*N173</f>
        <v>1345.4745762711864</v>
      </c>
      <c r="Q172" s="1471">
        <f>+P172/G172</f>
        <v>672.73728813559319</v>
      </c>
      <c r="R172" s="1471">
        <f>+Q172*0.18</f>
        <v>121.09271186440677</v>
      </c>
      <c r="S172" s="1472">
        <f>+R172+Q172</f>
        <v>793.82999999999993</v>
      </c>
      <c r="U172" s="693">
        <v>550</v>
      </c>
      <c r="V172" s="693">
        <v>550</v>
      </c>
      <c r="W172" s="1493">
        <f>+H172*1.18</f>
        <v>235</v>
      </c>
      <c r="X172" s="2037">
        <f>+H172*1.18</f>
        <v>235</v>
      </c>
    </row>
    <row r="173" spans="2:24" ht="13.7" customHeight="1" thickBot="1">
      <c r="B173" s="1482"/>
      <c r="C173" s="1483">
        <v>42734</v>
      </c>
      <c r="D173" s="1484" t="s">
        <v>426</v>
      </c>
      <c r="E173" s="3459"/>
      <c r="F173" s="1485" t="s">
        <v>2391</v>
      </c>
      <c r="G173" s="2120">
        <v>34</v>
      </c>
      <c r="H173" s="1487">
        <f>60/(1.18)</f>
        <v>50.847457627118644</v>
      </c>
      <c r="I173" s="1488">
        <f t="shared" si="139"/>
        <v>1728.8135593220338</v>
      </c>
      <c r="J173" s="3343"/>
      <c r="K173" s="3344"/>
      <c r="L173" s="3344"/>
      <c r="M173" s="3345"/>
      <c r="N173" s="1489">
        <v>3.3780000000000001</v>
      </c>
      <c r="O173" s="1490">
        <f>+O171+O170+N170</f>
        <v>30233.100000000002</v>
      </c>
      <c r="P173" s="1491">
        <f>+I173*N173</f>
        <v>5839.9322033898306</v>
      </c>
      <c r="Q173" s="1471">
        <f>+P173/G173</f>
        <v>171.76271186440678</v>
      </c>
      <c r="R173" s="1471">
        <f>+Q173*0.18</f>
        <v>30.917288135593221</v>
      </c>
      <c r="S173" s="1472">
        <f>+R173+Q173</f>
        <v>202.68</v>
      </c>
      <c r="U173" s="693">
        <v>550</v>
      </c>
      <c r="V173" s="693">
        <v>550</v>
      </c>
      <c r="W173" s="1499">
        <f>+H173*1.18</f>
        <v>59.999999999999993</v>
      </c>
      <c r="X173" s="2037">
        <f>+H173*1.18</f>
        <v>59.999999999999993</v>
      </c>
    </row>
    <row r="174" spans="2:24" ht="13.7" customHeight="1">
      <c r="B174" s="772"/>
      <c r="C174" s="1514"/>
      <c r="D174" s="1515"/>
      <c r="E174" s="1516"/>
      <c r="F174" s="1515"/>
      <c r="G174" s="2171"/>
      <c r="H174" s="1518"/>
      <c r="I174" s="1519"/>
      <c r="J174" s="1520"/>
      <c r="K174" s="1521"/>
      <c r="L174" s="1521"/>
      <c r="M174" s="1523"/>
      <c r="N174" s="2172"/>
      <c r="O174" s="1524"/>
      <c r="P174" s="1525"/>
      <c r="Q174" s="1471"/>
      <c r="R174" s="1471"/>
      <c r="S174" s="1472"/>
      <c r="W174" s="2039"/>
      <c r="X174" s="2037"/>
    </row>
    <row r="175" spans="2:24" ht="13.7" customHeight="1">
      <c r="B175" s="736"/>
      <c r="C175" s="1514"/>
      <c r="D175" s="1515"/>
      <c r="E175" s="1516"/>
      <c r="F175" s="1517"/>
      <c r="G175" s="67"/>
      <c r="H175" s="1518" t="s">
        <v>469</v>
      </c>
      <c r="I175" s="1519" t="s">
        <v>470</v>
      </c>
      <c r="J175" s="1520" t="s">
        <v>471</v>
      </c>
      <c r="K175" s="1521"/>
      <c r="L175" s="1522"/>
      <c r="M175" s="1523"/>
      <c r="N175"/>
      <c r="O175" s="1524"/>
      <c r="P175" s="1525"/>
      <c r="Q175" s="1471"/>
      <c r="R175" s="1471"/>
      <c r="S175" s="1526"/>
    </row>
    <row r="176" spans="2:24">
      <c r="F176" s="1527"/>
      <c r="G176" s="1527" t="s">
        <v>2197</v>
      </c>
      <c r="H176" s="1443">
        <v>235</v>
      </c>
      <c r="I176" s="1443">
        <v>230</v>
      </c>
      <c r="J176" s="1520">
        <f>65.2542*1.18</f>
        <v>76.999955999999997</v>
      </c>
      <c r="K176" s="1528"/>
      <c r="L176" s="1528"/>
      <c r="M176" s="1528"/>
      <c r="N176"/>
      <c r="O176">
        <v>270</v>
      </c>
      <c r="P176">
        <v>274.05</v>
      </c>
      <c r="Q176"/>
      <c r="R176"/>
      <c r="S176"/>
    </row>
    <row r="177" spans="2:24" ht="13.7" customHeight="1">
      <c r="B177" s="772"/>
      <c r="C177" s="1514"/>
      <c r="D177" s="1515"/>
      <c r="E177" s="1516"/>
      <c r="F177" s="2064" t="s">
        <v>522</v>
      </c>
      <c r="G177" s="2038"/>
      <c r="H177" s="1443" t="s">
        <v>1343</v>
      </c>
      <c r="I177" s="1518">
        <v>250</v>
      </c>
      <c r="J177" s="1520">
        <f>65.2542*1.18</f>
        <v>76.999955999999997</v>
      </c>
      <c r="K177" s="1521"/>
      <c r="L177" s="2065">
        <f>+I177*8</f>
        <v>2000</v>
      </c>
      <c r="M177" s="1523"/>
      <c r="O177" s="1524">
        <v>1.18</v>
      </c>
      <c r="P177" s="1524">
        <v>1.18</v>
      </c>
      <c r="Q177" s="1471"/>
      <c r="R177" s="1471"/>
      <c r="S177" s="1472"/>
      <c r="W177" s="2039"/>
      <c r="X177" s="2037"/>
    </row>
    <row r="178" spans="2:24">
      <c r="F178" s="1527" t="s">
        <v>2196</v>
      </c>
      <c r="H178" s="1518">
        <v>250</v>
      </c>
      <c r="I178" s="1443" t="s">
        <v>1343</v>
      </c>
      <c r="J178" s="1520">
        <f>65.2542*1.18</f>
        <v>76.999955999999997</v>
      </c>
      <c r="L178" s="2066">
        <f>+H178*2</f>
        <v>500</v>
      </c>
      <c r="M178" s="1448">
        <f>+L178+L177+L179</f>
        <v>3269.9995600000002</v>
      </c>
      <c r="O178">
        <f>+O176/O177</f>
        <v>228.81355932203391</v>
      </c>
      <c r="P178">
        <f>+P176/P177</f>
        <v>232.24576271186442</v>
      </c>
      <c r="Q178"/>
      <c r="R178"/>
      <c r="S178"/>
    </row>
    <row r="179" spans="2:24" ht="18.75" thickBot="1">
      <c r="C179" s="1444" t="s">
        <v>413</v>
      </c>
      <c r="D179" s="1445"/>
      <c r="E179" s="1445"/>
      <c r="F179" s="1445"/>
      <c r="G179" s="1445"/>
      <c r="H179" s="1445"/>
      <c r="I179" s="1445"/>
      <c r="L179" s="2066">
        <f>+J178*10</f>
        <v>769.99955999999997</v>
      </c>
      <c r="O179"/>
      <c r="P179"/>
      <c r="Q179"/>
      <c r="R179"/>
    </row>
    <row r="180" spans="2:24" s="463" customFormat="1" ht="34.5" thickBot="1">
      <c r="C180" s="1449" t="s">
        <v>121</v>
      </c>
      <c r="D180" s="1450" t="s">
        <v>83</v>
      </c>
      <c r="E180" s="1451" t="s">
        <v>414</v>
      </c>
      <c r="F180" s="1451" t="s">
        <v>415</v>
      </c>
      <c r="G180" s="1452" t="s">
        <v>82</v>
      </c>
      <c r="H180" s="1453" t="s">
        <v>416</v>
      </c>
      <c r="I180" s="3391" t="s">
        <v>417</v>
      </c>
      <c r="J180" s="3392"/>
      <c r="K180" s="1454" t="s">
        <v>418</v>
      </c>
      <c r="L180" s="1455" t="s">
        <v>419</v>
      </c>
      <c r="M180" s="1456" t="s">
        <v>420</v>
      </c>
      <c r="N180" s="1457"/>
      <c r="O180" s="1458"/>
      <c r="P180" s="1459"/>
      <c r="Q180" s="804" t="s">
        <v>423</v>
      </c>
      <c r="R180" s="809" t="s">
        <v>424</v>
      </c>
      <c r="S180" s="1460" t="s">
        <v>425</v>
      </c>
      <c r="T180" s="460"/>
      <c r="U180" s="928"/>
      <c r="V180" s="928"/>
      <c r="W180" s="928"/>
    </row>
    <row r="181" spans="2:24" ht="15.75">
      <c r="B181" s="1461"/>
      <c r="C181" s="1462">
        <v>42046</v>
      </c>
      <c r="D181" s="1463" t="s">
        <v>426</v>
      </c>
      <c r="E181" s="3330" t="s">
        <v>427</v>
      </c>
      <c r="F181" s="1464" t="s">
        <v>638</v>
      </c>
      <c r="G181" s="1465">
        <v>2</v>
      </c>
      <c r="H181" s="1466">
        <v>265.4237</v>
      </c>
      <c r="I181" s="1467">
        <f t="shared" ref="I181:I212" si="140">+H181*G181</f>
        <v>530.84739999999999</v>
      </c>
      <c r="J181" s="3333">
        <f>SUM(I181:I183)</f>
        <v>3344.4070000000002</v>
      </c>
      <c r="K181" s="3336">
        <f>+J181*0.18</f>
        <v>601.99325999999996</v>
      </c>
      <c r="L181" s="3336"/>
      <c r="M181" s="3339">
        <f>+K181+J181</f>
        <v>3946.4002600000003</v>
      </c>
      <c r="N181" s="1468">
        <f>+L181</f>
        <v>0</v>
      </c>
      <c r="O181" s="1469">
        <f>SUM(P181:P183)</f>
        <v>9371.0284140000003</v>
      </c>
      <c r="P181" s="1470">
        <f>+I181*N183</f>
        <v>1487.4344148</v>
      </c>
      <c r="Q181" s="1471">
        <f t="shared" ref="Q181:Q210" si="141">+P181/G181</f>
        <v>743.71720740000001</v>
      </c>
      <c r="R181" s="1471">
        <f t="shared" ref="R181:R211" si="142">+Q181*0.18</f>
        <v>133.869097332</v>
      </c>
      <c r="S181" s="1472">
        <f t="shared" ref="S181:S210" si="143">+R181+Q181</f>
        <v>877.58630473200003</v>
      </c>
      <c r="T181" s="652">
        <f>+H181*1.18*N183</f>
        <v>877.58630473199992</v>
      </c>
      <c r="U181" s="693">
        <f>+T181*1.02</f>
        <v>895.13803082663992</v>
      </c>
      <c r="X181">
        <f>+H181*1.18</f>
        <v>313.19996599999996</v>
      </c>
    </row>
    <row r="182" spans="2:24" ht="15.75">
      <c r="B182" s="1473" t="s">
        <v>428</v>
      </c>
      <c r="C182" s="1474">
        <v>42046</v>
      </c>
      <c r="D182" s="1463" t="s">
        <v>426</v>
      </c>
      <c r="E182" s="3331"/>
      <c r="F182" s="1475" t="s">
        <v>639</v>
      </c>
      <c r="G182" s="1476">
        <v>8</v>
      </c>
      <c r="H182" s="1477">
        <v>266.94920000000002</v>
      </c>
      <c r="I182" s="1478">
        <f t="shared" si="140"/>
        <v>2135.5936000000002</v>
      </c>
      <c r="J182" s="3334"/>
      <c r="K182" s="3337"/>
      <c r="L182" s="3337"/>
      <c r="M182" s="3340"/>
      <c r="N182" s="1479" t="s">
        <v>429</v>
      </c>
      <c r="O182" s="1480">
        <f>+O181*0.18</f>
        <v>1686.78511452</v>
      </c>
      <c r="P182" s="1481">
        <f>+I182*N183</f>
        <v>5983.933267200001</v>
      </c>
      <c r="Q182" s="1471">
        <f t="shared" si="141"/>
        <v>747.99165840000012</v>
      </c>
      <c r="R182" s="1471">
        <f t="shared" si="142"/>
        <v>134.63849851200001</v>
      </c>
      <c r="S182" s="1472">
        <f t="shared" si="143"/>
        <v>882.63015691200007</v>
      </c>
      <c r="U182" s="693">
        <f>320*2.8</f>
        <v>896</v>
      </c>
      <c r="V182" s="693">
        <f>347*2.8</f>
        <v>971.59999999999991</v>
      </c>
      <c r="X182">
        <f>+H182*1.18</f>
        <v>315.00005600000003</v>
      </c>
    </row>
    <row r="183" spans="2:24" ht="13.7" customHeight="1" thickBot="1">
      <c r="B183" s="1482"/>
      <c r="C183" s="1483">
        <v>42046</v>
      </c>
      <c r="D183" s="1484" t="s">
        <v>426</v>
      </c>
      <c r="E183" s="3342"/>
      <c r="F183" s="1485" t="s">
        <v>436</v>
      </c>
      <c r="G183" s="1486">
        <v>10</v>
      </c>
      <c r="H183" s="1487">
        <v>67.796599999999998</v>
      </c>
      <c r="I183" s="1488">
        <f t="shared" si="140"/>
        <v>677.96600000000001</v>
      </c>
      <c r="J183" s="3343"/>
      <c r="K183" s="3344"/>
      <c r="L183" s="3344"/>
      <c r="M183" s="3345"/>
      <c r="N183" s="1489">
        <f>(2.801+2.803)/2</f>
        <v>2.802</v>
      </c>
      <c r="O183" s="1490">
        <f>+O182+O181+N181</f>
        <v>11057.813528520001</v>
      </c>
      <c r="P183" s="1491">
        <f>+I183*N183</f>
        <v>1899.6607320000001</v>
      </c>
      <c r="Q183" s="1471">
        <f t="shared" si="141"/>
        <v>189.96607320000001</v>
      </c>
      <c r="R183" s="1471">
        <f t="shared" si="142"/>
        <v>34.193893176000003</v>
      </c>
      <c r="S183" s="1472">
        <f t="shared" si="143"/>
        <v>224.159966376</v>
      </c>
      <c r="U183" s="693">
        <v>550</v>
      </c>
      <c r="V183" s="693">
        <v>550</v>
      </c>
    </row>
    <row r="184" spans="2:24" ht="15.75">
      <c r="B184" s="1461"/>
      <c r="C184" s="1462">
        <v>42115</v>
      </c>
      <c r="D184" s="1463" t="s">
        <v>426</v>
      </c>
      <c r="E184" s="3330" t="s">
        <v>437</v>
      </c>
      <c r="F184" s="1464" t="s">
        <v>638</v>
      </c>
      <c r="G184" s="1465">
        <v>2</v>
      </c>
      <c r="H184" s="1466">
        <v>261.7373</v>
      </c>
      <c r="I184" s="1467">
        <f t="shared" si="140"/>
        <v>523.47460000000001</v>
      </c>
      <c r="J184" s="3333">
        <f>SUM(I184:I186)</f>
        <v>3303.1358</v>
      </c>
      <c r="K184" s="3336">
        <f>+J184*0.18</f>
        <v>594.56444399999998</v>
      </c>
      <c r="L184" s="3336"/>
      <c r="M184" s="3339">
        <f>+K184+J184</f>
        <v>3897.7002440000001</v>
      </c>
      <c r="N184" s="1468">
        <f>+L184</f>
        <v>0</v>
      </c>
      <c r="O184" s="1469">
        <f>SUM(P184:P186)</f>
        <v>9255.3865115999997</v>
      </c>
      <c r="P184" s="1470">
        <f>+I184*N186</f>
        <v>1466.7758292000001</v>
      </c>
      <c r="Q184" s="1471">
        <f t="shared" si="141"/>
        <v>733.38791460000004</v>
      </c>
      <c r="R184" s="1471">
        <f t="shared" si="142"/>
        <v>132.00982462799999</v>
      </c>
      <c r="S184" s="1472">
        <f t="shared" si="143"/>
        <v>865.39773922800009</v>
      </c>
      <c r="T184" s="652">
        <f>+H184*1.18*N186</f>
        <v>865.39773922799998</v>
      </c>
      <c r="U184" s="693">
        <f>+T184*1.02</f>
        <v>882.70569401256</v>
      </c>
    </row>
    <row r="185" spans="2:24" ht="15.75">
      <c r="B185" s="1190" t="s">
        <v>438</v>
      </c>
      <c r="C185" s="1474">
        <v>42115</v>
      </c>
      <c r="D185" s="1463" t="s">
        <v>426</v>
      </c>
      <c r="E185" s="3331"/>
      <c r="F185" s="1475" t="s">
        <v>639</v>
      </c>
      <c r="G185" s="1476">
        <v>8</v>
      </c>
      <c r="H185" s="1477">
        <v>262.71190000000001</v>
      </c>
      <c r="I185" s="1478">
        <f t="shared" si="140"/>
        <v>2101.6952000000001</v>
      </c>
      <c r="J185" s="3334"/>
      <c r="K185" s="3337"/>
      <c r="L185" s="3337"/>
      <c r="M185" s="3340"/>
      <c r="N185" s="1479" t="s">
        <v>439</v>
      </c>
      <c r="O185" s="1480">
        <f>+O184*0.18</f>
        <v>1665.9695720879999</v>
      </c>
      <c r="P185" s="1481">
        <f>+I185*N186</f>
        <v>5888.9499504000005</v>
      </c>
      <c r="Q185" s="1471">
        <f t="shared" si="141"/>
        <v>736.11874380000006</v>
      </c>
      <c r="R185" s="1471">
        <f t="shared" si="142"/>
        <v>132.501373884</v>
      </c>
      <c r="S185" s="1472">
        <f t="shared" si="143"/>
        <v>868.62011768400009</v>
      </c>
      <c r="U185" s="693">
        <f>320*2.8</f>
        <v>896</v>
      </c>
      <c r="V185" s="693">
        <f>347*2.8</f>
        <v>971.59999999999991</v>
      </c>
    </row>
    <row r="186" spans="2:24" ht="13.7" customHeight="1" thickBot="1">
      <c r="B186" s="1482"/>
      <c r="C186" s="1483">
        <v>42115</v>
      </c>
      <c r="D186" s="1484" t="s">
        <v>426</v>
      </c>
      <c r="E186" s="3342"/>
      <c r="F186" s="1485" t="s">
        <v>436</v>
      </c>
      <c r="G186" s="1486">
        <v>10</v>
      </c>
      <c r="H186" s="1487">
        <v>67.796599999999998</v>
      </c>
      <c r="I186" s="1488">
        <f t="shared" si="140"/>
        <v>677.96600000000001</v>
      </c>
      <c r="J186" s="3343"/>
      <c r="K186" s="3344"/>
      <c r="L186" s="3344"/>
      <c r="M186" s="3345"/>
      <c r="N186" s="1489">
        <f>(2.801+2.803)/2</f>
        <v>2.802</v>
      </c>
      <c r="O186" s="1490">
        <f>+O185+O184+N184</f>
        <v>10921.356083687999</v>
      </c>
      <c r="P186" s="1491">
        <f>+I186*N186</f>
        <v>1899.6607320000001</v>
      </c>
      <c r="Q186" s="1471">
        <f t="shared" si="141"/>
        <v>189.96607320000001</v>
      </c>
      <c r="R186" s="1471">
        <f t="shared" si="142"/>
        <v>34.193893176000003</v>
      </c>
      <c r="S186" s="1472">
        <f t="shared" si="143"/>
        <v>224.159966376</v>
      </c>
      <c r="U186" s="693">
        <v>550</v>
      </c>
      <c r="V186" s="693">
        <v>550</v>
      </c>
      <c r="W186" s="1492"/>
    </row>
    <row r="187" spans="2:24" ht="15.75">
      <c r="B187" s="1461"/>
      <c r="C187" s="1462">
        <v>42179</v>
      </c>
      <c r="D187" s="1463" t="s">
        <v>426</v>
      </c>
      <c r="E187" s="3330" t="s">
        <v>440</v>
      </c>
      <c r="F187" s="1464" t="s">
        <v>638</v>
      </c>
      <c r="G187" s="1465">
        <v>2</v>
      </c>
      <c r="H187" s="1466">
        <v>261.7373</v>
      </c>
      <c r="I187" s="1467">
        <f t="shared" si="140"/>
        <v>523.47460000000001</v>
      </c>
      <c r="J187" s="3333">
        <f>SUM(I187:I190)</f>
        <v>3506.5262000000002</v>
      </c>
      <c r="K187" s="3336">
        <f>+J187*0.18</f>
        <v>631.17471599999999</v>
      </c>
      <c r="L187" s="3336"/>
      <c r="M187" s="3339">
        <f>+K187+J187</f>
        <v>4137.7009159999998</v>
      </c>
      <c r="N187" s="1468">
        <f>+L187</f>
        <v>0</v>
      </c>
      <c r="O187" s="1469">
        <f>SUM(P187:P190)</f>
        <v>9825.2864123999989</v>
      </c>
      <c r="P187" s="1470">
        <f>+I187*N190</f>
        <v>1466.7758292000001</v>
      </c>
      <c r="Q187" s="1471">
        <f t="shared" si="141"/>
        <v>733.38791460000004</v>
      </c>
      <c r="R187" s="1471">
        <f t="shared" si="142"/>
        <v>132.00982462799999</v>
      </c>
      <c r="S187" s="1472">
        <f t="shared" si="143"/>
        <v>865.39773922800009</v>
      </c>
      <c r="T187" s="652">
        <f>+H187*1.18*N190</f>
        <v>865.39773922799998</v>
      </c>
      <c r="U187" s="693">
        <f>+T187*1.02</f>
        <v>882.70569401256</v>
      </c>
      <c r="W187" s="1493">
        <f t="shared" ref="W187:W210" si="144">+H187*1.18</f>
        <v>308.85001399999999</v>
      </c>
    </row>
    <row r="188" spans="2:24" ht="15.75">
      <c r="B188" s="1190" t="s">
        <v>204</v>
      </c>
      <c r="C188" s="1474">
        <v>42179</v>
      </c>
      <c r="D188" s="1463" t="s">
        <v>426</v>
      </c>
      <c r="E188" s="3331"/>
      <c r="F188" s="1475" t="s">
        <v>639</v>
      </c>
      <c r="G188" s="1476">
        <v>8</v>
      </c>
      <c r="H188" s="1477">
        <v>262.71190000000001</v>
      </c>
      <c r="I188" s="1478">
        <f t="shared" si="140"/>
        <v>2101.6952000000001</v>
      </c>
      <c r="J188" s="3334"/>
      <c r="K188" s="3337"/>
      <c r="L188" s="3337"/>
      <c r="M188" s="3340"/>
      <c r="N188" s="1479" t="s">
        <v>441</v>
      </c>
      <c r="O188" s="1480">
        <f>+O187*0.18</f>
        <v>1768.5515542319997</v>
      </c>
      <c r="P188" s="1481">
        <f>+I188*N190</f>
        <v>5888.9499504000005</v>
      </c>
      <c r="Q188" s="1471">
        <f t="shared" si="141"/>
        <v>736.11874380000006</v>
      </c>
      <c r="R188" s="1471">
        <f t="shared" si="142"/>
        <v>132.501373884</v>
      </c>
      <c r="S188" s="1472">
        <f t="shared" si="143"/>
        <v>868.62011768400009</v>
      </c>
      <c r="U188" s="693">
        <f>320*2.8</f>
        <v>896</v>
      </c>
      <c r="V188" s="693">
        <f>347*2.8</f>
        <v>971.59999999999991</v>
      </c>
      <c r="W188" s="1493">
        <f t="shared" si="144"/>
        <v>310.00004200000001</v>
      </c>
    </row>
    <row r="189" spans="2:24" ht="13.7" customHeight="1">
      <c r="B189" s="1494"/>
      <c r="C189" s="1474">
        <v>42179</v>
      </c>
      <c r="D189" s="1463" t="s">
        <v>426</v>
      </c>
      <c r="E189" s="3331"/>
      <c r="F189" s="1495" t="s">
        <v>436</v>
      </c>
      <c r="G189" s="1496">
        <v>10</v>
      </c>
      <c r="H189" s="1477">
        <v>67.796599999999998</v>
      </c>
      <c r="I189" s="1478">
        <f t="shared" si="140"/>
        <v>677.96600000000001</v>
      </c>
      <c r="J189" s="3334"/>
      <c r="K189" s="3337"/>
      <c r="L189" s="3337"/>
      <c r="M189" s="3340"/>
      <c r="N189" s="1497"/>
      <c r="O189" s="1498"/>
      <c r="P189" s="1481">
        <f>+I189*N190</f>
        <v>1899.6607320000001</v>
      </c>
      <c r="Q189" s="1471">
        <f t="shared" si="141"/>
        <v>189.96607320000001</v>
      </c>
      <c r="R189" s="1471">
        <f t="shared" si="142"/>
        <v>34.193893176000003</v>
      </c>
      <c r="S189" s="1472">
        <f t="shared" si="143"/>
        <v>224.159966376</v>
      </c>
      <c r="U189" s="693">
        <v>550</v>
      </c>
      <c r="V189" s="693">
        <v>550</v>
      </c>
      <c r="W189" s="1493">
        <f t="shared" si="144"/>
        <v>79.999987999999988</v>
      </c>
    </row>
    <row r="190" spans="2:24" ht="13.7" customHeight="1" thickBot="1">
      <c r="B190" s="1482"/>
      <c r="C190" s="1483">
        <v>42179</v>
      </c>
      <c r="D190" s="1484" t="s">
        <v>426</v>
      </c>
      <c r="E190" s="3342"/>
      <c r="F190" s="1485" t="s">
        <v>442</v>
      </c>
      <c r="G190" s="1486">
        <v>24</v>
      </c>
      <c r="H190" s="1487">
        <v>8.4746000000000006</v>
      </c>
      <c r="I190" s="1488">
        <f t="shared" si="140"/>
        <v>203.3904</v>
      </c>
      <c r="J190" s="3343"/>
      <c r="K190" s="3344"/>
      <c r="L190" s="3344"/>
      <c r="M190" s="3345"/>
      <c r="N190" s="1489">
        <f>(2.801+2.803)/2</f>
        <v>2.802</v>
      </c>
      <c r="O190" s="1490">
        <f>+O188+O187+N187</f>
        <v>11593.837966631998</v>
      </c>
      <c r="P190" s="1491">
        <f>+I190*N190</f>
        <v>569.89990079999995</v>
      </c>
      <c r="Q190" s="1471">
        <f t="shared" si="141"/>
        <v>23.745829199999999</v>
      </c>
      <c r="R190" s="1471">
        <f t="shared" si="142"/>
        <v>4.2742492560000001</v>
      </c>
      <c r="S190" s="1472">
        <f t="shared" si="143"/>
        <v>28.020078456</v>
      </c>
      <c r="U190" s="693">
        <v>550</v>
      </c>
      <c r="V190" s="693">
        <v>550</v>
      </c>
      <c r="W190" s="1499">
        <f t="shared" si="144"/>
        <v>10.000028</v>
      </c>
    </row>
    <row r="191" spans="2:24" ht="15.75">
      <c r="B191" s="1461"/>
      <c r="C191" s="1462">
        <v>42210</v>
      </c>
      <c r="D191" s="1463" t="s">
        <v>426</v>
      </c>
      <c r="E191" s="3330" t="s">
        <v>443</v>
      </c>
      <c r="F191" s="1464" t="s">
        <v>640</v>
      </c>
      <c r="G191" s="1465">
        <v>2</v>
      </c>
      <c r="H191" s="1466">
        <v>237.28809999999999</v>
      </c>
      <c r="I191" s="1467">
        <f t="shared" si="140"/>
        <v>474.57619999999997</v>
      </c>
      <c r="J191" s="3333">
        <f>SUM(I191:I193)</f>
        <v>3118.6437999999998</v>
      </c>
      <c r="K191" s="3336">
        <f>+J191*0.18</f>
        <v>561.35588399999995</v>
      </c>
      <c r="L191" s="3336"/>
      <c r="M191" s="3339">
        <f>+K191+J191</f>
        <v>3679.9996839999999</v>
      </c>
      <c r="N191" s="1468">
        <f>+L191</f>
        <v>0</v>
      </c>
      <c r="O191" s="1469">
        <f>SUM(P191:P193)</f>
        <v>9979.6601599999995</v>
      </c>
      <c r="P191" s="1470">
        <f>+I191*N193</f>
        <v>1518.64384</v>
      </c>
      <c r="Q191" s="1471">
        <f t="shared" si="141"/>
        <v>759.32191999999998</v>
      </c>
      <c r="R191" s="1471">
        <f t="shared" si="142"/>
        <v>136.67794559999999</v>
      </c>
      <c r="S191" s="1472">
        <f t="shared" si="143"/>
        <v>895.99986560000002</v>
      </c>
      <c r="T191" s="652">
        <f>+H191*1.18*N193</f>
        <v>895.99986560000002</v>
      </c>
      <c r="U191" s="693">
        <f>+T191*1.02</f>
        <v>913.91986291199999</v>
      </c>
      <c r="W191" s="1493">
        <f t="shared" si="144"/>
        <v>279.99995799999999</v>
      </c>
    </row>
    <row r="192" spans="2:24" ht="15.75">
      <c r="B192" s="1190" t="s">
        <v>444</v>
      </c>
      <c r="C192" s="1474">
        <v>42210</v>
      </c>
      <c r="D192" s="1463" t="s">
        <v>426</v>
      </c>
      <c r="E192" s="3331"/>
      <c r="F192" s="1475" t="s">
        <v>641</v>
      </c>
      <c r="G192" s="1476">
        <v>8</v>
      </c>
      <c r="H192" s="1477">
        <v>245.7627</v>
      </c>
      <c r="I192" s="1478">
        <f t="shared" si="140"/>
        <v>1966.1016</v>
      </c>
      <c r="J192" s="3334"/>
      <c r="K192" s="3337"/>
      <c r="L192" s="3337"/>
      <c r="M192" s="3340"/>
      <c r="N192" s="1479" t="s">
        <v>445</v>
      </c>
      <c r="O192" s="1480">
        <f>+O191*0.18</f>
        <v>1796.3388287999999</v>
      </c>
      <c r="P192" s="1481">
        <f>+I192*N193</f>
        <v>6291.5251200000002</v>
      </c>
      <c r="Q192" s="1471">
        <f t="shared" si="141"/>
        <v>786.44064000000003</v>
      </c>
      <c r="R192" s="1471">
        <f t="shared" si="142"/>
        <v>141.55931519999999</v>
      </c>
      <c r="S192" s="1472">
        <f t="shared" si="143"/>
        <v>927.99995520000004</v>
      </c>
      <c r="U192" s="693">
        <f>320*2.8</f>
        <v>896</v>
      </c>
      <c r="V192" s="693">
        <f>347*2.8</f>
        <v>971.59999999999991</v>
      </c>
      <c r="W192" s="1493">
        <f t="shared" si="144"/>
        <v>289.99998599999998</v>
      </c>
    </row>
    <row r="193" spans="2:23" ht="13.7" customHeight="1" thickBot="1">
      <c r="B193" s="1482"/>
      <c r="C193" s="1483">
        <v>42210</v>
      </c>
      <c r="D193" s="1484" t="s">
        <v>426</v>
      </c>
      <c r="E193" s="3342"/>
      <c r="F193" s="1485" t="s">
        <v>446</v>
      </c>
      <c r="G193" s="1486">
        <v>10</v>
      </c>
      <c r="H193" s="1487">
        <v>67.796599999999998</v>
      </c>
      <c r="I193" s="1488">
        <f t="shared" si="140"/>
        <v>677.96600000000001</v>
      </c>
      <c r="J193" s="3343"/>
      <c r="K193" s="3344"/>
      <c r="L193" s="3344"/>
      <c r="M193" s="3345"/>
      <c r="N193" s="1489">
        <v>3.2</v>
      </c>
      <c r="O193" s="1490">
        <f>+O192+O191+N191</f>
        <v>11775.9989888</v>
      </c>
      <c r="P193" s="1491">
        <f>+I193*N193</f>
        <v>2169.4911999999999</v>
      </c>
      <c r="Q193" s="1471">
        <f t="shared" si="141"/>
        <v>216.94911999999999</v>
      </c>
      <c r="R193" s="1471">
        <f t="shared" si="142"/>
        <v>39.050841599999998</v>
      </c>
      <c r="S193" s="1472">
        <f t="shared" si="143"/>
        <v>255.99996160000001</v>
      </c>
      <c r="U193" s="693">
        <v>550</v>
      </c>
      <c r="V193" s="693">
        <v>550</v>
      </c>
      <c r="W193" s="1499">
        <f t="shared" si="144"/>
        <v>79.999987999999988</v>
      </c>
    </row>
    <row r="194" spans="2:23" ht="15.75">
      <c r="B194" s="1461"/>
      <c r="C194" s="1462">
        <v>42247</v>
      </c>
      <c r="D194" s="1500" t="s">
        <v>426</v>
      </c>
      <c r="E194" s="3330" t="s">
        <v>642</v>
      </c>
      <c r="F194" s="1501" t="s">
        <v>640</v>
      </c>
      <c r="G194" s="1465">
        <v>2</v>
      </c>
      <c r="H194" s="1466">
        <v>237.28809999999999</v>
      </c>
      <c r="I194" s="1467">
        <f t="shared" si="140"/>
        <v>474.57619999999997</v>
      </c>
      <c r="J194" s="3333">
        <f>SUM(I194:I197)</f>
        <v>3254.2374</v>
      </c>
      <c r="K194" s="3336">
        <f>+J194*0.18</f>
        <v>585.76273200000003</v>
      </c>
      <c r="L194" s="3336"/>
      <c r="M194" s="3339">
        <f>+K194+J194</f>
        <v>3840.0001320000001</v>
      </c>
      <c r="N194" s="1468">
        <f>+L194</f>
        <v>0</v>
      </c>
      <c r="O194" s="1469">
        <f>SUM(P194:P197)</f>
        <v>10711.322402100001</v>
      </c>
      <c r="P194" s="1470">
        <f>+I194*N197</f>
        <v>1562.0675623</v>
      </c>
      <c r="Q194" s="1471">
        <f t="shared" si="141"/>
        <v>781.03378114999998</v>
      </c>
      <c r="R194" s="1471">
        <f t="shared" si="142"/>
        <v>140.58608060699999</v>
      </c>
      <c r="S194" s="1472">
        <f t="shared" si="143"/>
        <v>921.61986175699997</v>
      </c>
      <c r="T194" s="652">
        <f>+H194*1.18*N197</f>
        <v>921.61986175699997</v>
      </c>
      <c r="U194" s="693">
        <f>+T194*1.02</f>
        <v>940.05225899213997</v>
      </c>
      <c r="W194" s="1493">
        <f t="shared" si="144"/>
        <v>279.99995799999999</v>
      </c>
    </row>
    <row r="195" spans="2:23" ht="15.75">
      <c r="B195" s="1190" t="s">
        <v>447</v>
      </c>
      <c r="C195" s="1474">
        <v>42247</v>
      </c>
      <c r="D195" s="1463" t="s">
        <v>426</v>
      </c>
      <c r="E195" s="3331"/>
      <c r="F195" s="1502" t="s">
        <v>641</v>
      </c>
      <c r="G195" s="1476">
        <v>8</v>
      </c>
      <c r="H195" s="1477">
        <v>245.7627</v>
      </c>
      <c r="I195" s="1478">
        <f t="shared" si="140"/>
        <v>1966.1016</v>
      </c>
      <c r="J195" s="3334"/>
      <c r="K195" s="3337"/>
      <c r="L195" s="3337"/>
      <c r="M195" s="3340"/>
      <c r="N195" s="1479" t="s">
        <v>448</v>
      </c>
      <c r="O195" s="1480">
        <f>+O194*0.18</f>
        <v>1928.038032378</v>
      </c>
      <c r="P195" s="1481">
        <f>+I195*N197</f>
        <v>6471.4234164</v>
      </c>
      <c r="Q195" s="1471">
        <f t="shared" si="141"/>
        <v>808.92792704999999</v>
      </c>
      <c r="R195" s="1471">
        <f t="shared" si="142"/>
        <v>145.60702686899998</v>
      </c>
      <c r="S195" s="1472">
        <f t="shared" si="143"/>
        <v>954.53495391899992</v>
      </c>
      <c r="U195" s="693">
        <f>320*2.8</f>
        <v>896</v>
      </c>
      <c r="V195" s="693">
        <f>347*2.8</f>
        <v>971.59999999999991</v>
      </c>
      <c r="W195" s="1493">
        <f t="shared" si="144"/>
        <v>289.99998599999998</v>
      </c>
    </row>
    <row r="196" spans="2:23" ht="13.7" customHeight="1">
      <c r="B196" s="1494"/>
      <c r="C196" s="1503">
        <v>42247</v>
      </c>
      <c r="D196" s="1504" t="s">
        <v>426</v>
      </c>
      <c r="E196" s="3332"/>
      <c r="F196" s="1505" t="s">
        <v>442</v>
      </c>
      <c r="G196" s="1506">
        <v>16</v>
      </c>
      <c r="H196" s="1507">
        <v>8.4746000000000006</v>
      </c>
      <c r="I196" s="1508">
        <f t="shared" si="140"/>
        <v>135.59360000000001</v>
      </c>
      <c r="J196" s="3334"/>
      <c r="K196" s="3337"/>
      <c r="L196" s="3337"/>
      <c r="M196" s="3340"/>
      <c r="N196" s="1497"/>
      <c r="O196" s="1498"/>
      <c r="P196" s="1481">
        <f>+I196*N197</f>
        <v>446.30633440000003</v>
      </c>
      <c r="Q196" s="1471">
        <f t="shared" si="141"/>
        <v>27.894145900000002</v>
      </c>
      <c r="R196" s="1471">
        <f t="shared" si="142"/>
        <v>5.0209462619999998</v>
      </c>
      <c r="S196" s="1472">
        <f t="shared" si="143"/>
        <v>32.915092162000001</v>
      </c>
      <c r="U196" s="693">
        <v>550</v>
      </c>
      <c r="V196" s="693">
        <v>550</v>
      </c>
      <c r="W196" s="1493">
        <f t="shared" si="144"/>
        <v>10.000028</v>
      </c>
    </row>
    <row r="197" spans="2:23" ht="13.7" customHeight="1" thickBot="1">
      <c r="B197" s="1482"/>
      <c r="C197" s="1483">
        <v>42247</v>
      </c>
      <c r="D197" s="1484" t="s">
        <v>426</v>
      </c>
      <c r="E197" s="1509" t="s">
        <v>449</v>
      </c>
      <c r="F197" s="1485" t="s">
        <v>446</v>
      </c>
      <c r="G197" s="1486">
        <v>10</v>
      </c>
      <c r="H197" s="1487">
        <v>67.796599999999998</v>
      </c>
      <c r="I197" s="1488">
        <f t="shared" si="140"/>
        <v>677.96600000000001</v>
      </c>
      <c r="J197" s="3343"/>
      <c r="K197" s="3344"/>
      <c r="L197" s="3344"/>
      <c r="M197" s="3345"/>
      <c r="N197" s="1489">
        <f>(3.28+3.303)/2</f>
        <v>3.2915000000000001</v>
      </c>
      <c r="O197" s="1490">
        <f>+O195+O194+N194</f>
        <v>12639.360434478</v>
      </c>
      <c r="P197" s="1491">
        <f>+I197*N197</f>
        <v>2231.5250890000002</v>
      </c>
      <c r="Q197" s="1471">
        <f t="shared" si="141"/>
        <v>223.15250890000002</v>
      </c>
      <c r="R197" s="1471">
        <f t="shared" si="142"/>
        <v>40.167451602</v>
      </c>
      <c r="S197" s="1472">
        <f t="shared" si="143"/>
        <v>263.31996050200001</v>
      </c>
      <c r="U197" s="693">
        <v>550</v>
      </c>
      <c r="V197" s="693">
        <v>550</v>
      </c>
      <c r="W197" s="1499">
        <f t="shared" si="144"/>
        <v>79.999987999999988</v>
      </c>
    </row>
    <row r="198" spans="2:23" ht="15.75">
      <c r="B198" s="1461"/>
      <c r="C198" s="1462">
        <v>42277</v>
      </c>
      <c r="D198" s="1463" t="s">
        <v>426</v>
      </c>
      <c r="E198" s="3330" t="s">
        <v>450</v>
      </c>
      <c r="F198" s="1464" t="s">
        <v>640</v>
      </c>
      <c r="G198" s="1465">
        <v>2</v>
      </c>
      <c r="H198" s="1466">
        <f>260/(1.18)</f>
        <v>220.33898305084747</v>
      </c>
      <c r="I198" s="1467">
        <f t="shared" si="140"/>
        <v>440.67796610169495</v>
      </c>
      <c r="J198" s="3333">
        <f>SUM(I198:I200)</f>
        <v>2949.1524406779663</v>
      </c>
      <c r="K198" s="3336">
        <f>+J198*0.18</f>
        <v>530.84743932203389</v>
      </c>
      <c r="L198" s="3336"/>
      <c r="M198" s="3339">
        <f>+K198+J198</f>
        <v>3479.9998800000003</v>
      </c>
      <c r="N198" s="1468">
        <f>+L198</f>
        <v>0</v>
      </c>
      <c r="O198" s="1469">
        <f>SUM(P198:P200)</f>
        <v>9500.6945876440677</v>
      </c>
      <c r="P198" s="1470">
        <f>+I198*N200</f>
        <v>1419.6440677966102</v>
      </c>
      <c r="Q198" s="1471">
        <f t="shared" si="141"/>
        <v>709.82203389830511</v>
      </c>
      <c r="R198" s="1471">
        <f t="shared" si="142"/>
        <v>127.76796610169491</v>
      </c>
      <c r="S198" s="1472">
        <f t="shared" si="143"/>
        <v>837.59</v>
      </c>
      <c r="T198" s="652">
        <f>+H198*1.18*N200</f>
        <v>837.58999999999992</v>
      </c>
      <c r="U198" s="693">
        <f>+T198*1.02</f>
        <v>854.34179999999992</v>
      </c>
      <c r="W198" s="1493">
        <f t="shared" si="144"/>
        <v>260</v>
      </c>
    </row>
    <row r="199" spans="2:23" ht="15.75">
      <c r="B199" s="1510" t="s">
        <v>451</v>
      </c>
      <c r="C199" s="1474">
        <v>42277</v>
      </c>
      <c r="D199" s="1463" t="s">
        <v>426</v>
      </c>
      <c r="E199" s="3331"/>
      <c r="F199" s="1475" t="s">
        <v>641</v>
      </c>
      <c r="G199" s="1476">
        <v>8</v>
      </c>
      <c r="H199" s="1477">
        <f>270/(1.18)</f>
        <v>228.81355932203391</v>
      </c>
      <c r="I199" s="1478">
        <f t="shared" si="140"/>
        <v>1830.5084745762713</v>
      </c>
      <c r="J199" s="3334"/>
      <c r="K199" s="3337"/>
      <c r="L199" s="3337"/>
      <c r="M199" s="3340"/>
      <c r="N199" s="1479" t="s">
        <v>452</v>
      </c>
      <c r="O199" s="1480">
        <f>+O198*0.18</f>
        <v>1710.125025775932</v>
      </c>
      <c r="P199" s="1481">
        <f>+I199*N200</f>
        <v>5896.9830508474579</v>
      </c>
      <c r="Q199" s="1471">
        <f t="shared" si="141"/>
        <v>737.12288135593224</v>
      </c>
      <c r="R199" s="1471">
        <f t="shared" si="142"/>
        <v>132.6821186440678</v>
      </c>
      <c r="S199" s="1472">
        <f t="shared" si="143"/>
        <v>869.80500000000006</v>
      </c>
      <c r="U199" s="693">
        <f>320*2.8</f>
        <v>896</v>
      </c>
      <c r="V199" s="693">
        <f>347*2.8</f>
        <v>971.59999999999991</v>
      </c>
      <c r="W199" s="1493">
        <f t="shared" si="144"/>
        <v>270</v>
      </c>
    </row>
    <row r="200" spans="2:23" ht="13.7" customHeight="1" thickBot="1">
      <c r="B200" s="1511" t="s">
        <v>453</v>
      </c>
      <c r="C200" s="1483">
        <v>42277</v>
      </c>
      <c r="D200" s="1484" t="s">
        <v>426</v>
      </c>
      <c r="E200" s="3342"/>
      <c r="F200" s="1485" t="s">
        <v>446</v>
      </c>
      <c r="G200" s="1486">
        <v>10</v>
      </c>
      <c r="H200" s="1487">
        <v>67.796599999999998</v>
      </c>
      <c r="I200" s="1488">
        <f t="shared" si="140"/>
        <v>677.96600000000001</v>
      </c>
      <c r="J200" s="3343"/>
      <c r="K200" s="3344"/>
      <c r="L200" s="3344"/>
      <c r="M200" s="3345"/>
      <c r="N200" s="1489">
        <v>3.2214999999999998</v>
      </c>
      <c r="O200" s="1490">
        <f>+O199+O198+N198</f>
        <v>11210.819613420001</v>
      </c>
      <c r="P200" s="1491">
        <f>+I200*N200</f>
        <v>2184.0674690000001</v>
      </c>
      <c r="Q200" s="1471">
        <f t="shared" si="141"/>
        <v>218.4067469</v>
      </c>
      <c r="R200" s="1471">
        <f t="shared" si="142"/>
        <v>39.313214441999996</v>
      </c>
      <c r="S200" s="1472">
        <f t="shared" si="143"/>
        <v>257.71996134199998</v>
      </c>
      <c r="U200" s="693">
        <v>550</v>
      </c>
      <c r="V200" s="693">
        <v>550</v>
      </c>
      <c r="W200" s="1499">
        <f t="shared" si="144"/>
        <v>79.999987999999988</v>
      </c>
    </row>
    <row r="201" spans="2:23" ht="15.75">
      <c r="B201" s="1461"/>
      <c r="C201" s="1462">
        <v>42305</v>
      </c>
      <c r="D201" s="1463" t="s">
        <v>426</v>
      </c>
      <c r="E201" s="3330" t="s">
        <v>454</v>
      </c>
      <c r="F201" s="1464" t="s">
        <v>640</v>
      </c>
      <c r="G201" s="1465">
        <v>2</v>
      </c>
      <c r="H201" s="1466">
        <v>216.10169999999999</v>
      </c>
      <c r="I201" s="1467">
        <f t="shared" si="140"/>
        <v>432.20339999999999</v>
      </c>
      <c r="J201" s="3333">
        <f>SUM(I201:I204)</f>
        <v>3042.3733999999999</v>
      </c>
      <c r="K201" s="3336">
        <f>+J201*0.18</f>
        <v>547.62721199999999</v>
      </c>
      <c r="L201" s="3336"/>
      <c r="M201" s="3339">
        <f>+K201+J201</f>
        <v>3590.0006119999998</v>
      </c>
      <c r="N201" s="1468">
        <f>+L201</f>
        <v>0</v>
      </c>
      <c r="O201" s="1469">
        <f>SUM(P201:P204)</f>
        <v>8524.7302668000011</v>
      </c>
      <c r="P201" s="1470">
        <f>+I201*N204</f>
        <v>1211.0339268</v>
      </c>
      <c r="Q201" s="1471">
        <f t="shared" si="141"/>
        <v>605.51696340000001</v>
      </c>
      <c r="R201" s="1471">
        <f t="shared" si="142"/>
        <v>108.99305341199999</v>
      </c>
      <c r="S201" s="1472">
        <f t="shared" si="143"/>
        <v>714.510016812</v>
      </c>
      <c r="T201" s="652">
        <f>+H201*1.18*N204</f>
        <v>714.510016812</v>
      </c>
      <c r="U201" s="693">
        <f>+T201*1.02</f>
        <v>728.80021714823999</v>
      </c>
      <c r="W201" s="1493">
        <f t="shared" si="144"/>
        <v>255.00000599999998</v>
      </c>
    </row>
    <row r="202" spans="2:23" ht="15.75">
      <c r="B202" s="1512" t="s">
        <v>455</v>
      </c>
      <c r="C202" s="1474">
        <v>42305</v>
      </c>
      <c r="D202" s="1463" t="s">
        <v>426</v>
      </c>
      <c r="E202" s="3331"/>
      <c r="F202" s="2757" t="s">
        <v>641</v>
      </c>
      <c r="G202" s="2758">
        <v>8</v>
      </c>
      <c r="H202" s="2759">
        <v>224.5763</v>
      </c>
      <c r="I202" s="1478">
        <f t="shared" si="140"/>
        <v>1796.6104</v>
      </c>
      <c r="J202" s="3334"/>
      <c r="K202" s="3337"/>
      <c r="L202" s="3337"/>
      <c r="M202" s="3340"/>
      <c r="N202" s="2760" t="s">
        <v>456</v>
      </c>
      <c r="O202" s="1480">
        <f>+O201*0.18</f>
        <v>1534.4514480240002</v>
      </c>
      <c r="P202" s="1481">
        <f>+I202*N204</f>
        <v>5034.1023408000001</v>
      </c>
      <c r="Q202" s="1471">
        <f t="shared" si="141"/>
        <v>629.26279260000001</v>
      </c>
      <c r="R202" s="1471">
        <f t="shared" si="142"/>
        <v>113.267302668</v>
      </c>
      <c r="S202" s="1472">
        <f t="shared" si="143"/>
        <v>742.53009526799997</v>
      </c>
      <c r="U202" s="693">
        <f>320*2.8</f>
        <v>896</v>
      </c>
      <c r="V202" s="693">
        <f>347*2.8</f>
        <v>971.59999999999991</v>
      </c>
      <c r="W202" s="1493">
        <f t="shared" si="144"/>
        <v>265.00003399999997</v>
      </c>
    </row>
    <row r="203" spans="2:23" ht="13.7" customHeight="1">
      <c r="B203" s="1494"/>
      <c r="C203" s="1474">
        <v>42305</v>
      </c>
      <c r="D203" s="1463" t="s">
        <v>426</v>
      </c>
      <c r="E203" s="3331"/>
      <c r="F203" s="2761" t="s">
        <v>446</v>
      </c>
      <c r="G203" s="2762">
        <v>10</v>
      </c>
      <c r="H203" s="2759">
        <v>67.796599999999998</v>
      </c>
      <c r="I203" s="1478">
        <f t="shared" si="140"/>
        <v>677.96600000000001</v>
      </c>
      <c r="J203" s="3334"/>
      <c r="K203" s="3337"/>
      <c r="L203" s="3337"/>
      <c r="M203" s="3340"/>
      <c r="N203" s="1497"/>
      <c r="O203" s="1498"/>
      <c r="P203" s="1481">
        <f>+I203*N204</f>
        <v>1899.6607320000001</v>
      </c>
      <c r="Q203" s="1471">
        <f t="shared" si="141"/>
        <v>189.96607320000001</v>
      </c>
      <c r="R203" s="1471">
        <f t="shared" si="142"/>
        <v>34.193893176000003</v>
      </c>
      <c r="S203" s="1472">
        <f t="shared" si="143"/>
        <v>224.159966376</v>
      </c>
      <c r="U203" s="693">
        <v>550</v>
      </c>
      <c r="V203" s="693">
        <v>550</v>
      </c>
      <c r="W203" s="1493">
        <f t="shared" si="144"/>
        <v>79.999987999999988</v>
      </c>
    </row>
    <row r="204" spans="2:23" ht="13.7" customHeight="1" thickBot="1">
      <c r="B204" s="1482"/>
      <c r="C204" s="1483">
        <v>42305</v>
      </c>
      <c r="D204" s="1484" t="s">
        <v>426</v>
      </c>
      <c r="E204" s="3342"/>
      <c r="F204" s="1485" t="s">
        <v>457</v>
      </c>
      <c r="G204" s="1486">
        <v>16</v>
      </c>
      <c r="H204" s="1487">
        <v>8.4746000000000006</v>
      </c>
      <c r="I204" s="1488">
        <f t="shared" si="140"/>
        <v>135.59360000000001</v>
      </c>
      <c r="J204" s="3343"/>
      <c r="K204" s="3344"/>
      <c r="L204" s="3344"/>
      <c r="M204" s="3345"/>
      <c r="N204" s="1489">
        <f>(2.801+2.803)/2</f>
        <v>2.802</v>
      </c>
      <c r="O204" s="1490">
        <f>+O202+O201+N201</f>
        <v>10059.181714824001</v>
      </c>
      <c r="P204" s="1491">
        <f>+I204*N204</f>
        <v>379.93326720000005</v>
      </c>
      <c r="Q204" s="1471">
        <f t="shared" si="141"/>
        <v>23.745829200000003</v>
      </c>
      <c r="R204" s="1471">
        <f t="shared" si="142"/>
        <v>4.2742492560000001</v>
      </c>
      <c r="S204" s="1472">
        <f t="shared" si="143"/>
        <v>28.020078456000004</v>
      </c>
      <c r="U204" s="693">
        <v>550</v>
      </c>
      <c r="V204" s="693">
        <v>550</v>
      </c>
      <c r="W204" s="1499">
        <f t="shared" si="144"/>
        <v>10.000028</v>
      </c>
    </row>
    <row r="205" spans="2:23" ht="15.75">
      <c r="B205" s="1461"/>
      <c r="C205" s="1462">
        <v>42336</v>
      </c>
      <c r="D205" s="1500" t="s">
        <v>426</v>
      </c>
      <c r="E205" s="3330" t="s">
        <v>458</v>
      </c>
      <c r="F205" s="1464" t="s">
        <v>640</v>
      </c>
      <c r="G205" s="1465">
        <v>4</v>
      </c>
      <c r="H205" s="1466">
        <v>211.86439999999999</v>
      </c>
      <c r="I205" s="1467">
        <f t="shared" si="140"/>
        <v>847.45759999999996</v>
      </c>
      <c r="J205" s="3333">
        <f>SUM(I205:I207)</f>
        <v>3423.7287999999999</v>
      </c>
      <c r="K205" s="3336">
        <f>+J205*0.18</f>
        <v>616.27118399999995</v>
      </c>
      <c r="L205" s="3336"/>
      <c r="M205" s="3339">
        <f>+K205+J205</f>
        <v>4039.999984</v>
      </c>
      <c r="N205" s="1468">
        <f>+L205</f>
        <v>0</v>
      </c>
      <c r="O205" s="1469">
        <f>SUM(P205:P207)</f>
        <v>11029.5423292</v>
      </c>
      <c r="P205" s="1470">
        <f>+I205*N207</f>
        <v>2730.0846583999996</v>
      </c>
      <c r="Q205" s="1471">
        <f t="shared" si="141"/>
        <v>682.52116459999991</v>
      </c>
      <c r="R205" s="1471">
        <f t="shared" si="142"/>
        <v>122.85380962799998</v>
      </c>
      <c r="S205" s="1472">
        <f t="shared" si="143"/>
        <v>805.37497422799993</v>
      </c>
      <c r="T205" s="652">
        <f>+H205*1.18*N213</f>
        <v>0</v>
      </c>
      <c r="U205" s="693">
        <f>+T205*1.02</f>
        <v>0</v>
      </c>
      <c r="W205" s="1493">
        <f t="shared" si="144"/>
        <v>249.99999199999996</v>
      </c>
    </row>
    <row r="206" spans="2:23" ht="15.75">
      <c r="B206" s="1510" t="s">
        <v>459</v>
      </c>
      <c r="C206" s="1474">
        <v>42336</v>
      </c>
      <c r="D206" s="1463" t="s">
        <v>426</v>
      </c>
      <c r="E206" s="3331"/>
      <c r="F206" s="1475" t="s">
        <v>641</v>
      </c>
      <c r="G206" s="1476">
        <v>8</v>
      </c>
      <c r="H206" s="1477">
        <v>220.339</v>
      </c>
      <c r="I206" s="1478">
        <f t="shared" si="140"/>
        <v>1762.712</v>
      </c>
      <c r="J206" s="3334"/>
      <c r="K206" s="3337"/>
      <c r="L206" s="3337"/>
      <c r="M206" s="3340"/>
      <c r="N206" s="1479" t="s">
        <v>460</v>
      </c>
      <c r="O206" s="1480">
        <f>+O205*0.18</f>
        <v>1985.3176192559999</v>
      </c>
      <c r="P206" s="1481">
        <f>+I206*N207</f>
        <v>5678.5767079999996</v>
      </c>
      <c r="Q206" s="1471">
        <f t="shared" si="141"/>
        <v>709.82208849999995</v>
      </c>
      <c r="R206" s="1471">
        <f t="shared" si="142"/>
        <v>127.76797592999999</v>
      </c>
      <c r="S206" s="1472">
        <f t="shared" si="143"/>
        <v>837.59006442999998</v>
      </c>
      <c r="U206" s="693">
        <f>320*2.8</f>
        <v>896</v>
      </c>
      <c r="V206" s="693">
        <f>347*2.8</f>
        <v>971.59999999999991</v>
      </c>
      <c r="W206" s="1493">
        <f t="shared" si="144"/>
        <v>260.00002000000001</v>
      </c>
    </row>
    <row r="207" spans="2:23" ht="13.7" customHeight="1" thickBot="1">
      <c r="B207" s="1482"/>
      <c r="C207" s="1483">
        <v>42336</v>
      </c>
      <c r="D207" s="1484" t="s">
        <v>426</v>
      </c>
      <c r="E207" s="3342"/>
      <c r="F207" s="996" t="s">
        <v>446</v>
      </c>
      <c r="G207" s="1486">
        <v>12</v>
      </c>
      <c r="H207" s="1487">
        <v>67.796599999999998</v>
      </c>
      <c r="I207" s="1488">
        <f t="shared" si="140"/>
        <v>813.55919999999992</v>
      </c>
      <c r="J207" s="3343"/>
      <c r="K207" s="3344"/>
      <c r="L207" s="3344"/>
      <c r="M207" s="3345"/>
      <c r="N207" s="1489">
        <v>3.2214999999999998</v>
      </c>
      <c r="O207" s="1490">
        <f>+O206+O205+N205</f>
        <v>13014.859948456</v>
      </c>
      <c r="P207" s="1491">
        <f>+I207*N207</f>
        <v>2620.8809627999995</v>
      </c>
      <c r="Q207" s="1471">
        <f t="shared" si="141"/>
        <v>218.40674689999994</v>
      </c>
      <c r="R207" s="1471">
        <f t="shared" si="142"/>
        <v>39.313214441999989</v>
      </c>
      <c r="S207" s="1472">
        <f t="shared" si="143"/>
        <v>257.71996134199992</v>
      </c>
      <c r="U207" s="693">
        <v>550</v>
      </c>
      <c r="V207" s="693">
        <v>550</v>
      </c>
      <c r="W207" s="1493">
        <f t="shared" si="144"/>
        <v>79.999987999999988</v>
      </c>
    </row>
    <row r="208" spans="2:23" ht="15.75">
      <c r="B208" s="1461"/>
      <c r="C208" s="1462">
        <v>42369</v>
      </c>
      <c r="D208" s="1463" t="s">
        <v>426</v>
      </c>
      <c r="E208" s="3330" t="s">
        <v>461</v>
      </c>
      <c r="F208" s="1464" t="s">
        <v>643</v>
      </c>
      <c r="G208" s="1465">
        <v>4</v>
      </c>
      <c r="H208" s="1466">
        <v>228.81360000000001</v>
      </c>
      <c r="I208" s="1467">
        <f t="shared" si="140"/>
        <v>915.25440000000003</v>
      </c>
      <c r="J208" s="3333">
        <f>SUM(I208:I212)</f>
        <v>6025.4256000000005</v>
      </c>
      <c r="K208" s="3336">
        <f>+J208*0.18</f>
        <v>1084.5766080000001</v>
      </c>
      <c r="L208" s="3336"/>
      <c r="M208" s="3339">
        <f>+K208+J208</f>
        <v>7110.0022080000008</v>
      </c>
      <c r="N208" s="1468">
        <f>+L208</f>
        <v>0</v>
      </c>
      <c r="O208" s="1469">
        <f>SUM(P208:P212)</f>
        <v>16883.242531200001</v>
      </c>
      <c r="P208" s="1470">
        <f>+I208*N212</f>
        <v>2564.5428288000003</v>
      </c>
      <c r="Q208" s="1471">
        <f t="shared" si="141"/>
        <v>641.13570720000007</v>
      </c>
      <c r="R208" s="1471">
        <f t="shared" si="142"/>
        <v>115.40442729600001</v>
      </c>
      <c r="S208" s="1472">
        <f t="shared" si="143"/>
        <v>756.54013449600006</v>
      </c>
      <c r="T208" s="652">
        <f>+H208*1.18*N212</f>
        <v>756.54013449599995</v>
      </c>
      <c r="U208" s="693">
        <f>+T208*1.02</f>
        <v>771.67093718591991</v>
      </c>
      <c r="W208" s="1493">
        <f t="shared" si="144"/>
        <v>270.00004799999999</v>
      </c>
    </row>
    <row r="209" spans="2:25" ht="15.75">
      <c r="B209" s="1512"/>
      <c r="C209" s="1474">
        <v>42369</v>
      </c>
      <c r="D209" s="1463" t="s">
        <v>426</v>
      </c>
      <c r="E209" s="3331"/>
      <c r="F209" s="1475" t="s">
        <v>645</v>
      </c>
      <c r="G209" s="1476">
        <v>16</v>
      </c>
      <c r="H209" s="1477">
        <v>216.10169999999999</v>
      </c>
      <c r="I209" s="1478">
        <f t="shared" si="140"/>
        <v>3457.6271999999999</v>
      </c>
      <c r="J209" s="3334"/>
      <c r="K209" s="3337"/>
      <c r="L209" s="3337"/>
      <c r="M209" s="3340"/>
      <c r="N209" s="1479" t="s">
        <v>462</v>
      </c>
      <c r="O209" s="1480">
        <f>+O208*0.18</f>
        <v>3038.9836556160003</v>
      </c>
      <c r="P209" s="1481">
        <f>+I209*N212</f>
        <v>9688.2714144000001</v>
      </c>
      <c r="Q209" s="1471">
        <f t="shared" si="141"/>
        <v>605.51696340000001</v>
      </c>
      <c r="R209" s="1471">
        <f t="shared" si="142"/>
        <v>108.99305341199999</v>
      </c>
      <c r="S209" s="1472">
        <f t="shared" si="143"/>
        <v>714.510016812</v>
      </c>
      <c r="U209" s="693">
        <f>320*2.8</f>
        <v>896</v>
      </c>
      <c r="V209" s="693">
        <f>347*2.8</f>
        <v>971.59999999999991</v>
      </c>
      <c r="W209" s="1493">
        <f t="shared" si="144"/>
        <v>255.00000599999998</v>
      </c>
    </row>
    <row r="210" spans="2:25" ht="13.7" customHeight="1">
      <c r="B210" s="1513" t="s">
        <v>463</v>
      </c>
      <c r="C210" s="1474">
        <v>42369</v>
      </c>
      <c r="D210" s="1463" t="s">
        <v>426</v>
      </c>
      <c r="E210" s="3331"/>
      <c r="F210" s="1495" t="s">
        <v>464</v>
      </c>
      <c r="G210" s="1496">
        <v>20</v>
      </c>
      <c r="H210" s="1477">
        <v>66.949200000000005</v>
      </c>
      <c r="I210" s="1478">
        <f t="shared" si="140"/>
        <v>1338.9840000000002</v>
      </c>
      <c r="J210" s="3334"/>
      <c r="K210" s="3337"/>
      <c r="L210" s="3337"/>
      <c r="M210" s="3340"/>
      <c r="N210" s="1497"/>
      <c r="O210" s="1498"/>
      <c r="P210" s="1481">
        <f>+I210*N212</f>
        <v>3751.8331680000006</v>
      </c>
      <c r="Q210" s="1471">
        <f t="shared" si="141"/>
        <v>187.59165840000003</v>
      </c>
      <c r="R210" s="1471">
        <f t="shared" si="142"/>
        <v>33.766498512000005</v>
      </c>
      <c r="S210" s="1472">
        <f t="shared" si="143"/>
        <v>221.35815691200003</v>
      </c>
      <c r="U210" s="693">
        <v>550</v>
      </c>
      <c r="V210" s="693">
        <v>550</v>
      </c>
      <c r="W210" s="1493">
        <f t="shared" si="144"/>
        <v>79.000056000000001</v>
      </c>
    </row>
    <row r="211" spans="2:25" ht="13.7" customHeight="1">
      <c r="B211" s="1494"/>
      <c r="C211" s="1474">
        <v>42369</v>
      </c>
      <c r="D211" s="1463" t="s">
        <v>426</v>
      </c>
      <c r="E211" s="3331"/>
      <c r="F211" s="1495" t="s">
        <v>465</v>
      </c>
      <c r="G211" s="1496">
        <v>20</v>
      </c>
      <c r="H211" s="1477">
        <v>8.4746000000000006</v>
      </c>
      <c r="I211" s="1478">
        <f t="shared" si="140"/>
        <v>169.49200000000002</v>
      </c>
      <c r="J211" s="3334"/>
      <c r="K211" s="3337"/>
      <c r="L211" s="3337"/>
      <c r="M211" s="3340"/>
      <c r="N211" s="1497"/>
      <c r="O211" s="1498"/>
      <c r="P211" s="1481">
        <f>+I211*N212</f>
        <v>474.91658400000006</v>
      </c>
      <c r="Q211" s="1471">
        <f>+P211/G211</f>
        <v>23.745829200000003</v>
      </c>
      <c r="R211" s="1471">
        <f t="shared" si="142"/>
        <v>4.2742492560000001</v>
      </c>
      <c r="S211" s="1472">
        <f>+R211+Q211</f>
        <v>28.020078456000004</v>
      </c>
      <c r="U211" s="693">
        <v>550</v>
      </c>
      <c r="V211" s="693">
        <v>550</v>
      </c>
      <c r="W211" s="1493">
        <f>+H211*1.18</f>
        <v>10.000028</v>
      </c>
    </row>
    <row r="212" spans="2:25" ht="13.7" customHeight="1" thickBot="1">
      <c r="B212" s="1482"/>
      <c r="C212" s="1483">
        <v>42369</v>
      </c>
      <c r="D212" s="1484" t="s">
        <v>426</v>
      </c>
      <c r="E212" s="3342"/>
      <c r="F212" s="1485" t="s">
        <v>468</v>
      </c>
      <c r="G212" s="1486">
        <v>10</v>
      </c>
      <c r="H212" s="1487">
        <v>14.4068</v>
      </c>
      <c r="I212" s="1488">
        <f t="shared" si="140"/>
        <v>144.06800000000001</v>
      </c>
      <c r="J212" s="3343"/>
      <c r="K212" s="3344"/>
      <c r="L212" s="3344"/>
      <c r="M212" s="3345"/>
      <c r="N212" s="1489">
        <f>(2.801+2.803)/2</f>
        <v>2.802</v>
      </c>
      <c r="O212" s="1490">
        <f>+O209+O208+N208</f>
        <v>19922.226186816002</v>
      </c>
      <c r="P212" s="1491">
        <f>+I212*N212</f>
        <v>403.67853600000007</v>
      </c>
      <c r="Q212" s="1471">
        <f>+P212/G212</f>
        <v>40.367853600000004</v>
      </c>
      <c r="R212" s="1471">
        <f>+Q212*0.18</f>
        <v>7.2662136480000008</v>
      </c>
      <c r="S212" s="1472">
        <f>+R212+Q212</f>
        <v>47.634067248000008</v>
      </c>
      <c r="U212" s="693">
        <v>550</v>
      </c>
      <c r="V212" s="693">
        <v>550</v>
      </c>
      <c r="W212" s="1499">
        <f>+H212*1.18</f>
        <v>17.000024</v>
      </c>
    </row>
    <row r="213" spans="2:25" ht="13.7" customHeight="1">
      <c r="B213" s="736"/>
      <c r="C213" s="1514"/>
      <c r="D213" s="1515"/>
      <c r="E213" s="1516"/>
      <c r="F213" s="1517"/>
      <c r="G213" s="67"/>
      <c r="H213" s="1518" t="s">
        <v>469</v>
      </c>
      <c r="I213" s="1519" t="s">
        <v>470</v>
      </c>
      <c r="J213" s="1520" t="s">
        <v>471</v>
      </c>
      <c r="K213" s="1521"/>
      <c r="L213" s="1522"/>
      <c r="M213" s="1523"/>
      <c r="N213"/>
      <c r="O213" s="1524"/>
      <c r="P213" s="1525"/>
      <c r="Q213" s="1471"/>
      <c r="R213" s="1471"/>
      <c r="S213" s="1526"/>
    </row>
    <row r="214" spans="2:25">
      <c r="F214" s="1527"/>
      <c r="G214" s="1527" t="s">
        <v>472</v>
      </c>
      <c r="H214" s="1443">
        <v>260</v>
      </c>
      <c r="I214" s="1443">
        <v>270</v>
      </c>
      <c r="J214" s="1528">
        <v>80</v>
      </c>
      <c r="K214" s="1528"/>
      <c r="L214" s="1528"/>
      <c r="M214" s="1528"/>
      <c r="N214"/>
      <c r="O214"/>
      <c r="P214"/>
      <c r="Q214"/>
      <c r="R214"/>
      <c r="S214"/>
    </row>
    <row r="215" spans="2:25">
      <c r="F215" s="1527"/>
      <c r="G215" s="1527" t="s">
        <v>473</v>
      </c>
      <c r="H215" s="1443">
        <v>255</v>
      </c>
      <c r="I215" s="1443">
        <v>265</v>
      </c>
      <c r="J215" s="1528">
        <v>80</v>
      </c>
      <c r="K215" s="1528"/>
      <c r="L215" s="1528"/>
      <c r="M215" s="1528" t="s">
        <v>474</v>
      </c>
      <c r="N215"/>
      <c r="O215"/>
      <c r="P215"/>
      <c r="Q215"/>
      <c r="R215"/>
      <c r="S215"/>
    </row>
    <row r="216" spans="2:25">
      <c r="F216" s="1527"/>
      <c r="G216" s="1527" t="s">
        <v>475</v>
      </c>
      <c r="H216" s="1443">
        <v>250</v>
      </c>
      <c r="I216" s="1443">
        <v>260</v>
      </c>
      <c r="J216" s="1528">
        <v>80</v>
      </c>
      <c r="K216" s="1528"/>
      <c r="L216" s="1528">
        <v>55</v>
      </c>
      <c r="M216" s="1528">
        <f>+L216/1.18</f>
        <v>46.610169491525426</v>
      </c>
      <c r="N216"/>
      <c r="O216"/>
      <c r="P216"/>
      <c r="Q216"/>
      <c r="R216"/>
      <c r="S216"/>
    </row>
    <row r="217" spans="2:25" ht="18.75" thickBot="1">
      <c r="C217" s="1444" t="s">
        <v>476</v>
      </c>
      <c r="D217" s="1445"/>
      <c r="E217" s="1445"/>
      <c r="F217" s="1445"/>
      <c r="G217" s="1445"/>
      <c r="H217" s="1445"/>
      <c r="I217" s="1445"/>
      <c r="P217"/>
      <c r="Q217"/>
      <c r="R217"/>
    </row>
    <row r="218" spans="2:25" s="463" customFormat="1" ht="34.5" thickBot="1">
      <c r="C218" s="1449" t="s">
        <v>121</v>
      </c>
      <c r="D218" s="1450" t="s">
        <v>83</v>
      </c>
      <c r="E218" s="1451" t="s">
        <v>414</v>
      </c>
      <c r="F218" s="1451" t="s">
        <v>415</v>
      </c>
      <c r="G218" s="1452" t="s">
        <v>82</v>
      </c>
      <c r="H218" s="1453" t="s">
        <v>416</v>
      </c>
      <c r="I218" s="3391" t="s">
        <v>417</v>
      </c>
      <c r="J218" s="3392"/>
      <c r="K218" s="1454" t="s">
        <v>418</v>
      </c>
      <c r="L218" s="1455" t="s">
        <v>419</v>
      </c>
      <c r="M218" s="1456" t="s">
        <v>420</v>
      </c>
      <c r="N218" s="1457"/>
      <c r="O218" s="1458"/>
      <c r="P218" s="1459"/>
      <c r="Q218" s="804" t="s">
        <v>423</v>
      </c>
      <c r="R218" s="809" t="s">
        <v>424</v>
      </c>
      <c r="S218" s="1460" t="s">
        <v>425</v>
      </c>
      <c r="T218" s="460"/>
      <c r="U218" s="928"/>
      <c r="V218" s="928"/>
      <c r="W218" s="928"/>
    </row>
    <row r="219" spans="2:25" ht="15.75">
      <c r="B219" s="3406" t="s">
        <v>477</v>
      </c>
      <c r="C219" s="1462">
        <v>41755</v>
      </c>
      <c r="D219" s="1463" t="s">
        <v>426</v>
      </c>
      <c r="E219" s="3330" t="s">
        <v>478</v>
      </c>
      <c r="F219" s="1464" t="s">
        <v>638</v>
      </c>
      <c r="G219" s="1465">
        <v>8</v>
      </c>
      <c r="H219" s="1529">
        <v>272.79660000000001</v>
      </c>
      <c r="I219" s="1467">
        <f t="shared" ref="I219:I226" si="145">+H219*G219</f>
        <v>2182.3728000000001</v>
      </c>
      <c r="J219" s="3333">
        <f>SUM(I219:I221)</f>
        <v>2628.9495999999999</v>
      </c>
      <c r="K219" s="3336">
        <f>+J219*0.18</f>
        <v>473.21092799999997</v>
      </c>
      <c r="L219" s="3384">
        <f>(+J219+K219)*2%</f>
        <v>62.043210559999999</v>
      </c>
      <c r="M219" s="3339">
        <f>+K219+J219+L219</f>
        <v>3164.2037385599997</v>
      </c>
      <c r="N219" s="1468">
        <f>+L219</f>
        <v>62.043210559999999</v>
      </c>
      <c r="O219" s="1469">
        <f>SUM(P219:P221)</f>
        <v>7366.3167792000004</v>
      </c>
      <c r="P219" s="1470">
        <f>+I219*N221</f>
        <v>6115.0085856000005</v>
      </c>
      <c r="Q219" s="1471">
        <f>+P219/G219</f>
        <v>764.37607320000006</v>
      </c>
      <c r="R219" s="1471">
        <f>+Q219*0.18</f>
        <v>137.58769317600002</v>
      </c>
      <c r="S219" s="1472">
        <f>+R219+Q219</f>
        <v>901.96376637600008</v>
      </c>
      <c r="T219" s="652">
        <f>+H219*1.18*N221</f>
        <v>901.96376637600008</v>
      </c>
      <c r="U219" s="693">
        <f>+T219*1.02</f>
        <v>920.00304170352013</v>
      </c>
    </row>
    <row r="220" spans="2:25" ht="15">
      <c r="B220" s="3407"/>
      <c r="C220" s="1474">
        <v>41755</v>
      </c>
      <c r="D220" s="1463" t="s">
        <v>426</v>
      </c>
      <c r="E220" s="3331"/>
      <c r="F220" s="1515" t="s">
        <v>442</v>
      </c>
      <c r="G220" s="1530">
        <v>16</v>
      </c>
      <c r="H220" s="1477">
        <v>21.610199999999999</v>
      </c>
      <c r="I220" s="1478">
        <f t="shared" si="145"/>
        <v>345.76319999999998</v>
      </c>
      <c r="J220" s="3334"/>
      <c r="K220" s="3337"/>
      <c r="L220" s="3385"/>
      <c r="M220" s="3340"/>
      <c r="N220" s="1479" t="s">
        <v>479</v>
      </c>
      <c r="O220" s="1480">
        <f>+O219*0.18</f>
        <v>1325.9370202560001</v>
      </c>
      <c r="P220" s="1481">
        <f>+I220*N221</f>
        <v>968.82848639999997</v>
      </c>
      <c r="Q220" s="1471">
        <f>+P220/G220</f>
        <v>60.551780399999998</v>
      </c>
      <c r="R220" s="1471">
        <f>+Q220*0.18</f>
        <v>10.899320471999999</v>
      </c>
      <c r="S220" s="1472">
        <f>+R220+Q220</f>
        <v>71.451100871999998</v>
      </c>
      <c r="U220" s="693">
        <f>320*2.8</f>
        <v>896</v>
      </c>
      <c r="V220" s="693">
        <f>347*2.8</f>
        <v>971.59999999999991</v>
      </c>
    </row>
    <row r="221" spans="2:25" ht="13.5" thickBot="1">
      <c r="B221" s="3407"/>
      <c r="C221" s="1483">
        <v>41755</v>
      </c>
      <c r="D221" s="1484" t="s">
        <v>426</v>
      </c>
      <c r="E221" s="3342"/>
      <c r="F221" s="1485" t="s">
        <v>480</v>
      </c>
      <c r="G221" s="1531">
        <v>8</v>
      </c>
      <c r="H221" s="1487">
        <v>12.601699999999999</v>
      </c>
      <c r="I221" s="1488">
        <f t="shared" si="145"/>
        <v>100.81359999999999</v>
      </c>
      <c r="J221" s="3343"/>
      <c r="K221" s="3344"/>
      <c r="L221" s="3386"/>
      <c r="M221" s="3345"/>
      <c r="N221" s="1489">
        <f>(2.801+2.803)/2</f>
        <v>2.802</v>
      </c>
      <c r="O221" s="1490">
        <f>+O220+O219+N219</f>
        <v>8754.2970100160001</v>
      </c>
      <c r="P221" s="1491">
        <f>+I221*N221</f>
        <v>282.47970720000001</v>
      </c>
      <c r="Q221" s="1471">
        <f>+P221/G221</f>
        <v>35.309963400000001</v>
      </c>
      <c r="R221" s="1471">
        <f>+Q221*0.18</f>
        <v>6.3557934119999997</v>
      </c>
      <c r="S221" s="1472">
        <f>+R221+Q221</f>
        <v>41.665756811999998</v>
      </c>
      <c r="U221" s="693">
        <v>550</v>
      </c>
      <c r="V221" s="693">
        <v>550</v>
      </c>
    </row>
    <row r="222" spans="2:25" ht="15.75">
      <c r="B222" s="3407"/>
      <c r="C222" s="1462">
        <v>41755</v>
      </c>
      <c r="D222" s="1463" t="s">
        <v>481</v>
      </c>
      <c r="E222" s="3330" t="s">
        <v>482</v>
      </c>
      <c r="F222" s="1532" t="s">
        <v>646</v>
      </c>
      <c r="G222" s="1465">
        <v>10</v>
      </c>
      <c r="H222" s="1529">
        <f>(180/1.18)/N224</f>
        <v>54.440532791347586</v>
      </c>
      <c r="I222" s="1467">
        <f t="shared" si="145"/>
        <v>544.40532791347584</v>
      </c>
      <c r="J222" s="3333">
        <f>SUM(I222:I224)</f>
        <v>544.40532791347584</v>
      </c>
      <c r="K222" s="3336">
        <f>+J222*0.18</f>
        <v>97.992959024425645</v>
      </c>
      <c r="L222" s="3384">
        <f>(+J222+K222)*2%</f>
        <v>12.847965738758031</v>
      </c>
      <c r="M222" s="3339">
        <f>+K222+J222+L222</f>
        <v>655.24625267665954</v>
      </c>
      <c r="N222" s="1468"/>
      <c r="O222" s="1469">
        <f>SUM(P222:P224)</f>
        <v>1525.4237288135594</v>
      </c>
      <c r="P222" s="1470">
        <f>+I222*N224</f>
        <v>1525.4237288135594</v>
      </c>
      <c r="Q222" s="1471">
        <f>+S222/1.18</f>
        <v>0</v>
      </c>
      <c r="R222" s="1471">
        <f>+S222-Q222</f>
        <v>0</v>
      </c>
      <c r="S222" s="1526"/>
      <c r="T222" s="652" t="s">
        <v>483</v>
      </c>
      <c r="U222" s="693">
        <f>+U220-U221</f>
        <v>346</v>
      </c>
      <c r="V222" s="693">
        <f>+V220-V221</f>
        <v>421.59999999999991</v>
      </c>
      <c r="W222" s="693">
        <v>32</v>
      </c>
      <c r="X222" s="1533">
        <f>SUM(U222:W222)</f>
        <v>799.59999999999991</v>
      </c>
      <c r="Y222" t="s">
        <v>484</v>
      </c>
    </row>
    <row r="223" spans="2:25" ht="15">
      <c r="B223" s="3407"/>
      <c r="C223" s="1474"/>
      <c r="D223" s="1463"/>
      <c r="E223" s="3331"/>
      <c r="F223" s="1515"/>
      <c r="G223" s="1530"/>
      <c r="H223" s="1477">
        <f>+Q223/N224</f>
        <v>0</v>
      </c>
      <c r="I223" s="1478">
        <f t="shared" si="145"/>
        <v>0</v>
      </c>
      <c r="J223" s="3334"/>
      <c r="K223" s="3337"/>
      <c r="L223" s="3385"/>
      <c r="M223" s="3340"/>
      <c r="N223" s="1479" t="s">
        <v>485</v>
      </c>
      <c r="O223" s="1480">
        <f>+O222*0.18</f>
        <v>274.57627118644069</v>
      </c>
      <c r="P223" s="1481">
        <f>+I223*N224</f>
        <v>0</v>
      </c>
      <c r="Q223" s="1471">
        <f>+S223/1.18</f>
        <v>0</v>
      </c>
      <c r="R223" s="1471">
        <f>+S223-Q223</f>
        <v>0</v>
      </c>
      <c r="S223" s="1526"/>
    </row>
    <row r="224" spans="2:25" ht="13.7" customHeight="1" thickBot="1">
      <c r="B224" s="3408"/>
      <c r="C224" s="1483"/>
      <c r="D224" s="1484"/>
      <c r="E224" s="3342"/>
      <c r="F224" s="1485"/>
      <c r="G224" s="1531"/>
      <c r="H224" s="1487">
        <f>+Q224/N224</f>
        <v>0</v>
      </c>
      <c r="I224" s="1488">
        <f t="shared" si="145"/>
        <v>0</v>
      </c>
      <c r="J224" s="3343"/>
      <c r="K224" s="3344"/>
      <c r="L224" s="3386"/>
      <c r="M224" s="3345"/>
      <c r="N224" s="1489">
        <f>(2.801+2.803)/2</f>
        <v>2.802</v>
      </c>
      <c r="O224" s="1490">
        <f>+O223+O222</f>
        <v>1800</v>
      </c>
      <c r="P224" s="1491">
        <f>+I224*N224</f>
        <v>0</v>
      </c>
      <c r="Q224" s="1471">
        <f>+S224/1.18</f>
        <v>0</v>
      </c>
      <c r="R224" s="1471">
        <f>+S224-Q224</f>
        <v>0</v>
      </c>
      <c r="S224" s="1526"/>
    </row>
    <row r="225" spans="2:25" ht="15.75">
      <c r="B225" s="3406" t="s">
        <v>444</v>
      </c>
      <c r="C225" s="1462">
        <v>41845</v>
      </c>
      <c r="D225" s="1463" t="s">
        <v>426</v>
      </c>
      <c r="E225" s="3330" t="s">
        <v>486</v>
      </c>
      <c r="F225" s="1464" t="s">
        <v>638</v>
      </c>
      <c r="G225" s="1465">
        <v>4</v>
      </c>
      <c r="H225" s="1466">
        <v>272.79660000000001</v>
      </c>
      <c r="I225" s="1467">
        <f t="shared" si="145"/>
        <v>1091.1864</v>
      </c>
      <c r="J225" s="3333">
        <f>SUM(I225:I227)</f>
        <v>3273.5592000000001</v>
      </c>
      <c r="K225" s="3336">
        <f>+J225*0.18</f>
        <v>589.24065600000006</v>
      </c>
      <c r="L225" s="1534"/>
      <c r="M225" s="3339">
        <f>+K225+J225</f>
        <v>3862.7998560000001</v>
      </c>
      <c r="N225" s="1468">
        <f>+L225</f>
        <v>0</v>
      </c>
      <c r="O225" s="1469">
        <f>SUM(P225:P227)</f>
        <v>9172.5128784000008</v>
      </c>
      <c r="P225" s="1470">
        <f>+I225*N227</f>
        <v>3057.5042928000003</v>
      </c>
      <c r="Q225" s="1471">
        <f>+P225/G225</f>
        <v>764.37607320000006</v>
      </c>
      <c r="R225" s="1471">
        <f>+Q225*0.18</f>
        <v>137.58769317600002</v>
      </c>
      <c r="S225" s="1472">
        <f>+R225+Q225</f>
        <v>901.96376637600008</v>
      </c>
      <c r="T225" s="652">
        <f>+H225*1.18*N227</f>
        <v>901.96376637600008</v>
      </c>
      <c r="U225" s="693">
        <f>+T225*1.02</f>
        <v>920.00304170352013</v>
      </c>
    </row>
    <row r="226" spans="2:25" ht="15.75">
      <c r="B226" s="3407"/>
      <c r="C226" s="1474">
        <v>41845</v>
      </c>
      <c r="D226" s="1463" t="s">
        <v>426</v>
      </c>
      <c r="E226" s="3331"/>
      <c r="F226" s="1475" t="s">
        <v>639</v>
      </c>
      <c r="G226" s="1476">
        <v>8</v>
      </c>
      <c r="H226" s="1477">
        <v>272.79660000000001</v>
      </c>
      <c r="I226" s="1478">
        <f t="shared" si="145"/>
        <v>2182.3728000000001</v>
      </c>
      <c r="J226" s="3334"/>
      <c r="K226" s="3337"/>
      <c r="L226" s="1535"/>
      <c r="M226" s="3340"/>
      <c r="N226" s="1479" t="s">
        <v>487</v>
      </c>
      <c r="O226" s="1480">
        <f>+O225*0.18</f>
        <v>1651.052318112</v>
      </c>
      <c r="P226" s="1481">
        <f>+I226*N227</f>
        <v>6115.0085856000005</v>
      </c>
      <c r="Q226" s="1471">
        <f>+P226/G226</f>
        <v>764.37607320000006</v>
      </c>
      <c r="R226" s="1471">
        <f>+Q226*0.18</f>
        <v>137.58769317600002</v>
      </c>
      <c r="S226" s="1472">
        <f>+R226+Q226</f>
        <v>901.96376637600008</v>
      </c>
      <c r="U226" s="693">
        <f>320*2.8</f>
        <v>896</v>
      </c>
      <c r="V226" s="693">
        <f>347*2.8</f>
        <v>971.59999999999991</v>
      </c>
    </row>
    <row r="227" spans="2:25" ht="13.7" customHeight="1" thickBot="1">
      <c r="B227" s="3407"/>
      <c r="C227" s="1483"/>
      <c r="D227" s="1484"/>
      <c r="E227" s="3342"/>
      <c r="F227" s="1485"/>
      <c r="G227" s="1536">
        <v>4.4999999999999997E-57</v>
      </c>
      <c r="H227" s="1487"/>
      <c r="I227" s="1488"/>
      <c r="J227" s="3343"/>
      <c r="K227" s="3344"/>
      <c r="L227" s="1537"/>
      <c r="M227" s="3345"/>
      <c r="N227" s="1489">
        <f>(2.801+2.803)/2</f>
        <v>2.802</v>
      </c>
      <c r="O227" s="1490">
        <f>+O226+O225+N225</f>
        <v>10823.565196512001</v>
      </c>
      <c r="P227" s="1491">
        <f>+I227*N227</f>
        <v>0</v>
      </c>
      <c r="Q227" s="1471">
        <f>+P227/G227</f>
        <v>0</v>
      </c>
      <c r="R227" s="1471">
        <f>+Q227*0.18</f>
        <v>0</v>
      </c>
      <c r="S227" s="1472">
        <f>+R227+Q227</f>
        <v>0</v>
      </c>
      <c r="U227" s="693">
        <v>550</v>
      </c>
      <c r="V227" s="693">
        <v>550</v>
      </c>
    </row>
    <row r="228" spans="2:25" ht="15.75">
      <c r="B228" s="3407"/>
      <c r="C228" s="1462">
        <v>41845</v>
      </c>
      <c r="D228" s="1463" t="s">
        <v>481</v>
      </c>
      <c r="E228" s="3330" t="s">
        <v>488</v>
      </c>
      <c r="F228" s="1532" t="s">
        <v>646</v>
      </c>
      <c r="G228" s="1465">
        <v>12</v>
      </c>
      <c r="H228" s="1529">
        <f>(185/1.18)/N230</f>
        <v>55.952769813329461</v>
      </c>
      <c r="I228" s="1467">
        <f t="shared" ref="I228:I245" si="146">+H228*G228</f>
        <v>671.4332377599535</v>
      </c>
      <c r="J228" s="3333">
        <f>SUM(I228:I230)</f>
        <v>671.4332377599535</v>
      </c>
      <c r="K228" s="3336">
        <f>+J228*0.18</f>
        <v>120.85798279679163</v>
      </c>
      <c r="L228" s="3384">
        <f>(+J228+K228)*2%</f>
        <v>15.845824411134902</v>
      </c>
      <c r="M228" s="3339">
        <f>+K228+J228+L228</f>
        <v>808.13704496788</v>
      </c>
      <c r="N228" s="1468"/>
      <c r="O228" s="1469">
        <f>SUM(P228:P230)</f>
        <v>1881.3559322033898</v>
      </c>
      <c r="P228" s="1470">
        <f>+I228*N230</f>
        <v>1881.3559322033898</v>
      </c>
      <c r="Q228" s="1471">
        <f>+S228/1.18</f>
        <v>0</v>
      </c>
      <c r="R228" s="1471">
        <f>+S228-Q228</f>
        <v>0</v>
      </c>
      <c r="S228" s="1526"/>
      <c r="T228" s="652" t="s">
        <v>483</v>
      </c>
      <c r="U228" s="693">
        <f>+U226-U227</f>
        <v>346</v>
      </c>
      <c r="V228" s="693">
        <f>+V226-V227</f>
        <v>421.59999999999991</v>
      </c>
      <c r="W228" s="693">
        <v>32</v>
      </c>
      <c r="X228" s="1533">
        <f>SUM(U228:W228)</f>
        <v>799.59999999999991</v>
      </c>
      <c r="Y228" t="s">
        <v>484</v>
      </c>
    </row>
    <row r="229" spans="2:25" ht="15">
      <c r="B229" s="3407"/>
      <c r="C229" s="1474"/>
      <c r="D229" s="1463"/>
      <c r="E229" s="3331"/>
      <c r="F229" s="1515"/>
      <c r="G229" s="1530"/>
      <c r="H229" s="1477">
        <f>+Q229/N230</f>
        <v>0</v>
      </c>
      <c r="I229" s="1478">
        <f t="shared" si="146"/>
        <v>0</v>
      </c>
      <c r="J229" s="3334"/>
      <c r="K229" s="3337"/>
      <c r="L229" s="3385"/>
      <c r="M229" s="3340"/>
      <c r="N229" s="1479" t="s">
        <v>489</v>
      </c>
      <c r="O229" s="1480">
        <f>+O228*0.18</f>
        <v>338.64406779661016</v>
      </c>
      <c r="P229" s="1481">
        <f>+I229*N230</f>
        <v>0</v>
      </c>
      <c r="Q229" s="1471">
        <f>+S229/1.18</f>
        <v>0</v>
      </c>
      <c r="R229" s="1471">
        <f>+S229-Q229</f>
        <v>0</v>
      </c>
      <c r="S229" s="1526"/>
    </row>
    <row r="230" spans="2:25" ht="13.7" customHeight="1" thickBot="1">
      <c r="B230" s="3408"/>
      <c r="C230" s="1483"/>
      <c r="D230" s="1484"/>
      <c r="E230" s="3342"/>
      <c r="F230" s="1485"/>
      <c r="G230" s="1531"/>
      <c r="H230" s="1487">
        <f>+Q230/N230</f>
        <v>0</v>
      </c>
      <c r="I230" s="1488">
        <f t="shared" si="146"/>
        <v>0</v>
      </c>
      <c r="J230" s="3343"/>
      <c r="K230" s="3344"/>
      <c r="L230" s="3386"/>
      <c r="M230" s="3345"/>
      <c r="N230" s="1489">
        <f>(2.801+2.803)/2</f>
        <v>2.802</v>
      </c>
      <c r="O230" s="1490">
        <f>+O229+O228</f>
        <v>2220</v>
      </c>
      <c r="P230" s="1491">
        <f>+I230*N230</f>
        <v>0</v>
      </c>
      <c r="Q230" s="1471">
        <f>+S230/1.18</f>
        <v>0</v>
      </c>
      <c r="R230" s="1471">
        <f>+S230-Q230</f>
        <v>0</v>
      </c>
      <c r="S230" s="1526"/>
    </row>
    <row r="231" spans="2:25" ht="15.75">
      <c r="B231" s="3454" t="s">
        <v>459</v>
      </c>
      <c r="C231" s="1462">
        <v>41950</v>
      </c>
      <c r="D231" s="1463" t="s">
        <v>426</v>
      </c>
      <c r="E231" s="3330"/>
      <c r="F231" s="1464" t="s">
        <v>638</v>
      </c>
      <c r="G231" s="1465">
        <v>6</v>
      </c>
      <c r="H231" s="1466">
        <v>265.4237</v>
      </c>
      <c r="I231" s="1467">
        <f t="shared" si="146"/>
        <v>1592.5421999999999</v>
      </c>
      <c r="J231" s="3333">
        <f>SUM(I231:I233)</f>
        <v>2168.8137999999999</v>
      </c>
      <c r="K231" s="3336">
        <f>+J231*0.18</f>
        <v>390.386484</v>
      </c>
      <c r="L231" s="1534"/>
      <c r="M231" s="3339">
        <f>+K231+J231</f>
        <v>2559.200284</v>
      </c>
      <c r="N231" s="1468">
        <f>+L231</f>
        <v>0</v>
      </c>
      <c r="O231" s="1469">
        <f>SUM(P231:P233)</f>
        <v>6365.4685030000001</v>
      </c>
      <c r="P231" s="1470">
        <f>+I231*N233</f>
        <v>4674.1113569999998</v>
      </c>
      <c r="Q231" s="1471">
        <f>+P231/G231</f>
        <v>779.01855949999992</v>
      </c>
      <c r="R231" s="1471">
        <f>+Q231*0.18</f>
        <v>140.22334070999997</v>
      </c>
      <c r="S231" s="1472">
        <f>+R231+Q231</f>
        <v>919.24190020999993</v>
      </c>
      <c r="T231" s="652">
        <f>+H231*1.18*N233</f>
        <v>919.24190020999993</v>
      </c>
      <c r="U231" s="693">
        <f>+T231*1.02</f>
        <v>937.62673821419992</v>
      </c>
    </row>
    <row r="232" spans="2:25" ht="15.75">
      <c r="B232" s="3455"/>
      <c r="C232" s="1474">
        <v>41950</v>
      </c>
      <c r="D232" s="1463" t="s">
        <v>426</v>
      </c>
      <c r="E232" s="3331"/>
      <c r="F232" s="1538" t="s">
        <v>647</v>
      </c>
      <c r="G232" s="1476">
        <v>6</v>
      </c>
      <c r="H232" s="1477">
        <v>67.796599999999998</v>
      </c>
      <c r="I232" s="1478">
        <f t="shared" si="146"/>
        <v>406.77959999999996</v>
      </c>
      <c r="J232" s="3334"/>
      <c r="K232" s="3337"/>
      <c r="L232" s="1535"/>
      <c r="M232" s="3340"/>
      <c r="N232" s="1479" t="s">
        <v>490</v>
      </c>
      <c r="O232" s="1480">
        <f>+O231*0.18</f>
        <v>1145.7843305399999</v>
      </c>
      <c r="P232" s="1481">
        <f>+I232*N233</f>
        <v>1193.8981259999998</v>
      </c>
      <c r="Q232" s="1471">
        <f>+P232/G232</f>
        <v>198.98302099999998</v>
      </c>
      <c r="R232" s="1471">
        <f>+Q232*0.18</f>
        <v>35.816943779999995</v>
      </c>
      <c r="S232" s="1472">
        <f>+R232+Q232</f>
        <v>234.79996477999998</v>
      </c>
      <c r="U232" s="693">
        <f>320*2.8</f>
        <v>896</v>
      </c>
      <c r="V232" s="693">
        <f>347*2.8</f>
        <v>971.59999999999991</v>
      </c>
    </row>
    <row r="233" spans="2:25" ht="13.7" customHeight="1" thickBot="1">
      <c r="B233" s="3455"/>
      <c r="C233" s="1483">
        <v>41950</v>
      </c>
      <c r="D233" s="1484" t="s">
        <v>426</v>
      </c>
      <c r="E233" s="3342"/>
      <c r="F233" s="1485" t="s">
        <v>648</v>
      </c>
      <c r="G233" s="1476">
        <v>20</v>
      </c>
      <c r="H233" s="1477">
        <v>8.4746000000000006</v>
      </c>
      <c r="I233" s="1478">
        <f t="shared" si="146"/>
        <v>169.49200000000002</v>
      </c>
      <c r="J233" s="3343"/>
      <c r="K233" s="3344"/>
      <c r="L233" s="1537"/>
      <c r="M233" s="3345"/>
      <c r="N233" s="1489">
        <f>(2.935+2.935)/2</f>
        <v>2.9350000000000001</v>
      </c>
      <c r="O233" s="1490">
        <f>+O232+O231+N231</f>
        <v>7511.2528335400002</v>
      </c>
      <c r="P233" s="1491">
        <f>+I233*N233</f>
        <v>497.45902000000007</v>
      </c>
      <c r="Q233" s="1471">
        <f>+P233/G233</f>
        <v>24.872951000000004</v>
      </c>
      <c r="R233" s="1471">
        <f>+Q233*0.18</f>
        <v>4.4771311800000007</v>
      </c>
      <c r="S233" s="1472">
        <f>+R233+Q233</f>
        <v>29.350082180000005</v>
      </c>
      <c r="U233" s="693">
        <v>550</v>
      </c>
      <c r="V233" s="693">
        <v>550</v>
      </c>
    </row>
    <row r="234" spans="2:25" ht="15.75">
      <c r="B234" s="3455"/>
      <c r="C234" s="1462">
        <v>42326</v>
      </c>
      <c r="D234" s="1463" t="s">
        <v>426</v>
      </c>
      <c r="E234" s="3330" t="s">
        <v>491</v>
      </c>
      <c r="F234" s="1464" t="s">
        <v>649</v>
      </c>
      <c r="G234" s="1465">
        <v>2</v>
      </c>
      <c r="H234" s="1529">
        <v>73.728800000000007</v>
      </c>
      <c r="I234" s="1467">
        <f t="shared" si="146"/>
        <v>147.45760000000001</v>
      </c>
      <c r="J234" s="3333">
        <f>SUM(I234:I236)</f>
        <v>147.45760000000001</v>
      </c>
      <c r="K234" s="3336">
        <f>+J234*0.18</f>
        <v>26.542368</v>
      </c>
      <c r="L234" s="3384"/>
      <c r="M234" s="3339">
        <f>+K234+J234+L234</f>
        <v>173.99996800000002</v>
      </c>
      <c r="N234" s="1468"/>
      <c r="O234" s="1469">
        <f>SUM(P234:P236)</f>
        <v>432.78805600000004</v>
      </c>
      <c r="P234" s="1470">
        <f>+I234*N236</f>
        <v>432.78805600000004</v>
      </c>
      <c r="Q234" s="1471">
        <f>+S234/1.18</f>
        <v>0</v>
      </c>
      <c r="R234" s="1471">
        <f>+S234-Q234</f>
        <v>0</v>
      </c>
      <c r="S234" s="1526"/>
      <c r="T234" s="652" t="s">
        <v>483</v>
      </c>
      <c r="U234" s="693">
        <f>+U232-U233</f>
        <v>346</v>
      </c>
      <c r="V234" s="693">
        <f>+V232-V233</f>
        <v>421.59999999999991</v>
      </c>
      <c r="W234" s="693">
        <v>32</v>
      </c>
      <c r="X234" s="1533">
        <f>SUM(U234:W234)</f>
        <v>799.59999999999991</v>
      </c>
      <c r="Y234" t="s">
        <v>484</v>
      </c>
    </row>
    <row r="235" spans="2:25" ht="15">
      <c r="B235" s="3455"/>
      <c r="C235" s="1474"/>
      <c r="D235" s="1463"/>
      <c r="E235" s="3331"/>
      <c r="F235" s="1515"/>
      <c r="G235" s="1530"/>
      <c r="H235" s="1477">
        <f>+Q235/N236</f>
        <v>0</v>
      </c>
      <c r="I235" s="1478">
        <f t="shared" si="146"/>
        <v>0</v>
      </c>
      <c r="J235" s="3334"/>
      <c r="K235" s="3337"/>
      <c r="L235" s="3385"/>
      <c r="M235" s="3340"/>
      <c r="N235" s="1479" t="s">
        <v>492</v>
      </c>
      <c r="O235" s="1480">
        <f>+O234*0.18</f>
        <v>77.901850080000003</v>
      </c>
      <c r="P235" s="1481">
        <f>+I235*N236</f>
        <v>0</v>
      </c>
      <c r="Q235" s="1471">
        <f>+S235/1.18</f>
        <v>0</v>
      </c>
      <c r="R235" s="1471">
        <f>+S235-Q235</f>
        <v>0</v>
      </c>
      <c r="S235" s="1526"/>
    </row>
    <row r="236" spans="2:25" ht="13.7" customHeight="1" thickBot="1">
      <c r="B236" s="3456"/>
      <c r="C236" s="1483"/>
      <c r="D236" s="1484"/>
      <c r="E236" s="3342"/>
      <c r="F236" s="1485"/>
      <c r="G236" s="1531"/>
      <c r="H236" s="1487">
        <f>+Q236/N236</f>
        <v>0</v>
      </c>
      <c r="I236" s="1488">
        <f t="shared" si="146"/>
        <v>0</v>
      </c>
      <c r="J236" s="3343"/>
      <c r="K236" s="3344"/>
      <c r="L236" s="3386"/>
      <c r="M236" s="3345"/>
      <c r="N236" s="1489">
        <f>(2.935+2.935)/2</f>
        <v>2.9350000000000001</v>
      </c>
      <c r="O236" s="1490">
        <f>+O235+O234</f>
        <v>510.68990608000001</v>
      </c>
      <c r="P236" s="1491">
        <f>+I236*N236</f>
        <v>0</v>
      </c>
      <c r="Q236" s="1471">
        <f>+S236/1.18</f>
        <v>0</v>
      </c>
      <c r="R236" s="1471">
        <f>+S236-Q236</f>
        <v>0</v>
      </c>
      <c r="S236" s="1526"/>
    </row>
    <row r="237" spans="2:25" ht="15.75" customHeight="1">
      <c r="B237" s="3451" t="s">
        <v>493</v>
      </c>
      <c r="C237" s="1462">
        <v>41990</v>
      </c>
      <c r="D237" s="1539" t="s">
        <v>426</v>
      </c>
      <c r="E237" s="3368" t="s">
        <v>494</v>
      </c>
      <c r="F237" s="1464" t="s">
        <v>638</v>
      </c>
      <c r="G237" s="1465">
        <v>2</v>
      </c>
      <c r="H237" s="1466">
        <v>265.4237</v>
      </c>
      <c r="I237" s="1467">
        <f t="shared" si="146"/>
        <v>530.84739999999999</v>
      </c>
      <c r="J237" s="3333">
        <f>SUM(I237:I241)</f>
        <v>3670.8477796610173</v>
      </c>
      <c r="K237" s="3336">
        <f>+J237*0.18</f>
        <v>660.75260033898314</v>
      </c>
      <c r="L237" s="1534"/>
      <c r="M237" s="3339">
        <f>+K237+J237</f>
        <v>4331.6003800000008</v>
      </c>
      <c r="N237" s="1468">
        <f>+L237</f>
        <v>0</v>
      </c>
      <c r="O237" s="1469">
        <f>SUM(P237:P241)</f>
        <v>10285.715478610169</v>
      </c>
      <c r="P237" s="1470">
        <f>+I237*N241</f>
        <v>1487.4344148</v>
      </c>
      <c r="Q237" s="1471">
        <f>+P237/G237</f>
        <v>743.71720740000001</v>
      </c>
      <c r="R237" s="1471">
        <f>+Q237*0.18</f>
        <v>133.869097332</v>
      </c>
      <c r="S237" s="1472">
        <f>+R237+Q237</f>
        <v>877.58630473200003</v>
      </c>
      <c r="T237" s="652">
        <f>+H237*1.18*N241</f>
        <v>877.58630473199992</v>
      </c>
      <c r="U237" s="693">
        <f>+T237*1.02</f>
        <v>895.13803082663992</v>
      </c>
    </row>
    <row r="238" spans="2:25" ht="15.75">
      <c r="B238" s="3452"/>
      <c r="C238" s="1474">
        <v>41990</v>
      </c>
      <c r="D238" s="1495" t="s">
        <v>426</v>
      </c>
      <c r="E238" s="3369"/>
      <c r="F238" s="1475" t="s">
        <v>639</v>
      </c>
      <c r="G238" s="1476">
        <v>8</v>
      </c>
      <c r="H238" s="1477">
        <v>266.94920000000002</v>
      </c>
      <c r="I238" s="1478">
        <f t="shared" si="146"/>
        <v>2135.5936000000002</v>
      </c>
      <c r="J238" s="3334"/>
      <c r="K238" s="3337"/>
      <c r="L238" s="1535"/>
      <c r="M238" s="3340"/>
      <c r="N238" s="1479" t="s">
        <v>495</v>
      </c>
      <c r="O238" s="1480">
        <f>+O237*0.18</f>
        <v>1851.4287861498303</v>
      </c>
      <c r="P238" s="1481">
        <f>+I238*N241</f>
        <v>5983.933267200001</v>
      </c>
      <c r="Q238" s="1471">
        <f>+P238/G238</f>
        <v>747.99165840000012</v>
      </c>
      <c r="R238" s="1471">
        <f>+Q238*0.18</f>
        <v>134.63849851200001</v>
      </c>
      <c r="S238" s="1472">
        <f>+R238+Q238</f>
        <v>882.63015691200007</v>
      </c>
      <c r="U238" s="693">
        <f>320*2.8</f>
        <v>896</v>
      </c>
      <c r="V238" s="693">
        <f>347*2.8</f>
        <v>971.59999999999991</v>
      </c>
    </row>
    <row r="239" spans="2:25" ht="15">
      <c r="B239" s="3452"/>
      <c r="C239" s="1474">
        <v>41990</v>
      </c>
      <c r="D239" s="1495" t="s">
        <v>426</v>
      </c>
      <c r="E239" s="3369"/>
      <c r="F239" s="773" t="s">
        <v>442</v>
      </c>
      <c r="G239" s="1530">
        <v>24</v>
      </c>
      <c r="H239" s="1477">
        <f>10/(1.18)</f>
        <v>8.4745762711864412</v>
      </c>
      <c r="I239" s="1478">
        <f t="shared" si="146"/>
        <v>203.38983050847457</v>
      </c>
      <c r="J239" s="3334"/>
      <c r="K239" s="3337"/>
      <c r="L239" s="1535"/>
      <c r="M239" s="3340"/>
      <c r="N239" s="1479"/>
      <c r="O239" s="1480"/>
      <c r="P239" s="1481">
        <f>+I239*N241</f>
        <v>569.89830508474574</v>
      </c>
      <c r="Q239" s="1471"/>
      <c r="R239" s="1471"/>
      <c r="S239" s="1472"/>
    </row>
    <row r="240" spans="2:25" ht="13.7" customHeight="1">
      <c r="B240" s="3452"/>
      <c r="C240" s="1503">
        <v>42003</v>
      </c>
      <c r="D240" s="1540" t="s">
        <v>426</v>
      </c>
      <c r="E240" s="3370"/>
      <c r="F240" s="1541" t="s">
        <v>480</v>
      </c>
      <c r="G240" s="1542">
        <v>10</v>
      </c>
      <c r="H240" s="1507">
        <f>14.52/(1.18)</f>
        <v>12.305084745762713</v>
      </c>
      <c r="I240" s="1508">
        <f t="shared" si="146"/>
        <v>123.05084745762713</v>
      </c>
      <c r="J240" s="3334"/>
      <c r="K240" s="3337"/>
      <c r="L240" s="1535"/>
      <c r="M240" s="3340"/>
      <c r="N240" s="1479"/>
      <c r="O240" s="1498"/>
      <c r="P240" s="1481">
        <f>+I240*N241</f>
        <v>344.7884745762712</v>
      </c>
      <c r="Q240" s="1471">
        <f>+P240/G240</f>
        <v>34.478847457627118</v>
      </c>
      <c r="R240" s="1471">
        <f>+Q240*0.18</f>
        <v>6.2061925423728814</v>
      </c>
      <c r="S240" s="1472">
        <f>+R240+Q240</f>
        <v>40.685040000000001</v>
      </c>
      <c r="U240" s="693">
        <v>550</v>
      </c>
      <c r="V240" s="693">
        <v>550</v>
      </c>
    </row>
    <row r="241" spans="2:25" ht="13.7" customHeight="1" thickBot="1">
      <c r="B241" s="3452"/>
      <c r="C241" s="1483">
        <v>41990</v>
      </c>
      <c r="D241" s="1543" t="s">
        <v>426</v>
      </c>
      <c r="E241" s="1509" t="s">
        <v>496</v>
      </c>
      <c r="F241" s="1485" t="s">
        <v>436</v>
      </c>
      <c r="G241" s="1544">
        <v>10</v>
      </c>
      <c r="H241" s="1487">
        <f>80/(1.18)</f>
        <v>67.79661016949153</v>
      </c>
      <c r="I241" s="1488">
        <f t="shared" si="146"/>
        <v>677.96610169491532</v>
      </c>
      <c r="J241" s="3343"/>
      <c r="K241" s="3344"/>
      <c r="L241" s="1537"/>
      <c r="M241" s="3345"/>
      <c r="N241" s="1489">
        <f>(2.801+2.803)/2</f>
        <v>2.802</v>
      </c>
      <c r="O241" s="1490">
        <f>+O238+O237+N237</f>
        <v>12137.14426476</v>
      </c>
      <c r="P241" s="1491">
        <f>+I241*N241</f>
        <v>1899.6610169491528</v>
      </c>
      <c r="Q241" s="1471">
        <f>+P241/G241</f>
        <v>189.96610169491527</v>
      </c>
      <c r="R241" s="1471">
        <f>+Q241*0.18</f>
        <v>34.193898305084744</v>
      </c>
      <c r="S241" s="1472">
        <f>+R241+Q241</f>
        <v>224.16000000000003</v>
      </c>
      <c r="U241" s="693">
        <v>550</v>
      </c>
      <c r="V241" s="693">
        <v>550</v>
      </c>
    </row>
    <row r="242" spans="2:25" ht="15.75" customHeight="1">
      <c r="B242" s="3452"/>
      <c r="C242" s="1462">
        <v>42369</v>
      </c>
      <c r="D242" s="1539" t="s">
        <v>426</v>
      </c>
      <c r="E242" s="3368" t="s">
        <v>497</v>
      </c>
      <c r="F242" s="1464" t="s">
        <v>638</v>
      </c>
      <c r="G242" s="1465">
        <v>2</v>
      </c>
      <c r="H242" s="1466">
        <f>313.2/(1.18)</f>
        <v>265.42372881355931</v>
      </c>
      <c r="I242" s="1467">
        <f t="shared" si="146"/>
        <v>530.84745762711862</v>
      </c>
      <c r="J242" s="3333">
        <f>SUM(I242:I245)</f>
        <v>3480</v>
      </c>
      <c r="K242" s="3336">
        <f>+J242*0.18</f>
        <v>626.4</v>
      </c>
      <c r="L242" s="1534"/>
      <c r="M242" s="3339">
        <f>+K242+J242</f>
        <v>4106.3999999999996</v>
      </c>
      <c r="N242" s="1468">
        <f>+L242</f>
        <v>0</v>
      </c>
      <c r="O242" s="1469">
        <f>SUM(P242:P245)</f>
        <v>9750.9600000000009</v>
      </c>
      <c r="P242" s="1470">
        <f>+I242*N245</f>
        <v>1487.4345762711864</v>
      </c>
      <c r="Q242" s="1471">
        <f>+P242/G242</f>
        <v>743.71728813559321</v>
      </c>
      <c r="R242" s="1471">
        <f>+Q242*0.18</f>
        <v>133.86911186440676</v>
      </c>
      <c r="S242" s="1472">
        <f>+R242+Q242</f>
        <v>877.58639999999991</v>
      </c>
      <c r="T242" s="652">
        <f>+H242*1.18*N245</f>
        <v>877.58640000000003</v>
      </c>
      <c r="U242" s="693">
        <f>+T242*1.02</f>
        <v>895.13812800000005</v>
      </c>
    </row>
    <row r="243" spans="2:25" ht="15.75">
      <c r="B243" s="3452"/>
      <c r="C243" s="1474">
        <v>42369</v>
      </c>
      <c r="D243" s="1495" t="s">
        <v>426</v>
      </c>
      <c r="E243" s="3369"/>
      <c r="F243" s="1475" t="s">
        <v>639</v>
      </c>
      <c r="G243" s="1476">
        <v>8</v>
      </c>
      <c r="H243" s="1477">
        <f>315/(1.18)</f>
        <v>266.94915254237287</v>
      </c>
      <c r="I243" s="1478">
        <f t="shared" si="146"/>
        <v>2135.593220338983</v>
      </c>
      <c r="J243" s="3334"/>
      <c r="K243" s="3337"/>
      <c r="L243" s="1535"/>
      <c r="M243" s="3340"/>
      <c r="N243" s="1479" t="s">
        <v>429</v>
      </c>
      <c r="O243" s="1480">
        <f>+O242*0.18</f>
        <v>1755.1728000000001</v>
      </c>
      <c r="P243" s="1481">
        <f>+I243*N245</f>
        <v>5983.9322033898306</v>
      </c>
      <c r="Q243" s="1471">
        <f>+P243/G243</f>
        <v>747.99152542372883</v>
      </c>
      <c r="R243" s="1471">
        <f>+Q243*0.18</f>
        <v>134.63847457627119</v>
      </c>
      <c r="S243" s="1472">
        <f>+R243+Q243</f>
        <v>882.63</v>
      </c>
      <c r="U243" s="693">
        <f>320*2.8</f>
        <v>896</v>
      </c>
      <c r="V243" s="693">
        <f>347*2.8</f>
        <v>971.59999999999991</v>
      </c>
    </row>
    <row r="244" spans="2:25" ht="15">
      <c r="B244" s="3452"/>
      <c r="C244" s="1503">
        <v>42369</v>
      </c>
      <c r="D244" s="1540" t="s">
        <v>426</v>
      </c>
      <c r="E244" s="3370"/>
      <c r="F244" s="1545" t="s">
        <v>442</v>
      </c>
      <c r="G244" s="1546">
        <v>16</v>
      </c>
      <c r="H244" s="1507">
        <f>10/(1.18)</f>
        <v>8.4745762711864412</v>
      </c>
      <c r="I244" s="1508">
        <f t="shared" si="146"/>
        <v>135.59322033898306</v>
      </c>
      <c r="J244" s="3334"/>
      <c r="K244" s="3337"/>
      <c r="L244" s="1535"/>
      <c r="M244" s="3340"/>
      <c r="N244" s="1479"/>
      <c r="O244" s="1480"/>
      <c r="P244" s="1481">
        <f>+I244*N245</f>
        <v>379.93220338983053</v>
      </c>
      <c r="Q244" s="1471"/>
      <c r="R244" s="1471"/>
      <c r="S244" s="1472"/>
    </row>
    <row r="245" spans="2:25" ht="13.7" customHeight="1" thickBot="1">
      <c r="B245" s="3453"/>
      <c r="C245" s="1483">
        <v>42369</v>
      </c>
      <c r="D245" s="1543" t="s">
        <v>426</v>
      </c>
      <c r="E245" s="1509" t="s">
        <v>498</v>
      </c>
      <c r="F245" s="1485" t="s">
        <v>436</v>
      </c>
      <c r="G245" s="1544">
        <v>10</v>
      </c>
      <c r="H245" s="1487">
        <f>80/(1.18)</f>
        <v>67.79661016949153</v>
      </c>
      <c r="I245" s="1488">
        <f t="shared" si="146"/>
        <v>677.96610169491532</v>
      </c>
      <c r="J245" s="3343"/>
      <c r="K245" s="3344"/>
      <c r="L245" s="1537"/>
      <c r="M245" s="3345"/>
      <c r="N245" s="1489">
        <f>(2.801+2.803)/2</f>
        <v>2.802</v>
      </c>
      <c r="O245" s="1490">
        <f>+O243+O242+N242</f>
        <v>11506.132800000001</v>
      </c>
      <c r="P245" s="1491">
        <f>+I245*N245</f>
        <v>1899.6610169491528</v>
      </c>
      <c r="Q245" s="1471">
        <f>+P245/G245</f>
        <v>189.96610169491527</v>
      </c>
      <c r="R245" s="1471">
        <f>+Q245*0.18</f>
        <v>34.193898305084744</v>
      </c>
      <c r="S245" s="1472">
        <f>+R245+Q245</f>
        <v>224.16000000000003</v>
      </c>
      <c r="U245" s="693">
        <v>550</v>
      </c>
      <c r="V245" s="693">
        <v>550</v>
      </c>
    </row>
    <row r="246" spans="2:25" ht="13.7" customHeight="1">
      <c r="B246" s="736"/>
      <c r="C246" s="1514"/>
      <c r="D246" s="1515"/>
      <c r="E246" s="1516"/>
      <c r="F246" s="1515"/>
      <c r="G246" s="67"/>
      <c r="H246" s="1518"/>
      <c r="I246" s="1519"/>
      <c r="J246" s="1520"/>
      <c r="K246" s="1521"/>
      <c r="L246" s="1522"/>
      <c r="M246" s="1523"/>
      <c r="O246" s="1524"/>
      <c r="P246" s="1525"/>
      <c r="Q246" s="1471"/>
      <c r="R246" s="1471"/>
      <c r="S246" s="1526"/>
    </row>
    <row r="248" spans="2:25" ht="18.75" thickBot="1">
      <c r="C248" s="1444" t="s">
        <v>503</v>
      </c>
      <c r="D248" s="1445"/>
      <c r="E248" s="1445"/>
      <c r="F248" s="1445"/>
      <c r="G248" s="1445"/>
      <c r="H248" s="1445"/>
      <c r="I248" s="1445"/>
    </row>
    <row r="249" spans="2:25" s="463" customFormat="1" ht="20.100000000000001" customHeight="1" thickBot="1">
      <c r="C249" s="1449" t="s">
        <v>121</v>
      </c>
      <c r="D249" s="1450" t="s">
        <v>83</v>
      </c>
      <c r="E249" s="1451" t="s">
        <v>414</v>
      </c>
      <c r="F249" s="1451" t="s">
        <v>415</v>
      </c>
      <c r="G249" s="1452" t="s">
        <v>82</v>
      </c>
      <c r="H249" s="1453" t="s">
        <v>416</v>
      </c>
      <c r="I249" s="3391" t="s">
        <v>417</v>
      </c>
      <c r="J249" s="3392"/>
      <c r="K249" s="1454" t="s">
        <v>418</v>
      </c>
      <c r="L249" s="1179"/>
      <c r="M249" s="1456" t="s">
        <v>420</v>
      </c>
      <c r="N249" s="1457"/>
      <c r="O249" s="1458"/>
      <c r="P249" s="1459"/>
      <c r="Q249" s="804" t="s">
        <v>423</v>
      </c>
      <c r="R249" s="809" t="s">
        <v>424</v>
      </c>
      <c r="S249" s="1460" t="s">
        <v>425</v>
      </c>
      <c r="T249" s="460"/>
      <c r="U249" s="928"/>
      <c r="V249" s="928"/>
      <c r="W249" s="928"/>
    </row>
    <row r="250" spans="2:25" ht="15.75">
      <c r="B250" s="3406" t="s">
        <v>504</v>
      </c>
      <c r="C250" s="1462">
        <v>41303</v>
      </c>
      <c r="D250" s="1463" t="s">
        <v>426</v>
      </c>
      <c r="E250" s="3330" t="s">
        <v>505</v>
      </c>
      <c r="F250" s="1548" t="s">
        <v>650</v>
      </c>
      <c r="G250" s="1465">
        <v>2</v>
      </c>
      <c r="H250" s="1529">
        <v>309.66090000000003</v>
      </c>
      <c r="I250" s="1467">
        <f t="shared" ref="I250:I265" si="147">+H250*G250</f>
        <v>619.32180000000005</v>
      </c>
      <c r="J250" s="3333">
        <f>SUM(I250:I252)</f>
        <v>3832.2020000000002</v>
      </c>
      <c r="K250" s="3336">
        <f>+J250*0.18</f>
        <v>689.79636000000005</v>
      </c>
      <c r="L250" s="1534"/>
      <c r="M250" s="3339">
        <f>+K250+J250</f>
        <v>4521.9983600000005</v>
      </c>
      <c r="N250" s="1468" t="s">
        <v>506</v>
      </c>
      <c r="O250" s="1469">
        <f>SUM(P250:P252)</f>
        <v>9808.5210189999998</v>
      </c>
      <c r="P250" s="1470">
        <f>+I250*N252</f>
        <v>1585.1541471</v>
      </c>
      <c r="Q250" s="1471">
        <f>+P250/G250</f>
        <v>792.57707355000002</v>
      </c>
      <c r="R250" s="1471">
        <f>+Q250*0.18</f>
        <v>142.663873239</v>
      </c>
      <c r="S250" s="1472">
        <f>+R250+Q250</f>
        <v>935.24094678899996</v>
      </c>
      <c r="U250" s="693">
        <v>309</v>
      </c>
      <c r="V250" s="693">
        <f>+U250*0.18</f>
        <v>55.62</v>
      </c>
      <c r="W250" s="693">
        <f>+V250+U250</f>
        <v>364.62</v>
      </c>
      <c r="X250">
        <f>+W250*0.02</f>
        <v>7.2924000000000007</v>
      </c>
      <c r="Y250">
        <f>+X250+W250</f>
        <v>371.91239999999999</v>
      </c>
    </row>
    <row r="251" spans="2:25" ht="15.75">
      <c r="B251" s="3407"/>
      <c r="C251" s="1474">
        <v>41303</v>
      </c>
      <c r="D251" s="1463" t="s">
        <v>426</v>
      </c>
      <c r="E251" s="3331"/>
      <c r="F251" s="1538" t="s">
        <v>651</v>
      </c>
      <c r="G251" s="1476">
        <v>8</v>
      </c>
      <c r="H251" s="1477">
        <v>309.66090000000003</v>
      </c>
      <c r="I251" s="1478">
        <f t="shared" si="147"/>
        <v>2477.2872000000002</v>
      </c>
      <c r="J251" s="3334"/>
      <c r="K251" s="3337"/>
      <c r="L251" s="1535"/>
      <c r="M251" s="3340"/>
      <c r="N251" s="1549"/>
      <c r="O251" s="1480">
        <f>+O250*0.18</f>
        <v>1765.53378342</v>
      </c>
      <c r="P251" s="1481">
        <f>+I251*N252</f>
        <v>6340.6165884000002</v>
      </c>
      <c r="Q251" s="1471">
        <f>+P251/G251</f>
        <v>792.57707355000002</v>
      </c>
      <c r="R251" s="1471">
        <f>+Q251*0.18</f>
        <v>142.663873239</v>
      </c>
      <c r="S251" s="1472">
        <f>+R251+Q251</f>
        <v>935.24094678899996</v>
      </c>
    </row>
    <row r="252" spans="2:25" ht="13.5" thickBot="1">
      <c r="B252" s="3407"/>
      <c r="C252" s="1483">
        <v>41303</v>
      </c>
      <c r="D252" s="1484" t="s">
        <v>426</v>
      </c>
      <c r="E252" s="3342"/>
      <c r="F252" s="1485" t="s">
        <v>436</v>
      </c>
      <c r="G252" s="1531">
        <v>10</v>
      </c>
      <c r="H252" s="1487">
        <v>73.559299999999993</v>
      </c>
      <c r="I252" s="1488">
        <f t="shared" si="147"/>
        <v>735.59299999999996</v>
      </c>
      <c r="J252" s="3343"/>
      <c r="K252" s="3344"/>
      <c r="L252" s="1537"/>
      <c r="M252" s="3345"/>
      <c r="N252" s="1489">
        <f>(2.559+2.56)/2</f>
        <v>2.5594999999999999</v>
      </c>
      <c r="O252" s="1490">
        <f>+O251+O250</f>
        <v>11574.05480242</v>
      </c>
      <c r="P252" s="1491">
        <f>+I252*N252</f>
        <v>1882.7502834999998</v>
      </c>
      <c r="Q252" s="1471">
        <f>+P252/G252</f>
        <v>188.27502834999999</v>
      </c>
      <c r="R252" s="1471">
        <f>+Q252*0.18</f>
        <v>33.889505102999998</v>
      </c>
      <c r="S252" s="1472">
        <f>+R252+Q252</f>
        <v>222.16453345299999</v>
      </c>
      <c r="U252" s="693">
        <f>62.7119*1.18</f>
        <v>74.000041999999993</v>
      </c>
      <c r="V252" s="693">
        <f>+U252*N252</f>
        <v>189.40310749899999</v>
      </c>
      <c r="W252" s="693">
        <v>180</v>
      </c>
      <c r="X252">
        <v>185</v>
      </c>
    </row>
    <row r="253" spans="2:25" ht="15.75">
      <c r="B253" s="3407"/>
      <c r="C253" s="1462">
        <v>41295</v>
      </c>
      <c r="D253" s="1463" t="s">
        <v>507</v>
      </c>
      <c r="E253" s="3330" t="s">
        <v>508</v>
      </c>
      <c r="F253" s="1464" t="s">
        <v>652</v>
      </c>
      <c r="G253" s="1465">
        <v>8</v>
      </c>
      <c r="H253" s="1529">
        <f>+Q253/N255</f>
        <v>324.48074802745509</v>
      </c>
      <c r="I253" s="1467">
        <f t="shared" si="147"/>
        <v>2595.8459842196407</v>
      </c>
      <c r="J253" s="3333">
        <f>SUM(I253:I255)</f>
        <v>3236.9550461722865</v>
      </c>
      <c r="K253" s="3336">
        <f>+J253*0.18</f>
        <v>582.65190831101154</v>
      </c>
      <c r="L253" s="1534"/>
      <c r="M253" s="3339">
        <f>+K253+J253</f>
        <v>3819.6069544832981</v>
      </c>
      <c r="N253" s="1468" t="s">
        <v>509</v>
      </c>
      <c r="O253" s="1469">
        <f>SUM(P253:P255)</f>
        <v>8284.986440677967</v>
      </c>
      <c r="P253" s="1470">
        <f>+I253*N255</f>
        <v>6644.0677966101703</v>
      </c>
      <c r="Q253" s="1471">
        <f>+S253/1.18</f>
        <v>830.50847457627128</v>
      </c>
      <c r="R253" s="1471">
        <f>+S253-Q253</f>
        <v>149.49152542372872</v>
      </c>
      <c r="S253" s="1526">
        <v>980</v>
      </c>
      <c r="T253" s="652" t="s">
        <v>483</v>
      </c>
      <c r="U253" s="693">
        <v>982</v>
      </c>
      <c r="V253" s="693">
        <v>53</v>
      </c>
      <c r="W253" s="693">
        <v>32</v>
      </c>
      <c r="X253" s="1533">
        <f>SUM(U253:W253)</f>
        <v>1067</v>
      </c>
      <c r="Y253" t="s">
        <v>484</v>
      </c>
    </row>
    <row r="254" spans="2:25" ht="15">
      <c r="B254" s="3407"/>
      <c r="C254" s="1474">
        <v>41295</v>
      </c>
      <c r="D254" s="1463" t="s">
        <v>507</v>
      </c>
      <c r="E254" s="3331"/>
      <c r="F254" s="1515" t="s">
        <v>510</v>
      </c>
      <c r="G254" s="1530">
        <v>24</v>
      </c>
      <c r="H254" s="1477">
        <f>+Q254/N255</f>
        <v>20.61181176143381</v>
      </c>
      <c r="I254" s="1478">
        <f t="shared" si="147"/>
        <v>494.6834822744114</v>
      </c>
      <c r="J254" s="3334"/>
      <c r="K254" s="3337"/>
      <c r="L254" s="1535"/>
      <c r="M254" s="3340"/>
      <c r="N254" s="1549"/>
      <c r="O254" s="1480">
        <f>+O253*0.18</f>
        <v>1491.297559322034</v>
      </c>
      <c r="P254" s="1481">
        <f>+I254*N255</f>
        <v>1266.1423728813559</v>
      </c>
      <c r="Q254" s="1471">
        <f>+S254/1.18</f>
        <v>52.755932203389833</v>
      </c>
      <c r="R254" s="1471">
        <f>+S254-Q254</f>
        <v>9.4960677966101699</v>
      </c>
      <c r="S254" s="1526">
        <f>62.5-0.248</f>
        <v>62.252000000000002</v>
      </c>
    </row>
    <row r="255" spans="2:25" ht="13.5" thickBot="1">
      <c r="B255" s="3408"/>
      <c r="C255" s="1483">
        <v>41295</v>
      </c>
      <c r="D255" s="1484" t="s">
        <v>507</v>
      </c>
      <c r="E255" s="3342"/>
      <c r="F255" s="1485" t="s">
        <v>511</v>
      </c>
      <c r="G255" s="1531">
        <v>12</v>
      </c>
      <c r="H255" s="1487">
        <f>+Q255/N255</f>
        <v>12.20213163985286</v>
      </c>
      <c r="I255" s="1488">
        <f t="shared" si="147"/>
        <v>146.42557967823433</v>
      </c>
      <c r="J255" s="3343"/>
      <c r="K255" s="3344"/>
      <c r="L255" s="1537"/>
      <c r="M255" s="3345"/>
      <c r="N255" s="1489">
        <f>(2.559+2.56)/2</f>
        <v>2.5594999999999999</v>
      </c>
      <c r="O255" s="1490">
        <f>+O254+O253</f>
        <v>9776.2840000000015</v>
      </c>
      <c r="P255" s="1491">
        <f>+I255*N255</f>
        <v>374.77627118644074</v>
      </c>
      <c r="Q255" s="1471">
        <f>+S255/1.18</f>
        <v>31.231355932203392</v>
      </c>
      <c r="R255" s="1471">
        <f>+S255-Q255</f>
        <v>5.6216440677966091</v>
      </c>
      <c r="S255" s="1526">
        <f>37-0.147</f>
        <v>36.853000000000002</v>
      </c>
    </row>
    <row r="256" spans="2:25" ht="15.75">
      <c r="B256" s="3400" t="s">
        <v>438</v>
      </c>
      <c r="C256" s="1462">
        <v>41375</v>
      </c>
      <c r="D256" s="1500" t="s">
        <v>426</v>
      </c>
      <c r="E256" s="3330" t="s">
        <v>512</v>
      </c>
      <c r="F256" s="1548" t="s">
        <v>650</v>
      </c>
      <c r="G256" s="1465">
        <v>4</v>
      </c>
      <c r="H256" s="1529">
        <v>309.66090000000003</v>
      </c>
      <c r="I256" s="1467">
        <f t="shared" si="147"/>
        <v>1238.6436000000001</v>
      </c>
      <c r="J256" s="3333">
        <f>SUM(I256:I260)</f>
        <v>5208.1303999999991</v>
      </c>
      <c r="K256" s="3336">
        <f>+J256*0.18</f>
        <v>937.4634719999998</v>
      </c>
      <c r="L256" s="1534"/>
      <c r="M256" s="3339">
        <f>+K256+J256</f>
        <v>6145.5938719999986</v>
      </c>
      <c r="N256" s="1468" t="s">
        <v>513</v>
      </c>
      <c r="O256" s="1469">
        <f>SUM(P256:P260)</f>
        <v>13515.098388</v>
      </c>
      <c r="P256" s="1470">
        <f>+I256*$N$260</f>
        <v>3214.2801420000001</v>
      </c>
      <c r="Q256" s="1471">
        <f t="shared" ref="Q256:Q265" si="148">+P256/G256</f>
        <v>803.57003550000002</v>
      </c>
      <c r="R256" s="1471">
        <f t="shared" ref="R256:R265" si="149">+Q256*0.18</f>
        <v>144.64260639</v>
      </c>
      <c r="S256" s="1472">
        <f t="shared" ref="S256:S265" si="150">+R256+Q256</f>
        <v>948.21264188999999</v>
      </c>
    </row>
    <row r="257" spans="2:23" ht="15.75">
      <c r="B257" s="3401"/>
      <c r="C257" s="1474">
        <v>41375</v>
      </c>
      <c r="D257" s="1463" t="s">
        <v>426</v>
      </c>
      <c r="E257" s="3331"/>
      <c r="F257" s="1538" t="s">
        <v>651</v>
      </c>
      <c r="G257" s="1476">
        <v>8</v>
      </c>
      <c r="H257" s="1477">
        <v>309.66090000000003</v>
      </c>
      <c r="I257" s="1478">
        <f t="shared" si="147"/>
        <v>2477.2872000000002</v>
      </c>
      <c r="J257" s="3334"/>
      <c r="K257" s="3337"/>
      <c r="L257" s="1535"/>
      <c r="M257" s="3340"/>
      <c r="N257" s="1549"/>
      <c r="O257" s="1480">
        <f>+O256*0.18</f>
        <v>2432.7177098399998</v>
      </c>
      <c r="P257" s="1481">
        <f>+I257*$N$260</f>
        <v>6428.5602840000001</v>
      </c>
      <c r="Q257" s="1471">
        <f t="shared" si="148"/>
        <v>803.57003550000002</v>
      </c>
      <c r="R257" s="1471">
        <f t="shared" si="149"/>
        <v>144.64260639</v>
      </c>
      <c r="S257" s="1472">
        <f t="shared" si="150"/>
        <v>948.21264188999999</v>
      </c>
    </row>
    <row r="258" spans="2:23">
      <c r="B258" s="3401"/>
      <c r="C258" s="1474">
        <v>41375</v>
      </c>
      <c r="D258" s="1463" t="s">
        <v>426</v>
      </c>
      <c r="E258" s="3331"/>
      <c r="F258" s="1515" t="s">
        <v>436</v>
      </c>
      <c r="G258" s="1550">
        <v>10</v>
      </c>
      <c r="H258" s="1477">
        <v>73.559299999999993</v>
      </c>
      <c r="I258" s="1478">
        <f t="shared" si="147"/>
        <v>735.59299999999996</v>
      </c>
      <c r="J258" s="3334"/>
      <c r="K258" s="3337"/>
      <c r="L258" s="1535"/>
      <c r="M258" s="3340"/>
      <c r="N258" s="1549"/>
      <c r="O258" s="1498">
        <f>+O257+O256</f>
        <v>15947.816097840001</v>
      </c>
      <c r="P258" s="1481">
        <f>+I258*$N$260</f>
        <v>1908.8638349999997</v>
      </c>
      <c r="Q258" s="1471">
        <f t="shared" si="148"/>
        <v>190.88638349999997</v>
      </c>
      <c r="R258" s="1471">
        <f t="shared" si="149"/>
        <v>34.35954902999999</v>
      </c>
      <c r="S258" s="1472">
        <f t="shared" si="150"/>
        <v>225.24593252999995</v>
      </c>
    </row>
    <row r="259" spans="2:23" ht="15">
      <c r="B259" s="3401"/>
      <c r="C259" s="1474">
        <v>41375</v>
      </c>
      <c r="D259" s="1463" t="s">
        <v>426</v>
      </c>
      <c r="E259" s="3331"/>
      <c r="F259" s="1515" t="s">
        <v>514</v>
      </c>
      <c r="G259" s="1530">
        <v>26</v>
      </c>
      <c r="H259" s="1477">
        <v>20.338899999999999</v>
      </c>
      <c r="I259" s="1478">
        <f t="shared" si="147"/>
        <v>528.81139999999994</v>
      </c>
      <c r="J259" s="3334"/>
      <c r="K259" s="3337"/>
      <c r="L259" s="1535"/>
      <c r="M259" s="3340"/>
      <c r="N259" s="1549"/>
      <c r="O259" s="1480"/>
      <c r="P259" s="1481">
        <f>+I259*$N$260</f>
        <v>1372.2655829999997</v>
      </c>
      <c r="Q259" s="1471">
        <f t="shared" si="148"/>
        <v>52.779445499999987</v>
      </c>
      <c r="R259" s="1471">
        <f t="shared" si="149"/>
        <v>9.5003001899999973</v>
      </c>
      <c r="S259" s="1472">
        <f t="shared" si="150"/>
        <v>62.279745689999984</v>
      </c>
    </row>
    <row r="260" spans="2:23" ht="13.7" customHeight="1" thickBot="1">
      <c r="B260" s="3402"/>
      <c r="C260" s="1483">
        <v>41375</v>
      </c>
      <c r="D260" s="1484" t="s">
        <v>426</v>
      </c>
      <c r="E260" s="3342"/>
      <c r="F260" s="1485" t="s">
        <v>515</v>
      </c>
      <c r="G260" s="1531">
        <v>16</v>
      </c>
      <c r="H260" s="1487">
        <v>14.2372</v>
      </c>
      <c r="I260" s="1488">
        <f t="shared" si="147"/>
        <v>227.79519999999999</v>
      </c>
      <c r="J260" s="3343"/>
      <c r="K260" s="3344"/>
      <c r="L260" s="1537"/>
      <c r="M260" s="3345"/>
      <c r="N260" s="1489">
        <f>(2.59+2.6)/2</f>
        <v>2.5949999999999998</v>
      </c>
      <c r="O260" s="1490"/>
      <c r="P260" s="1491">
        <f>+I260*$N$260</f>
        <v>591.12854399999992</v>
      </c>
      <c r="Q260" s="1471">
        <f t="shared" si="148"/>
        <v>36.945533999999995</v>
      </c>
      <c r="R260" s="1471">
        <f t="shared" si="149"/>
        <v>6.6501961199999986</v>
      </c>
      <c r="S260" s="1472">
        <f t="shared" si="150"/>
        <v>43.595730119999992</v>
      </c>
    </row>
    <row r="261" spans="2:23" ht="15.95" customHeight="1">
      <c r="B261" s="3403" t="s">
        <v>516</v>
      </c>
      <c r="C261" s="1462">
        <v>41635</v>
      </c>
      <c r="D261" s="1500" t="s">
        <v>426</v>
      </c>
      <c r="E261" s="3330" t="s">
        <v>517</v>
      </c>
      <c r="F261" s="1548" t="s">
        <v>650</v>
      </c>
      <c r="G261" s="1465">
        <v>4</v>
      </c>
      <c r="H261" s="1529">
        <v>280.16950000000003</v>
      </c>
      <c r="I261" s="1467">
        <f t="shared" si="147"/>
        <v>1120.6780000000001</v>
      </c>
      <c r="J261" s="3333">
        <f>SUM(I261:I265)</f>
        <v>4097.6270000000004</v>
      </c>
      <c r="K261" s="3336">
        <f>+J261*0.18</f>
        <v>737.57285999999999</v>
      </c>
      <c r="L261" s="1534"/>
      <c r="M261" s="3339">
        <f>+K261+J261</f>
        <v>4835.1998600000006</v>
      </c>
      <c r="N261" s="1468" t="s">
        <v>529</v>
      </c>
      <c r="O261" s="1469">
        <f>SUM(P261:P265)</f>
        <v>11413.940008499998</v>
      </c>
      <c r="P261" s="1551">
        <f>+I261*$N$265</f>
        <v>3121.648569</v>
      </c>
      <c r="Q261" s="1471">
        <f t="shared" si="148"/>
        <v>780.41214224999999</v>
      </c>
      <c r="R261" s="1471">
        <f t="shared" si="149"/>
        <v>140.474185605</v>
      </c>
      <c r="S261" s="1472">
        <f t="shared" si="150"/>
        <v>920.88632785499999</v>
      </c>
    </row>
    <row r="262" spans="2:23" ht="15.95" customHeight="1">
      <c r="B262" s="3404"/>
      <c r="C262" s="1474">
        <v>41635</v>
      </c>
      <c r="D262" s="1463" t="s">
        <v>426</v>
      </c>
      <c r="E262" s="3331"/>
      <c r="F262" s="1538" t="s">
        <v>651</v>
      </c>
      <c r="G262" s="1476">
        <v>8</v>
      </c>
      <c r="H262" s="1477">
        <v>280.16950000000003</v>
      </c>
      <c r="I262" s="1478">
        <f t="shared" si="147"/>
        <v>2241.3560000000002</v>
      </c>
      <c r="J262" s="3334"/>
      <c r="K262" s="3337"/>
      <c r="L262" s="1535"/>
      <c r="M262" s="3340"/>
      <c r="N262" s="1549"/>
      <c r="O262" s="1480">
        <f>+O261*0.18</f>
        <v>2054.5092015299997</v>
      </c>
      <c r="P262" s="1552">
        <f>+I262*$N$265</f>
        <v>6243.2971379999999</v>
      </c>
      <c r="Q262" s="1471">
        <f t="shared" si="148"/>
        <v>780.41214224999999</v>
      </c>
      <c r="R262" s="1471">
        <f t="shared" si="149"/>
        <v>140.474185605</v>
      </c>
      <c r="S262" s="1472">
        <f t="shared" si="150"/>
        <v>920.88632785499999</v>
      </c>
    </row>
    <row r="263" spans="2:23" ht="15.95" customHeight="1">
      <c r="B263" s="3404"/>
      <c r="C263" s="1474">
        <v>41635</v>
      </c>
      <c r="D263" s="1463" t="s">
        <v>426</v>
      </c>
      <c r="E263" s="3331"/>
      <c r="F263" s="1515" t="s">
        <v>436</v>
      </c>
      <c r="G263" s="1550">
        <v>10</v>
      </c>
      <c r="H263" s="1477">
        <v>73.559299999999993</v>
      </c>
      <c r="I263" s="1478">
        <f t="shared" si="147"/>
        <v>735.59299999999996</v>
      </c>
      <c r="J263" s="3334"/>
      <c r="K263" s="3337"/>
      <c r="L263" s="1535"/>
      <c r="M263" s="3340"/>
      <c r="N263" s="1549"/>
      <c r="O263" s="1498">
        <f>+O262+O261</f>
        <v>13468.449210029998</v>
      </c>
      <c r="P263" s="1552">
        <f>+I263*$N$265</f>
        <v>2048.9943014999999</v>
      </c>
      <c r="Q263" s="1471">
        <f t="shared" si="148"/>
        <v>204.89943015</v>
      </c>
      <c r="R263" s="1471">
        <f t="shared" si="149"/>
        <v>36.881897426999998</v>
      </c>
      <c r="S263" s="1472">
        <f t="shared" si="150"/>
        <v>241.78132757700001</v>
      </c>
    </row>
    <row r="264" spans="2:23" ht="15.95" customHeight="1">
      <c r="B264" s="3404"/>
      <c r="C264" s="1474">
        <v>41635</v>
      </c>
      <c r="D264" s="1463" t="s">
        <v>426</v>
      </c>
      <c r="E264" s="3331"/>
      <c r="F264" s="1515"/>
      <c r="G264" s="1530"/>
      <c r="H264" s="1477">
        <v>20.338899999999999</v>
      </c>
      <c r="I264" s="1478">
        <f t="shared" si="147"/>
        <v>0</v>
      </c>
      <c r="J264" s="3334"/>
      <c r="K264" s="3337"/>
      <c r="L264" s="1535"/>
      <c r="M264" s="3340"/>
      <c r="N264" s="1549"/>
      <c r="O264" s="1480"/>
      <c r="P264" s="1552">
        <f>+I264*$N$265</f>
        <v>0</v>
      </c>
      <c r="Q264" s="1471" t="e">
        <f t="shared" si="148"/>
        <v>#DIV/0!</v>
      </c>
      <c r="R264" s="1471" t="e">
        <f t="shared" si="149"/>
        <v>#DIV/0!</v>
      </c>
      <c r="S264" s="1472" t="e">
        <f t="shared" si="150"/>
        <v>#DIV/0!</v>
      </c>
    </row>
    <row r="265" spans="2:23" ht="15.95" customHeight="1" thickBot="1">
      <c r="B265" s="3405"/>
      <c r="C265" s="1483">
        <v>41635</v>
      </c>
      <c r="D265" s="1484" t="s">
        <v>426</v>
      </c>
      <c r="E265" s="3342"/>
      <c r="F265" s="1485"/>
      <c r="G265" s="1531"/>
      <c r="H265" s="1487">
        <v>14.2372</v>
      </c>
      <c r="I265" s="1488">
        <f t="shared" si="147"/>
        <v>0</v>
      </c>
      <c r="J265" s="3343"/>
      <c r="K265" s="3344"/>
      <c r="L265" s="1537"/>
      <c r="M265" s="3345"/>
      <c r="N265" s="1489">
        <f>(2.785+2.786)/2</f>
        <v>2.7854999999999999</v>
      </c>
      <c r="O265" s="1490"/>
      <c r="P265" s="1553">
        <f>+I265*$N$265</f>
        <v>0</v>
      </c>
      <c r="Q265" s="1471" t="e">
        <f t="shared" si="148"/>
        <v>#DIV/0!</v>
      </c>
      <c r="R265" s="1471" t="e">
        <f t="shared" si="149"/>
        <v>#DIV/0!</v>
      </c>
      <c r="S265" s="1472" t="e">
        <f t="shared" si="150"/>
        <v>#DIV/0!</v>
      </c>
    </row>
    <row r="267" spans="2:23" ht="18.75" thickBot="1">
      <c r="C267" s="1444" t="s">
        <v>530</v>
      </c>
      <c r="D267" s="1445"/>
      <c r="E267" s="1445"/>
      <c r="F267" s="1445"/>
      <c r="G267" s="1445"/>
      <c r="H267" s="1445"/>
      <c r="I267" s="1445"/>
    </row>
    <row r="268" spans="2:23" s="463" customFormat="1" ht="20.100000000000001" customHeight="1" thickBot="1">
      <c r="C268" s="1449" t="s">
        <v>121</v>
      </c>
      <c r="D268" s="1450" t="s">
        <v>83</v>
      </c>
      <c r="E268" s="1451" t="s">
        <v>414</v>
      </c>
      <c r="F268" s="1451" t="s">
        <v>415</v>
      </c>
      <c r="G268" s="1452" t="s">
        <v>82</v>
      </c>
      <c r="H268" s="1453" t="s">
        <v>416</v>
      </c>
      <c r="I268" s="3391" t="s">
        <v>417</v>
      </c>
      <c r="J268" s="3392"/>
      <c r="K268" s="1454" t="s">
        <v>418</v>
      </c>
      <c r="L268" s="1179"/>
      <c r="M268" s="1456" t="s">
        <v>420</v>
      </c>
      <c r="N268" s="1457"/>
      <c r="O268" s="1458"/>
      <c r="P268" s="1459"/>
      <c r="Q268" s="804" t="s">
        <v>423</v>
      </c>
      <c r="R268" s="809" t="s">
        <v>424</v>
      </c>
      <c r="S268" s="1460" t="s">
        <v>425</v>
      </c>
      <c r="T268" s="460"/>
      <c r="U268" s="928"/>
      <c r="V268" s="928"/>
      <c r="W268" s="928"/>
    </row>
    <row r="269" spans="2:23" ht="15">
      <c r="B269" s="3400" t="s">
        <v>428</v>
      </c>
      <c r="C269" s="1554" t="s">
        <v>536</v>
      </c>
      <c r="D269" s="1555" t="s">
        <v>426</v>
      </c>
      <c r="E269" s="3359" t="s">
        <v>537</v>
      </c>
      <c r="F269" s="1556" t="s">
        <v>653</v>
      </c>
      <c r="G269" s="1557">
        <v>0</v>
      </c>
      <c r="H269" s="1558">
        <v>320.67790000000002</v>
      </c>
      <c r="I269" s="1559">
        <f t="shared" ref="I269:I293" si="151">+H269*G269</f>
        <v>0</v>
      </c>
      <c r="J269" s="3333">
        <f>SUM(I269:I272)</f>
        <v>966.10080000000005</v>
      </c>
      <c r="K269" s="3336">
        <f>+J269*0.18</f>
        <v>173.898144</v>
      </c>
      <c r="L269" s="1521"/>
      <c r="M269" s="3357">
        <f>+K269+J269</f>
        <v>1139.9989439999999</v>
      </c>
      <c r="N269" s="1468" t="s">
        <v>538</v>
      </c>
      <c r="O269" s="1469">
        <f>SUM(P269:P272)</f>
        <v>2578.0399848000002</v>
      </c>
      <c r="P269" s="1470">
        <f>+I269*N272</f>
        <v>0</v>
      </c>
      <c r="Q269" s="1471"/>
      <c r="R269" s="1471"/>
      <c r="S269" s="1472"/>
      <c r="T269" s="1560"/>
      <c r="U269" s="1561"/>
      <c r="V269" s="1560"/>
    </row>
    <row r="270" spans="2:23" ht="15">
      <c r="B270" s="3401"/>
      <c r="C270" s="1554" t="s">
        <v>536</v>
      </c>
      <c r="D270" s="1555" t="s">
        <v>426</v>
      </c>
      <c r="E270" s="3397"/>
      <c r="F270" s="1562" t="s">
        <v>539</v>
      </c>
      <c r="G270" s="1557">
        <v>0</v>
      </c>
      <c r="H270" s="1558">
        <v>313.9898</v>
      </c>
      <c r="I270" s="1559">
        <f t="shared" si="151"/>
        <v>0</v>
      </c>
      <c r="J270" s="3334"/>
      <c r="K270" s="3337"/>
      <c r="L270" s="1521"/>
      <c r="M270" s="3357"/>
      <c r="N270" s="1549"/>
      <c r="O270" s="1480">
        <f>+O269*0.18</f>
        <v>464.04719726400003</v>
      </c>
      <c r="P270" s="1481">
        <f>+I270*N272</f>
        <v>0</v>
      </c>
      <c r="Q270" s="1471"/>
      <c r="R270" s="1471"/>
      <c r="S270" s="1472"/>
      <c r="T270" s="1560"/>
      <c r="U270" s="1561"/>
      <c r="V270" s="1560"/>
    </row>
    <row r="271" spans="2:23" ht="15">
      <c r="B271" s="3401"/>
      <c r="C271" s="1554">
        <v>40955</v>
      </c>
      <c r="D271" s="1463" t="s">
        <v>426</v>
      </c>
      <c r="E271" s="3397"/>
      <c r="F271" s="1515" t="s">
        <v>514</v>
      </c>
      <c r="G271" s="1530">
        <v>24</v>
      </c>
      <c r="H271" s="1477">
        <v>25.4237</v>
      </c>
      <c r="I271" s="1563">
        <f t="shared" si="151"/>
        <v>610.16880000000003</v>
      </c>
      <c r="J271" s="3334"/>
      <c r="K271" s="3337"/>
      <c r="L271" s="1521"/>
      <c r="M271" s="3357"/>
      <c r="N271" s="1549"/>
      <c r="O271" s="1498">
        <f>+O270+O269</f>
        <v>3042.0871820640004</v>
      </c>
      <c r="P271" s="1481">
        <f>+I271*N272</f>
        <v>1628.2354428000001</v>
      </c>
      <c r="Q271" s="1471">
        <f>+P271/G271</f>
        <v>67.843143449999999</v>
      </c>
      <c r="R271" s="1471">
        <f>+Q271*0.18</f>
        <v>12.211765821</v>
      </c>
      <c r="S271" s="1472">
        <f>+R271+Q271</f>
        <v>80.054909271</v>
      </c>
      <c r="T271" s="1560"/>
      <c r="U271" s="1561"/>
      <c r="V271" s="1561"/>
    </row>
    <row r="272" spans="2:23" ht="15.75" thickBot="1">
      <c r="B272" s="3402"/>
      <c r="C272" s="1564">
        <v>40955</v>
      </c>
      <c r="D272" s="1484" t="s">
        <v>426</v>
      </c>
      <c r="E272" s="3360"/>
      <c r="F272" s="1485" t="s">
        <v>515</v>
      </c>
      <c r="G272" s="1565">
        <v>20</v>
      </c>
      <c r="H272" s="1487">
        <v>17.796600000000002</v>
      </c>
      <c r="I272" s="1566">
        <f t="shared" si="151"/>
        <v>355.93200000000002</v>
      </c>
      <c r="J272" s="3343"/>
      <c r="K272" s="3344"/>
      <c r="L272" s="1567"/>
      <c r="M272" s="3358"/>
      <c r="N272" s="1489">
        <f>(2.668+2.669)/2</f>
        <v>2.6684999999999999</v>
      </c>
      <c r="O272" s="1568"/>
      <c r="P272" s="1491">
        <f>+I272*N272</f>
        <v>949.80454199999997</v>
      </c>
      <c r="Q272" s="1471">
        <f>+P272/G272</f>
        <v>47.490227099999998</v>
      </c>
      <c r="R272" s="1471">
        <f>+Q272*0.18</f>
        <v>8.5482408779999997</v>
      </c>
      <c r="S272" s="1472">
        <f>+R272+Q272</f>
        <v>56.038467978</v>
      </c>
      <c r="T272" s="1560"/>
      <c r="U272" s="1561"/>
      <c r="V272" s="1561"/>
    </row>
    <row r="273" spans="2:22" ht="15">
      <c r="B273" s="3409" t="s">
        <v>540</v>
      </c>
      <c r="C273" s="1554" t="s">
        <v>536</v>
      </c>
      <c r="D273" s="1555" t="s">
        <v>426</v>
      </c>
      <c r="E273" s="3359" t="s">
        <v>541</v>
      </c>
      <c r="F273" s="1556" t="s">
        <v>653</v>
      </c>
      <c r="G273" s="1557">
        <v>0</v>
      </c>
      <c r="H273" s="1558">
        <v>320.67790000000002</v>
      </c>
      <c r="I273" s="1559">
        <f t="shared" si="151"/>
        <v>0</v>
      </c>
      <c r="J273" s="3333">
        <f>SUM(I273:I276)</f>
        <v>2511.9184</v>
      </c>
      <c r="K273" s="3336">
        <f>+J273*0.18</f>
        <v>452.14531199999999</v>
      </c>
      <c r="L273" s="1521"/>
      <c r="M273" s="3357">
        <f>+K273+J273</f>
        <v>2964.0637120000001</v>
      </c>
      <c r="N273" s="1468" t="s">
        <v>542</v>
      </c>
      <c r="O273" s="1469">
        <f>SUM(P273:P276)</f>
        <v>6703.0542503999995</v>
      </c>
      <c r="P273" s="1470">
        <f>+I273*N276</f>
        <v>0</v>
      </c>
      <c r="Q273" s="1471"/>
      <c r="R273" s="1471"/>
      <c r="S273" s="1472"/>
      <c r="T273" s="1560"/>
      <c r="U273" s="1561"/>
      <c r="V273" s="1560"/>
    </row>
    <row r="274" spans="2:22" ht="15.75">
      <c r="B274" s="3410"/>
      <c r="C274" s="1554">
        <v>40982</v>
      </c>
      <c r="D274" s="1463" t="s">
        <v>426</v>
      </c>
      <c r="E274" s="3397"/>
      <c r="F274" s="1569" t="s">
        <v>654</v>
      </c>
      <c r="G274" s="1570">
        <v>8</v>
      </c>
      <c r="H274" s="1477">
        <v>313.9898</v>
      </c>
      <c r="I274" s="1563">
        <f t="shared" si="151"/>
        <v>2511.9184</v>
      </c>
      <c r="J274" s="3334"/>
      <c r="K274" s="3337"/>
      <c r="L274" s="1521"/>
      <c r="M274" s="3357"/>
      <c r="N274" s="1549"/>
      <c r="O274" s="1480">
        <f>+O273*0.18</f>
        <v>1206.5497650719999</v>
      </c>
      <c r="P274" s="1481">
        <f>+I274*N276</f>
        <v>6703.0542503999995</v>
      </c>
      <c r="Q274" s="1471">
        <f>+P274/G274</f>
        <v>837.88178129999994</v>
      </c>
      <c r="R274" s="1471">
        <f>+Q274*0.18</f>
        <v>150.81872063399999</v>
      </c>
      <c r="S274" s="1472">
        <f>+R274+Q274</f>
        <v>988.70050193399993</v>
      </c>
      <c r="T274" s="1560"/>
      <c r="U274" s="1561"/>
      <c r="V274" s="1560"/>
    </row>
    <row r="275" spans="2:22" ht="15">
      <c r="B275" s="3410"/>
      <c r="C275" s="1554" t="s">
        <v>536</v>
      </c>
      <c r="D275" s="1555" t="s">
        <v>426</v>
      </c>
      <c r="E275" s="3397"/>
      <c r="F275" s="1571" t="s">
        <v>514</v>
      </c>
      <c r="G275" s="1572">
        <v>0</v>
      </c>
      <c r="H275" s="1558">
        <v>25.4237</v>
      </c>
      <c r="I275" s="1559">
        <f t="shared" si="151"/>
        <v>0</v>
      </c>
      <c r="J275" s="3334"/>
      <c r="K275" s="3337"/>
      <c r="L275" s="1521"/>
      <c r="M275" s="3357"/>
      <c r="N275" s="1549"/>
      <c r="O275" s="1498">
        <f>+O274+O273</f>
        <v>7909.6040154719994</v>
      </c>
      <c r="P275" s="1481">
        <f>+I275*N276</f>
        <v>0</v>
      </c>
      <c r="Q275" s="1471"/>
      <c r="R275" s="1471"/>
      <c r="S275" s="1472"/>
      <c r="T275" s="1560"/>
      <c r="U275" s="1561"/>
      <c r="V275" s="1561"/>
    </row>
    <row r="276" spans="2:22" ht="15.75" thickBot="1">
      <c r="B276" s="3411"/>
      <c r="C276" s="1564" t="s">
        <v>536</v>
      </c>
      <c r="D276" s="1573" t="s">
        <v>426</v>
      </c>
      <c r="E276" s="3360"/>
      <c r="F276" s="1574" t="s">
        <v>515</v>
      </c>
      <c r="G276" s="1575">
        <v>0</v>
      </c>
      <c r="H276" s="1576">
        <v>17.796600000000002</v>
      </c>
      <c r="I276" s="1577">
        <f t="shared" si="151"/>
        <v>0</v>
      </c>
      <c r="J276" s="3343"/>
      <c r="K276" s="3344"/>
      <c r="L276" s="1567"/>
      <c r="M276" s="3358"/>
      <c r="N276" s="1489">
        <f>(2.668+2.669)/2</f>
        <v>2.6684999999999999</v>
      </c>
      <c r="O276" s="1568"/>
      <c r="P276" s="1491">
        <f>+I276*N276</f>
        <v>0</v>
      </c>
      <c r="Q276" s="1471"/>
      <c r="R276" s="1471"/>
      <c r="S276" s="1472"/>
      <c r="T276" s="1560"/>
      <c r="U276" s="1561"/>
      <c r="V276" s="1561"/>
    </row>
    <row r="277" spans="2:22" ht="15">
      <c r="B277" s="3409" t="s">
        <v>477</v>
      </c>
      <c r="C277" s="1554" t="s">
        <v>536</v>
      </c>
      <c r="D277" s="1555" t="s">
        <v>426</v>
      </c>
      <c r="E277" s="3359" t="s">
        <v>543</v>
      </c>
      <c r="F277" s="1556" t="s">
        <v>653</v>
      </c>
      <c r="G277" s="1557">
        <v>0</v>
      </c>
      <c r="H277" s="1558">
        <v>320.67790000000002</v>
      </c>
      <c r="I277" s="1559">
        <f t="shared" si="151"/>
        <v>0</v>
      </c>
      <c r="J277" s="3333">
        <f>SUM(I277:I280)</f>
        <v>1067.7955999999999</v>
      </c>
      <c r="K277" s="3336">
        <f>+J277*0.18</f>
        <v>192.20320799999999</v>
      </c>
      <c r="L277" s="1521"/>
      <c r="M277" s="3357">
        <f>+K277+J277</f>
        <v>1259.9988079999998</v>
      </c>
      <c r="N277" s="1468" t="s">
        <v>544</v>
      </c>
      <c r="O277" s="1469">
        <f>SUM(P277:P280)</f>
        <v>2849.4125586</v>
      </c>
      <c r="P277" s="1470">
        <f>+I277*N280</f>
        <v>0</v>
      </c>
      <c r="Q277" s="1471"/>
      <c r="R277" s="1471"/>
      <c r="S277" s="1472"/>
      <c r="T277" s="1560"/>
      <c r="U277" s="1561"/>
      <c r="V277" s="1560"/>
    </row>
    <row r="278" spans="2:22" ht="15">
      <c r="B278" s="3410"/>
      <c r="C278" s="1554" t="s">
        <v>536</v>
      </c>
      <c r="D278" s="1555" t="s">
        <v>426</v>
      </c>
      <c r="E278" s="3397"/>
      <c r="F278" s="1562" t="s">
        <v>539</v>
      </c>
      <c r="G278" s="1557">
        <v>0</v>
      </c>
      <c r="H278" s="1558">
        <v>313.9898</v>
      </c>
      <c r="I278" s="1559">
        <f t="shared" si="151"/>
        <v>0</v>
      </c>
      <c r="J278" s="3334"/>
      <c r="K278" s="3337"/>
      <c r="L278" s="1521"/>
      <c r="M278" s="3357"/>
      <c r="N278" s="1549"/>
      <c r="O278" s="1480">
        <f>+O277*0.18</f>
        <v>512.89426054800003</v>
      </c>
      <c r="P278" s="1481">
        <f>+I278*N280</f>
        <v>0</v>
      </c>
      <c r="Q278" s="1471"/>
      <c r="R278" s="1471"/>
      <c r="S278" s="1472"/>
      <c r="T278" s="1560"/>
      <c r="U278" s="1561"/>
      <c r="V278" s="1560"/>
    </row>
    <row r="279" spans="2:22" ht="15">
      <c r="B279" s="3410"/>
      <c r="C279" s="1554">
        <v>41054</v>
      </c>
      <c r="D279" s="1463" t="s">
        <v>426</v>
      </c>
      <c r="E279" s="3397"/>
      <c r="F279" s="1515" t="s">
        <v>514</v>
      </c>
      <c r="G279" s="1530">
        <v>28</v>
      </c>
      <c r="H279" s="1477">
        <v>25.4237</v>
      </c>
      <c r="I279" s="1563">
        <f t="shared" si="151"/>
        <v>711.86360000000002</v>
      </c>
      <c r="J279" s="3334"/>
      <c r="K279" s="3337"/>
      <c r="L279" s="1521"/>
      <c r="M279" s="3357"/>
      <c r="N279" s="1549"/>
      <c r="O279" s="1498">
        <f>+O278+O277</f>
        <v>3362.3068191480002</v>
      </c>
      <c r="P279" s="1481">
        <f>+I279*N280</f>
        <v>1899.6080165999999</v>
      </c>
      <c r="Q279" s="1471">
        <f>+P279/G279</f>
        <v>67.843143449999999</v>
      </c>
      <c r="R279" s="1471">
        <f>+Q279*0.18</f>
        <v>12.211765821</v>
      </c>
      <c r="S279" s="1472">
        <f>+R279+Q279</f>
        <v>80.054909271</v>
      </c>
      <c r="T279" s="1560"/>
      <c r="U279" s="1561"/>
      <c r="V279" s="1561"/>
    </row>
    <row r="280" spans="2:22" ht="15.75" thickBot="1">
      <c r="B280" s="3411"/>
      <c r="C280" s="1564">
        <v>41054</v>
      </c>
      <c r="D280" s="1484" t="s">
        <v>426</v>
      </c>
      <c r="E280" s="3360"/>
      <c r="F280" s="1485" t="s">
        <v>515</v>
      </c>
      <c r="G280" s="1565">
        <v>20</v>
      </c>
      <c r="H280" s="1487">
        <v>17.796600000000002</v>
      </c>
      <c r="I280" s="1566">
        <f t="shared" si="151"/>
        <v>355.93200000000002</v>
      </c>
      <c r="J280" s="3343"/>
      <c r="K280" s="3344"/>
      <c r="L280" s="1567"/>
      <c r="M280" s="3358"/>
      <c r="N280" s="1489">
        <f>(2.668+2.669)/2</f>
        <v>2.6684999999999999</v>
      </c>
      <c r="O280" s="1568"/>
      <c r="P280" s="1491">
        <f>+I280*N280</f>
        <v>949.80454199999997</v>
      </c>
      <c r="Q280" s="1471">
        <f>+P280/G280</f>
        <v>47.490227099999998</v>
      </c>
      <c r="R280" s="1471">
        <f>+Q280*0.18</f>
        <v>8.5482408779999997</v>
      </c>
      <c r="S280" s="1472">
        <f>+R280+Q280</f>
        <v>56.038467978</v>
      </c>
      <c r="T280" s="1560"/>
      <c r="U280" s="1561"/>
      <c r="V280" s="1561"/>
    </row>
    <row r="281" spans="2:22" ht="15.75">
      <c r="B281" s="3406" t="s">
        <v>204</v>
      </c>
      <c r="C281" s="1462">
        <v>41066</v>
      </c>
      <c r="D281" s="1463" t="s">
        <v>426</v>
      </c>
      <c r="E281" s="3330" t="s">
        <v>545</v>
      </c>
      <c r="F281" s="1548" t="s">
        <v>650</v>
      </c>
      <c r="G281" s="1465">
        <v>2</v>
      </c>
      <c r="H281" s="1529">
        <v>309.66000000000003</v>
      </c>
      <c r="I281" s="1467">
        <f t="shared" si="151"/>
        <v>619.32000000000005</v>
      </c>
      <c r="J281" s="3333">
        <f>SUM(I281:I283)</f>
        <v>3832.1930000000002</v>
      </c>
      <c r="K281" s="3336">
        <f>+J281*0.18</f>
        <v>689.79474000000005</v>
      </c>
      <c r="L281" s="1534"/>
      <c r="M281" s="3339">
        <f>+K281+J281</f>
        <v>4521.9877400000005</v>
      </c>
      <c r="N281" s="1468" t="s">
        <v>546</v>
      </c>
      <c r="O281" s="1469">
        <f>SUM(P281:P284)</f>
        <v>10226.207020499998</v>
      </c>
      <c r="P281" s="1470">
        <f>+I281*N283</f>
        <v>1652.65542</v>
      </c>
      <c r="Q281" s="1471">
        <f>+P281/G281</f>
        <v>826.32771000000002</v>
      </c>
      <c r="R281" s="1471">
        <f>+Q281*0.18</f>
        <v>148.73898779999999</v>
      </c>
      <c r="S281" s="1472">
        <f>+R281+Q281</f>
        <v>975.06669780000004</v>
      </c>
    </row>
    <row r="282" spans="2:22" ht="15.75">
      <c r="B282" s="3407"/>
      <c r="C282" s="1474">
        <v>41066</v>
      </c>
      <c r="D282" s="1463" t="s">
        <v>426</v>
      </c>
      <c r="E282" s="3331"/>
      <c r="F282" s="1538" t="s">
        <v>651</v>
      </c>
      <c r="G282" s="1476">
        <v>8</v>
      </c>
      <c r="H282" s="1477">
        <v>309.66000000000003</v>
      </c>
      <c r="I282" s="1478">
        <f t="shared" si="151"/>
        <v>2477.2800000000002</v>
      </c>
      <c r="J282" s="3334"/>
      <c r="K282" s="3337"/>
      <c r="L282" s="1535"/>
      <c r="M282" s="3340"/>
      <c r="N282" s="1549"/>
      <c r="O282" s="1480">
        <f>+O281*0.18</f>
        <v>1840.7172636899995</v>
      </c>
      <c r="P282" s="1481">
        <f>+I282*N283</f>
        <v>6610.6216800000002</v>
      </c>
      <c r="Q282" s="1471">
        <f>+P282/G282</f>
        <v>826.32771000000002</v>
      </c>
      <c r="R282" s="1471">
        <f>+Q282*0.18</f>
        <v>148.73898779999999</v>
      </c>
      <c r="S282" s="1472">
        <f>+R282+Q282</f>
        <v>975.06669780000004</v>
      </c>
    </row>
    <row r="283" spans="2:22" ht="13.5" thickBot="1">
      <c r="B283" s="3408"/>
      <c r="C283" s="1483">
        <v>41066</v>
      </c>
      <c r="D283" s="1484" t="s">
        <v>426</v>
      </c>
      <c r="E283" s="3342"/>
      <c r="F283" s="1485" t="s">
        <v>547</v>
      </c>
      <c r="G283" s="1531">
        <v>10</v>
      </c>
      <c r="H283" s="1487">
        <v>73.559299999999993</v>
      </c>
      <c r="I283" s="1488">
        <f t="shared" si="151"/>
        <v>735.59299999999996</v>
      </c>
      <c r="J283" s="3343"/>
      <c r="K283" s="3344"/>
      <c r="L283" s="1537"/>
      <c r="M283" s="3345"/>
      <c r="N283" s="1489">
        <f>(2.668+2.669)/2</f>
        <v>2.6684999999999999</v>
      </c>
      <c r="O283" s="1498">
        <f>+O282+O281</f>
        <v>12066.924284189998</v>
      </c>
      <c r="P283" s="1481">
        <f>+I283*N283</f>
        <v>1962.9299204999998</v>
      </c>
      <c r="Q283" s="1471">
        <f>+P283/G283</f>
        <v>196.29299204999998</v>
      </c>
      <c r="R283" s="1471">
        <f>+Q283*0.18</f>
        <v>35.332738568999993</v>
      </c>
      <c r="S283" s="1472">
        <f>+R283+Q283</f>
        <v>231.62573061899997</v>
      </c>
    </row>
    <row r="284" spans="2:22" ht="15">
      <c r="B284" s="3409" t="s">
        <v>444</v>
      </c>
      <c r="C284" s="1554" t="s">
        <v>536</v>
      </c>
      <c r="D284" s="1555" t="s">
        <v>426</v>
      </c>
      <c r="E284" s="3359" t="s">
        <v>562</v>
      </c>
      <c r="F284" s="1556" t="s">
        <v>653</v>
      </c>
      <c r="G284" s="1557">
        <v>0</v>
      </c>
      <c r="H284" s="1558">
        <v>320.67790000000002</v>
      </c>
      <c r="I284" s="1559">
        <f t="shared" si="151"/>
        <v>0</v>
      </c>
      <c r="J284" s="3333">
        <f>SUM(I284:I287)</f>
        <v>3025.4235999999996</v>
      </c>
      <c r="K284" s="3337">
        <f>+J284*0.18</f>
        <v>544.57624799999996</v>
      </c>
      <c r="L284" s="1521"/>
      <c r="M284" s="3357">
        <f>+K284+J284</f>
        <v>3569.9998479999995</v>
      </c>
      <c r="N284" s="1468" t="s">
        <v>563</v>
      </c>
      <c r="O284" s="1469">
        <f>SUM(P284:P287)</f>
        <v>8073.3428765999997</v>
      </c>
      <c r="P284" s="1470">
        <f>+I284*N287</f>
        <v>0</v>
      </c>
      <c r="Q284" s="1471"/>
      <c r="R284" s="1471"/>
      <c r="S284" s="1472"/>
    </row>
    <row r="285" spans="2:22" ht="15.75">
      <c r="B285" s="3410"/>
      <c r="C285" s="1554">
        <v>41111</v>
      </c>
      <c r="D285" s="1463" t="s">
        <v>426</v>
      </c>
      <c r="E285" s="3397"/>
      <c r="F285" s="1569" t="s">
        <v>654</v>
      </c>
      <c r="G285" s="1570">
        <v>8</v>
      </c>
      <c r="H285" s="1477">
        <v>313.98309999999998</v>
      </c>
      <c r="I285" s="1563">
        <f t="shared" si="151"/>
        <v>2511.8647999999998</v>
      </c>
      <c r="J285" s="3334"/>
      <c r="K285" s="3337"/>
      <c r="L285" s="1521"/>
      <c r="M285" s="3357"/>
      <c r="N285" s="1549"/>
      <c r="O285" s="1480">
        <f>+O284*0.18</f>
        <v>1453.201717788</v>
      </c>
      <c r="P285" s="1481">
        <f>+I285*N287</f>
        <v>6702.911218799999</v>
      </c>
      <c r="Q285" s="1471">
        <f t="shared" ref="Q285:Q291" si="152">+P285/G285</f>
        <v>837.86390234999988</v>
      </c>
      <c r="R285" s="1471">
        <f t="shared" ref="R285:R293" si="153">+Q285*0.18</f>
        <v>150.81550242299997</v>
      </c>
      <c r="S285" s="1472">
        <f t="shared" ref="S285:S294" si="154">+R285+Q285</f>
        <v>988.67940477299987</v>
      </c>
    </row>
    <row r="286" spans="2:22" ht="15">
      <c r="B286" s="3410"/>
      <c r="C286" s="1554">
        <v>41111</v>
      </c>
      <c r="D286" s="1463" t="s">
        <v>426</v>
      </c>
      <c r="E286" s="3397"/>
      <c r="F286" s="1515" t="s">
        <v>514</v>
      </c>
      <c r="G286" s="1530">
        <v>16</v>
      </c>
      <c r="H286" s="1477">
        <v>25.4237</v>
      </c>
      <c r="I286" s="1563">
        <f t="shared" si="151"/>
        <v>406.7792</v>
      </c>
      <c r="J286" s="3334"/>
      <c r="K286" s="3337"/>
      <c r="L286" s="1521"/>
      <c r="M286" s="3357"/>
      <c r="N286" s="1549"/>
      <c r="O286" s="1498">
        <f>+O285+O284</f>
        <v>9526.5445943880004</v>
      </c>
      <c r="P286" s="1481">
        <f>+I286*N287</f>
        <v>1085.4902952</v>
      </c>
      <c r="Q286" s="1471">
        <f t="shared" si="152"/>
        <v>67.843143449999999</v>
      </c>
      <c r="R286" s="1471">
        <f t="shared" si="153"/>
        <v>12.211765821</v>
      </c>
      <c r="S286" s="1472">
        <f t="shared" si="154"/>
        <v>80.054909271</v>
      </c>
    </row>
    <row r="287" spans="2:22" ht="15.75" thickBot="1">
      <c r="B287" s="3411"/>
      <c r="C287" s="1564">
        <v>41111</v>
      </c>
      <c r="D287" s="1484" t="s">
        <v>426</v>
      </c>
      <c r="E287" s="3360"/>
      <c r="F287" s="1485" t="s">
        <v>515</v>
      </c>
      <c r="G287" s="1565">
        <v>6</v>
      </c>
      <c r="H287" s="1487">
        <v>17.796600000000002</v>
      </c>
      <c r="I287" s="1566">
        <f t="shared" si="151"/>
        <v>106.77960000000002</v>
      </c>
      <c r="J287" s="3343"/>
      <c r="K287" s="3344"/>
      <c r="L287" s="1567"/>
      <c r="M287" s="3358"/>
      <c r="N287" s="1489">
        <f>(2.668+2.669)/2</f>
        <v>2.6684999999999999</v>
      </c>
      <c r="O287" s="1568"/>
      <c r="P287" s="1491">
        <f>+I287*N287</f>
        <v>284.94136260000005</v>
      </c>
      <c r="Q287" s="1471">
        <f t="shared" si="152"/>
        <v>47.490227100000006</v>
      </c>
      <c r="R287" s="1471">
        <f t="shared" si="153"/>
        <v>8.5482408780000014</v>
      </c>
      <c r="S287" s="1472">
        <f t="shared" si="154"/>
        <v>56.038467978000007</v>
      </c>
    </row>
    <row r="288" spans="2:22" ht="15.75">
      <c r="B288" s="3409" t="s">
        <v>270</v>
      </c>
      <c r="C288" s="1462">
        <v>41159</v>
      </c>
      <c r="D288" s="1463" t="s">
        <v>426</v>
      </c>
      <c r="E288" s="3330" t="s">
        <v>564</v>
      </c>
      <c r="F288" s="1548" t="s">
        <v>650</v>
      </c>
      <c r="G288" s="1465">
        <v>2</v>
      </c>
      <c r="H288" s="1529">
        <v>309.66000000000003</v>
      </c>
      <c r="I288" s="1467">
        <f t="shared" si="151"/>
        <v>619.32000000000005</v>
      </c>
      <c r="J288" s="3333">
        <f>SUM(I288:I291)</f>
        <v>4412.1930000000002</v>
      </c>
      <c r="K288" s="3336">
        <f>+J288*0.18</f>
        <v>794.19474000000002</v>
      </c>
      <c r="L288" s="1534"/>
      <c r="M288" s="3339">
        <f>+K288+J288</f>
        <v>5206.3877400000001</v>
      </c>
      <c r="N288" s="1468" t="s">
        <v>565</v>
      </c>
      <c r="O288" s="1469">
        <f>SUM(P288:P295)</f>
        <v>21877.405993788136</v>
      </c>
      <c r="P288" s="1470">
        <f>+I288*N291</f>
        <v>1622.92806</v>
      </c>
      <c r="Q288" s="1471">
        <f t="shared" si="152"/>
        <v>811.46402999999998</v>
      </c>
      <c r="R288" s="1471">
        <f t="shared" si="153"/>
        <v>146.0635254</v>
      </c>
      <c r="S288" s="1472">
        <f t="shared" si="154"/>
        <v>957.52755539999998</v>
      </c>
    </row>
    <row r="289" spans="2:23" ht="15.75">
      <c r="B289" s="3410"/>
      <c r="C289" s="1474">
        <v>41159</v>
      </c>
      <c r="D289" s="1463" t="s">
        <v>426</v>
      </c>
      <c r="E289" s="3331"/>
      <c r="F289" s="1538" t="s">
        <v>651</v>
      </c>
      <c r="G289" s="1476">
        <v>8</v>
      </c>
      <c r="H289" s="1477">
        <v>309.66000000000003</v>
      </c>
      <c r="I289" s="1478">
        <f t="shared" si="151"/>
        <v>2477.2800000000002</v>
      </c>
      <c r="J289" s="3334"/>
      <c r="K289" s="3337"/>
      <c r="L289" s="1535"/>
      <c r="M289" s="3340"/>
      <c r="N289" s="1549"/>
      <c r="O289" s="1480">
        <f>+O288*0.18</f>
        <v>3937.9330788818643</v>
      </c>
      <c r="P289" s="1481">
        <f>+I289*N291</f>
        <v>6491.7122399999998</v>
      </c>
      <c r="Q289" s="1471">
        <f t="shared" si="152"/>
        <v>811.46402999999998</v>
      </c>
      <c r="R289" s="1471">
        <f t="shared" si="153"/>
        <v>146.0635254</v>
      </c>
      <c r="S289" s="1472">
        <f t="shared" si="154"/>
        <v>957.52755539999998</v>
      </c>
    </row>
    <row r="290" spans="2:23" ht="15.75">
      <c r="B290" s="3410"/>
      <c r="C290" s="1474">
        <v>41159</v>
      </c>
      <c r="D290" s="1463" t="s">
        <v>426</v>
      </c>
      <c r="E290" s="3331"/>
      <c r="F290" s="1296" t="s">
        <v>655</v>
      </c>
      <c r="G290" s="1476">
        <v>10</v>
      </c>
      <c r="H290" s="1477">
        <v>73.559299999999993</v>
      </c>
      <c r="I290" s="1478">
        <f t="shared" si="151"/>
        <v>735.59299999999996</v>
      </c>
      <c r="J290" s="3334"/>
      <c r="K290" s="3337"/>
      <c r="L290" s="1535"/>
      <c r="M290" s="3340"/>
      <c r="N290" s="1549"/>
      <c r="O290" s="1498">
        <f>+O289+O288</f>
        <v>25815.339072670002</v>
      </c>
      <c r="P290" s="1481">
        <f>+I290*N291</f>
        <v>1927.6214564999998</v>
      </c>
      <c r="Q290" s="1471">
        <f t="shared" si="152"/>
        <v>192.76214564999998</v>
      </c>
      <c r="R290" s="1471">
        <f t="shared" si="153"/>
        <v>34.697186216999995</v>
      </c>
      <c r="S290" s="1472">
        <f t="shared" si="154"/>
        <v>227.45933186699997</v>
      </c>
    </row>
    <row r="291" spans="2:23" ht="13.5" thickBot="1">
      <c r="B291" s="3411"/>
      <c r="C291" s="1483">
        <v>41159</v>
      </c>
      <c r="D291" s="1484" t="s">
        <v>426</v>
      </c>
      <c r="E291" s="3342"/>
      <c r="F291" s="1578" t="s">
        <v>656</v>
      </c>
      <c r="G291" s="1531">
        <v>4</v>
      </c>
      <c r="H291" s="1487">
        <v>145</v>
      </c>
      <c r="I291" s="1488">
        <f t="shared" si="151"/>
        <v>580</v>
      </c>
      <c r="J291" s="3343"/>
      <c r="K291" s="3344"/>
      <c r="L291" s="1537"/>
      <c r="M291" s="3345"/>
      <c r="N291" s="1489">
        <f>(2.62+2.621)/2</f>
        <v>2.6204999999999998</v>
      </c>
      <c r="O291" s="1579"/>
      <c r="P291" s="1491">
        <f>+I291*N291</f>
        <v>1519.8899999999999</v>
      </c>
      <c r="Q291" s="1471">
        <f t="shared" si="152"/>
        <v>379.97249999999997</v>
      </c>
      <c r="R291" s="1471">
        <f t="shared" si="153"/>
        <v>68.395049999999998</v>
      </c>
      <c r="S291" s="1472">
        <f t="shared" si="154"/>
        <v>448.36754999999994</v>
      </c>
    </row>
    <row r="292" spans="2:23" ht="15.75">
      <c r="B292" s="3400" t="s">
        <v>274</v>
      </c>
      <c r="C292" s="1462">
        <v>41220</v>
      </c>
      <c r="D292" s="1463" t="s">
        <v>507</v>
      </c>
      <c r="E292" s="3330" t="s">
        <v>566</v>
      </c>
      <c r="F292" s="1464" t="s">
        <v>652</v>
      </c>
      <c r="G292" s="1465">
        <v>12</v>
      </c>
      <c r="H292" s="1529">
        <f>+Q292/N294</f>
        <v>316.15344424218023</v>
      </c>
      <c r="I292" s="1467">
        <f t="shared" si="151"/>
        <v>3793.8413309061625</v>
      </c>
      <c r="J292" s="3333">
        <f>SUM(I292:I294)</f>
        <v>4050.7576034903341</v>
      </c>
      <c r="K292" s="3336">
        <f>+J292*0.18</f>
        <v>729.13636862826013</v>
      </c>
      <c r="L292" s="1534"/>
      <c r="M292" s="3339">
        <f>+K292+J292</f>
        <v>4779.8939721185943</v>
      </c>
      <c r="N292" s="1468" t="s">
        <v>567</v>
      </c>
      <c r="O292" s="1469">
        <f>SUM(P292:P295)</f>
        <v>10315.254237288136</v>
      </c>
      <c r="P292" s="1470">
        <f>+I292*N294</f>
        <v>9661.016949152543</v>
      </c>
      <c r="Q292" s="1471">
        <v>805.08474576271192</v>
      </c>
      <c r="R292" s="1471">
        <f t="shared" si="153"/>
        <v>144.91525423728814</v>
      </c>
      <c r="S292" s="1526">
        <f t="shared" si="154"/>
        <v>950</v>
      </c>
      <c r="T292" s="652" t="s">
        <v>483</v>
      </c>
    </row>
    <row r="293" spans="2:23" ht="15.75">
      <c r="B293" s="3401"/>
      <c r="C293" s="1474">
        <v>41220</v>
      </c>
      <c r="D293" s="1463" t="s">
        <v>507</v>
      </c>
      <c r="E293" s="3331"/>
      <c r="F293" s="1538" t="s">
        <v>657</v>
      </c>
      <c r="G293" s="1476">
        <v>4</v>
      </c>
      <c r="H293" s="1477">
        <f>+Q293/N294</f>
        <v>64.229068146042934</v>
      </c>
      <c r="I293" s="1478">
        <f t="shared" si="151"/>
        <v>256.91627258417174</v>
      </c>
      <c r="J293" s="3334"/>
      <c r="K293" s="3337"/>
      <c r="L293" s="1535"/>
      <c r="M293" s="3340"/>
      <c r="N293" s="1549"/>
      <c r="O293" s="1480">
        <f>+O292*0.18</f>
        <v>1856.7457627118645</v>
      </c>
      <c r="P293" s="1481">
        <f>+I293*N294</f>
        <v>654.2372881355933</v>
      </c>
      <c r="Q293" s="1471">
        <v>163.55932203389833</v>
      </c>
      <c r="R293" s="1471">
        <f t="shared" si="153"/>
        <v>29.440677966101699</v>
      </c>
      <c r="S293" s="1526">
        <f t="shared" si="154"/>
        <v>193.00000000000003</v>
      </c>
    </row>
    <row r="294" spans="2:23" ht="13.5" thickBot="1">
      <c r="B294" s="3402"/>
      <c r="C294" s="1483"/>
      <c r="D294" s="1484"/>
      <c r="E294" s="3342"/>
      <c r="F294" s="1485"/>
      <c r="G294" s="1531"/>
      <c r="H294" s="1487"/>
      <c r="I294" s="1488"/>
      <c r="J294" s="3343"/>
      <c r="K294" s="3344"/>
      <c r="L294" s="1537"/>
      <c r="M294" s="3345"/>
      <c r="N294" s="1489">
        <f>(2.547+2.546)/2</f>
        <v>2.5465</v>
      </c>
      <c r="O294" s="1490">
        <f>+O293+O292</f>
        <v>12172</v>
      </c>
      <c r="P294" s="1491">
        <f>+I294*N294</f>
        <v>0</v>
      </c>
      <c r="Q294" s="1471"/>
      <c r="R294" s="1471"/>
      <c r="S294" s="1472">
        <f t="shared" si="154"/>
        <v>0</v>
      </c>
    </row>
    <row r="295" spans="2:23">
      <c r="C295" s="1580"/>
    </row>
    <row r="296" spans="2:23">
      <c r="C296" s="1580"/>
    </row>
    <row r="297" spans="2:23">
      <c r="C297" s="1580"/>
      <c r="J297" s="3448" t="s">
        <v>568</v>
      </c>
      <c r="K297" s="3448"/>
      <c r="L297" s="3449"/>
      <c r="M297" s="3450"/>
      <c r="N297" s="3446" t="s">
        <v>569</v>
      </c>
      <c r="O297" s="3447"/>
      <c r="P297" s="3447"/>
    </row>
    <row r="298" spans="2:23">
      <c r="C298" s="1580"/>
      <c r="D298" s="1580"/>
      <c r="E298" s="1580"/>
      <c r="F298" s="1580"/>
      <c r="G298" s="1580"/>
      <c r="H298" s="1580"/>
      <c r="J298" s="1581" t="s">
        <v>570</v>
      </c>
      <c r="K298" s="1582" t="s">
        <v>418</v>
      </c>
      <c r="L298" s="1583"/>
      <c r="M298" s="1584" t="s">
        <v>571</v>
      </c>
      <c r="N298" s="1585" t="s">
        <v>570</v>
      </c>
      <c r="O298" s="1582" t="s">
        <v>418</v>
      </c>
      <c r="P298" s="1582" t="s">
        <v>571</v>
      </c>
    </row>
    <row r="299" spans="2:23">
      <c r="C299" s="1580"/>
      <c r="D299" s="1580"/>
      <c r="E299" s="1580"/>
      <c r="F299" s="1580"/>
      <c r="G299" s="1580"/>
      <c r="H299" s="1580"/>
      <c r="J299" s="1586">
        <f>SUM(J269:J295)</f>
        <v>19866.382003490333</v>
      </c>
      <c r="K299" s="1587">
        <f>SUM(K269:K295)</f>
        <v>3575.9487606282601</v>
      </c>
      <c r="L299" s="1588"/>
      <c r="M299" s="1589">
        <f>SUM(M269:M295)</f>
        <v>23442.330764118597</v>
      </c>
      <c r="N299" s="1590">
        <f>SUM(P269:P295)</f>
        <v>52307.462684688129</v>
      </c>
      <c r="O299" s="1587">
        <f>+N299*0.18</f>
        <v>9415.343283243863</v>
      </c>
      <c r="P299" s="1591">
        <f>+O299+N299</f>
        <v>61722.805967931992</v>
      </c>
    </row>
    <row r="300" spans="2:23">
      <c r="C300" s="1580"/>
    </row>
    <row r="303" spans="2:23" s="1592" customFormat="1" ht="18.75" thickBot="1">
      <c r="C303" s="1593" t="s">
        <v>572</v>
      </c>
      <c r="D303" s="1594"/>
      <c r="E303" s="1594"/>
      <c r="F303" s="1594"/>
      <c r="G303" s="1594"/>
      <c r="H303" s="1594"/>
      <c r="I303" s="1594"/>
      <c r="J303" s="1595"/>
      <c r="N303" s="1596"/>
      <c r="O303" s="1597"/>
      <c r="P303" s="1598"/>
      <c r="Q303" s="1599"/>
      <c r="R303" s="1599"/>
      <c r="S303" s="1600"/>
      <c r="T303" s="1601"/>
      <c r="U303" s="1601"/>
      <c r="V303" s="1601"/>
      <c r="W303" s="1601"/>
    </row>
    <row r="304" spans="2:23" s="1602" customFormat="1" ht="20.100000000000001" customHeight="1" thickBot="1">
      <c r="C304" s="1603" t="s">
        <v>121</v>
      </c>
      <c r="D304" s="1604" t="s">
        <v>83</v>
      </c>
      <c r="E304" s="1605" t="s">
        <v>414</v>
      </c>
      <c r="F304" s="1605" t="s">
        <v>415</v>
      </c>
      <c r="G304" s="1606" t="s">
        <v>82</v>
      </c>
      <c r="H304" s="1607" t="s">
        <v>416</v>
      </c>
      <c r="I304" s="3426" t="s">
        <v>417</v>
      </c>
      <c r="J304" s="3427"/>
      <c r="K304" s="1608" t="s">
        <v>418</v>
      </c>
      <c r="L304" s="1181"/>
      <c r="M304" s="1609" t="s">
        <v>420</v>
      </c>
      <c r="N304" s="1610"/>
      <c r="O304" s="1611"/>
      <c r="P304" s="1612"/>
      <c r="Q304" s="1613"/>
      <c r="R304" s="1613"/>
      <c r="S304" s="1614"/>
      <c r="T304" s="1615"/>
      <c r="U304" s="1615"/>
      <c r="V304" s="1615"/>
      <c r="W304" s="1615"/>
    </row>
    <row r="305" spans="2:23" s="1602" customFormat="1" ht="15.2" customHeight="1">
      <c r="B305" s="3423" t="s">
        <v>504</v>
      </c>
      <c r="C305" s="1616">
        <v>40560</v>
      </c>
      <c r="D305" s="1617" t="s">
        <v>426</v>
      </c>
      <c r="E305" s="3415" t="s">
        <v>670</v>
      </c>
      <c r="F305" s="1618" t="s">
        <v>671</v>
      </c>
      <c r="G305" s="1619">
        <v>8</v>
      </c>
      <c r="H305" s="1620">
        <v>0</v>
      </c>
      <c r="I305" s="1621">
        <f>+H305*G305</f>
        <v>0</v>
      </c>
      <c r="J305" s="3375">
        <f>+I305+I306</f>
        <v>0</v>
      </c>
      <c r="K305" s="3434">
        <f>+J305*0.19</f>
        <v>0</v>
      </c>
      <c r="L305" s="1622"/>
      <c r="M305" s="3350">
        <f>+K305+J305</f>
        <v>0</v>
      </c>
      <c r="N305" s="1610"/>
      <c r="O305" s="1611"/>
      <c r="P305" s="1612"/>
      <c r="Q305" s="1613"/>
      <c r="R305" s="1613"/>
      <c r="S305" s="1614"/>
      <c r="T305" s="1615"/>
      <c r="U305" s="1615"/>
      <c r="V305" s="1615"/>
      <c r="W305" s="1615"/>
    </row>
    <row r="306" spans="2:23" s="1602" customFormat="1" ht="15.2" customHeight="1">
      <c r="B306" s="3424"/>
      <c r="C306" s="1623">
        <v>40560</v>
      </c>
      <c r="D306" s="1624" t="s">
        <v>426</v>
      </c>
      <c r="E306" s="3416"/>
      <c r="F306" s="1625" t="s">
        <v>672</v>
      </c>
      <c r="G306" s="1626">
        <v>2</v>
      </c>
      <c r="H306" s="1627">
        <v>0</v>
      </c>
      <c r="I306" s="1628">
        <f>+H306*G306</f>
        <v>0</v>
      </c>
      <c r="J306" s="3428"/>
      <c r="K306" s="3435"/>
      <c r="L306" s="1629"/>
      <c r="M306" s="3351"/>
      <c r="N306" s="1630"/>
      <c r="O306" s="1631"/>
      <c r="P306" s="1612"/>
      <c r="Q306" s="1613"/>
      <c r="R306" s="1613"/>
      <c r="S306" s="1614"/>
      <c r="T306" s="1615"/>
      <c r="U306" s="1615"/>
      <c r="V306" s="1615"/>
      <c r="W306" s="1615"/>
    </row>
    <row r="307" spans="2:23" s="1602" customFormat="1" ht="15.2" customHeight="1">
      <c r="B307" s="3424"/>
      <c r="C307" s="1632">
        <v>40560</v>
      </c>
      <c r="D307" s="1633" t="s">
        <v>426</v>
      </c>
      <c r="E307" s="3416"/>
      <c r="F307" s="1634" t="s">
        <v>673</v>
      </c>
      <c r="G307" s="1635">
        <v>8</v>
      </c>
      <c r="H307" s="1636">
        <v>0</v>
      </c>
      <c r="I307" s="1637">
        <f>+H307*G307</f>
        <v>0</v>
      </c>
      <c r="J307" s="3376">
        <f>+I307+I308</f>
        <v>0</v>
      </c>
      <c r="K307" s="3363">
        <f>+J307*0.19</f>
        <v>0</v>
      </c>
      <c r="L307" s="1629"/>
      <c r="M307" s="3351">
        <f>+K307+J307</f>
        <v>0</v>
      </c>
      <c r="N307" s="1610"/>
      <c r="O307" s="1611"/>
      <c r="P307" s="1612"/>
      <c r="Q307" s="1613"/>
      <c r="R307" s="1613"/>
      <c r="S307" s="1614"/>
      <c r="T307" s="1615"/>
      <c r="U307" s="1615"/>
      <c r="V307" s="1615"/>
      <c r="W307" s="1615"/>
    </row>
    <row r="308" spans="2:23" s="1602" customFormat="1" ht="15.2" customHeight="1" thickBot="1">
      <c r="B308" s="3425"/>
      <c r="C308" s="1632">
        <v>40560</v>
      </c>
      <c r="D308" s="1633" t="s">
        <v>426</v>
      </c>
      <c r="E308" s="3416"/>
      <c r="F308" s="1634" t="s">
        <v>674</v>
      </c>
      <c r="G308" s="1635">
        <v>2</v>
      </c>
      <c r="H308" s="1636">
        <v>0</v>
      </c>
      <c r="I308" s="1637">
        <f>+H308*G308</f>
        <v>0</v>
      </c>
      <c r="J308" s="3376"/>
      <c r="K308" s="3363"/>
      <c r="L308" s="1629"/>
      <c r="M308" s="3351"/>
      <c r="N308" s="1610"/>
      <c r="O308" s="1638"/>
      <c r="P308" s="1612"/>
      <c r="Q308" s="1613"/>
      <c r="R308" s="1613"/>
      <c r="S308" s="1614"/>
      <c r="T308" s="1615"/>
      <c r="U308" s="1615"/>
      <c r="V308" s="1615"/>
      <c r="W308" s="1615"/>
    </row>
    <row r="309" spans="2:23" s="1602" customFormat="1" ht="15.2" customHeight="1" thickBot="1">
      <c r="B309" s="3412" t="s">
        <v>428</v>
      </c>
      <c r="C309" s="1639">
        <v>40585</v>
      </c>
      <c r="D309" s="1640" t="s">
        <v>573</v>
      </c>
      <c r="E309" s="1641" t="s">
        <v>574</v>
      </c>
      <c r="F309" s="1642" t="s">
        <v>575</v>
      </c>
      <c r="G309" s="1643">
        <v>1</v>
      </c>
      <c r="H309" s="1644">
        <v>0</v>
      </c>
      <c r="I309" s="1645">
        <f>+Q309/N313</f>
        <v>61.170608413070944</v>
      </c>
      <c r="J309" s="1646">
        <f>+I309</f>
        <v>61.170608413070944</v>
      </c>
      <c r="K309" s="1647">
        <f>+J309*0.19</f>
        <v>11.62241559848348</v>
      </c>
      <c r="L309" s="1647"/>
      <c r="M309" s="1648">
        <f>+K309+J309</f>
        <v>72.793024011554422</v>
      </c>
      <c r="N309" s="1649" t="s">
        <v>190</v>
      </c>
      <c r="O309" s="1650"/>
      <c r="P309" s="1651">
        <f>+G309*Q309</f>
        <v>169.41199999999998</v>
      </c>
      <c r="Q309" s="1652">
        <f>(1008.0014/1.19)*(1-0.8)</f>
        <v>169.41199999999998</v>
      </c>
      <c r="R309" s="1652"/>
      <c r="S309" s="1653">
        <f>+M309*N313</f>
        <v>201.60027999999997</v>
      </c>
      <c r="T309" s="1615"/>
      <c r="U309" s="1615"/>
      <c r="V309" s="1615"/>
      <c r="W309" s="1615"/>
    </row>
    <row r="310" spans="2:23" s="1602" customFormat="1" ht="15.2" customHeight="1" thickBot="1">
      <c r="B310" s="3413"/>
      <c r="C310" s="1654">
        <v>40593</v>
      </c>
      <c r="D310" s="1655" t="s">
        <v>573</v>
      </c>
      <c r="E310" s="1656" t="s">
        <v>579</v>
      </c>
      <c r="F310" s="1657" t="s">
        <v>575</v>
      </c>
      <c r="G310" s="1658">
        <v>1</v>
      </c>
      <c r="H310" s="1659">
        <v>0</v>
      </c>
      <c r="I310" s="1660">
        <v>0</v>
      </c>
      <c r="J310" s="1661">
        <v>0</v>
      </c>
      <c r="K310" s="1662">
        <v>0</v>
      </c>
      <c r="L310" s="1662"/>
      <c r="M310" s="1663">
        <v>0</v>
      </c>
      <c r="N310" s="1649" t="s">
        <v>190</v>
      </c>
      <c r="O310" s="1650"/>
      <c r="P310" s="1651">
        <f>+G310*Q310</f>
        <v>0</v>
      </c>
      <c r="Q310" s="1613"/>
      <c r="R310" s="1613"/>
      <c r="S310" s="1614"/>
      <c r="T310" s="1615"/>
      <c r="U310" s="1615"/>
      <c r="V310" s="1615"/>
      <c r="W310" s="1615"/>
    </row>
    <row r="311" spans="2:23" s="1602" customFormat="1" ht="15.2" customHeight="1">
      <c r="B311" s="3413"/>
      <c r="C311" s="1616">
        <v>40597</v>
      </c>
      <c r="D311" s="1617" t="s">
        <v>573</v>
      </c>
      <c r="E311" s="3368" t="s">
        <v>580</v>
      </c>
      <c r="F311" s="1664" t="s">
        <v>575</v>
      </c>
      <c r="G311" s="1665">
        <v>1</v>
      </c>
      <c r="H311" s="1620">
        <f>+S311</f>
        <v>257.49294915655378</v>
      </c>
      <c r="I311" s="1621">
        <f t="shared" ref="I311:I330" si="155">+H311*G311</f>
        <v>257.49294915655378</v>
      </c>
      <c r="J311" s="3375">
        <f>SUM(I311:I313)</f>
        <v>734.94736331073318</v>
      </c>
      <c r="K311" s="3378">
        <f>+J311*0.19</f>
        <v>139.6399990290393</v>
      </c>
      <c r="L311" s="1666"/>
      <c r="M311" s="3350">
        <f>+K311+J311</f>
        <v>874.58736233977243</v>
      </c>
      <c r="N311" s="1667" t="s">
        <v>581</v>
      </c>
      <c r="O311" s="1668">
        <f>SUM(P311:P313)</f>
        <v>2035.4367226890756</v>
      </c>
      <c r="P311" s="1669">
        <f>+G311*Q311</f>
        <v>713.12672268907568</v>
      </c>
      <c r="Q311" s="1652">
        <f>(883.98/1.19)*(1-0.04)</f>
        <v>713.12672268907568</v>
      </c>
      <c r="R311" s="1652"/>
      <c r="S311" s="1670">
        <f>+Q311/$N$313</f>
        <v>257.49294915655378</v>
      </c>
      <c r="T311" s="1671">
        <f>+S311+S312+S313</f>
        <v>284.41838696121164</v>
      </c>
      <c r="U311" s="1671">
        <f>+T311*0.19</f>
        <v>54.03949352263021</v>
      </c>
      <c r="V311" s="1671">
        <f>+U311+T311</f>
        <v>338.45788048384185</v>
      </c>
    </row>
    <row r="312" spans="2:23" s="1602" customFormat="1" ht="15.2" customHeight="1">
      <c r="B312" s="3413"/>
      <c r="C312" s="1632">
        <v>40597</v>
      </c>
      <c r="D312" s="1633" t="s">
        <v>573</v>
      </c>
      <c r="E312" s="3369"/>
      <c r="F312" s="1672" t="s">
        <v>510</v>
      </c>
      <c r="G312" s="1673">
        <v>19</v>
      </c>
      <c r="H312" s="1636">
        <f>+S312</f>
        <v>18.393211771077812</v>
      </c>
      <c r="I312" s="1637">
        <f t="shared" si="155"/>
        <v>349.47102365047846</v>
      </c>
      <c r="J312" s="3376"/>
      <c r="K312" s="3379"/>
      <c r="L312" s="1674"/>
      <c r="M312" s="3351"/>
      <c r="N312" s="1675"/>
      <c r="O312" s="1676">
        <f>+O311*0.19</f>
        <v>386.73297731092435</v>
      </c>
      <c r="P312" s="1677">
        <f>+G312*Q312</f>
        <v>967.8599999999999</v>
      </c>
      <c r="Q312" s="1652">
        <f>50.94*(1-0)</f>
        <v>50.94</v>
      </c>
      <c r="R312" s="1652"/>
      <c r="S312" s="1670">
        <f>+Q312/$N$313</f>
        <v>18.393211771077812</v>
      </c>
      <c r="T312" s="1671"/>
      <c r="U312" s="1671"/>
      <c r="V312" s="1671"/>
    </row>
    <row r="313" spans="2:23" s="1602" customFormat="1" ht="15.2" customHeight="1" thickBot="1">
      <c r="B313" s="3413"/>
      <c r="C313" s="1654">
        <v>40597</v>
      </c>
      <c r="D313" s="1655" t="s">
        <v>573</v>
      </c>
      <c r="E313" s="3420"/>
      <c r="F313" s="1678" t="s">
        <v>511</v>
      </c>
      <c r="G313" s="1679">
        <v>15</v>
      </c>
      <c r="H313" s="1659">
        <f>+S313</f>
        <v>8.5322260335800681</v>
      </c>
      <c r="I313" s="1660">
        <f t="shared" si="155"/>
        <v>127.98339050370102</v>
      </c>
      <c r="J313" s="3377"/>
      <c r="K313" s="3380"/>
      <c r="L313" s="1662"/>
      <c r="M313" s="3352"/>
      <c r="N313" s="1680">
        <f>(2.769+2.77)/2</f>
        <v>2.7694999999999999</v>
      </c>
      <c r="O313" s="1681">
        <f>+O312+O311</f>
        <v>2422.1696999999999</v>
      </c>
      <c r="P313" s="1682">
        <f>+G313*Q313</f>
        <v>354.45</v>
      </c>
      <c r="Q313" s="1652">
        <f>23.63*(1-0)</f>
        <v>23.63</v>
      </c>
      <c r="R313" s="1652"/>
      <c r="S313" s="1670">
        <f>+Q313/$N$313</f>
        <v>8.5322260335800681</v>
      </c>
      <c r="T313" s="1671"/>
      <c r="U313" s="1671"/>
      <c r="V313" s="1671"/>
    </row>
    <row r="314" spans="2:23" s="1602" customFormat="1" ht="15.2" customHeight="1">
      <c r="B314" s="3413"/>
      <c r="C314" s="1632">
        <v>40600</v>
      </c>
      <c r="D314" s="1633" t="s">
        <v>426</v>
      </c>
      <c r="E314" s="3368" t="s">
        <v>582</v>
      </c>
      <c r="F314" s="1657" t="s">
        <v>583</v>
      </c>
      <c r="G314" s="1683">
        <v>8</v>
      </c>
      <c r="H314" s="1636">
        <f>380/(1.19)</f>
        <v>319.32773109243698</v>
      </c>
      <c r="I314" s="1637">
        <f t="shared" si="155"/>
        <v>2554.6218487394958</v>
      </c>
      <c r="J314" s="3421">
        <f>SUM(I314:I317)</f>
        <v>3831.9327731092435</v>
      </c>
      <c r="K314" s="3381">
        <f>+J314*0.19</f>
        <v>728.06722689075627</v>
      </c>
      <c r="L314" s="1629"/>
      <c r="M314" s="3353">
        <f>+K314+J314</f>
        <v>4560</v>
      </c>
      <c r="N314" s="1667" t="s">
        <v>584</v>
      </c>
      <c r="O314" s="1668">
        <f>SUM(P314:P317)</f>
        <v>10612.53781512605</v>
      </c>
      <c r="P314" s="1684">
        <f>+I314*N317</f>
        <v>7075.0252100840335</v>
      </c>
      <c r="Q314" s="1685">
        <v>380</v>
      </c>
      <c r="R314" s="1685"/>
      <c r="S314" s="1686"/>
      <c r="T314" s="1671"/>
      <c r="U314" s="1671"/>
      <c r="V314" s="1671"/>
    </row>
    <row r="315" spans="2:23" s="1602" customFormat="1" ht="15.2" customHeight="1">
      <c r="B315" s="3413"/>
      <c r="C315" s="1632">
        <v>40600</v>
      </c>
      <c r="D315" s="1633" t="s">
        <v>426</v>
      </c>
      <c r="E315" s="3369"/>
      <c r="F315" s="1657" t="s">
        <v>585</v>
      </c>
      <c r="G315" s="1683">
        <v>4</v>
      </c>
      <c r="H315" s="1636">
        <f>+H314</f>
        <v>319.32773109243698</v>
      </c>
      <c r="I315" s="1637">
        <f t="shared" si="155"/>
        <v>1277.3109243697479</v>
      </c>
      <c r="J315" s="3421"/>
      <c r="K315" s="3381"/>
      <c r="L315" s="1629"/>
      <c r="M315" s="3353"/>
      <c r="N315" s="1675"/>
      <c r="O315" s="1676">
        <f>+O314*0.19</f>
        <v>2016.3821848739497</v>
      </c>
      <c r="P315" s="1684">
        <f>+I315*N317</f>
        <v>3537.5126050420167</v>
      </c>
      <c r="Q315" s="1685">
        <v>380</v>
      </c>
      <c r="R315" s="1685"/>
      <c r="S315" s="1686"/>
      <c r="T315" s="1671"/>
      <c r="U315" s="1671"/>
      <c r="V315" s="1671"/>
    </row>
    <row r="316" spans="2:23" s="1602" customFormat="1" ht="15.2" customHeight="1">
      <c r="B316" s="3413"/>
      <c r="C316" s="1687" t="s">
        <v>536</v>
      </c>
      <c r="D316" s="1633" t="s">
        <v>426</v>
      </c>
      <c r="E316" s="3369"/>
      <c r="F316" s="1672" t="s">
        <v>514</v>
      </c>
      <c r="G316" s="1688">
        <v>0</v>
      </c>
      <c r="H316" s="1636">
        <f>25/(1.19)</f>
        <v>21.008403361344538</v>
      </c>
      <c r="I316" s="1637">
        <f t="shared" si="155"/>
        <v>0</v>
      </c>
      <c r="J316" s="3421"/>
      <c r="K316" s="3381"/>
      <c r="L316" s="1629"/>
      <c r="M316" s="3353"/>
      <c r="N316" s="1689"/>
      <c r="O316" s="1690">
        <f>+O315+O314</f>
        <v>12628.92</v>
      </c>
      <c r="P316" s="1684">
        <f>+I316*N317</f>
        <v>0</v>
      </c>
      <c r="Q316" s="1685">
        <v>15</v>
      </c>
      <c r="R316" s="1685"/>
      <c r="S316" s="1686"/>
      <c r="T316" s="1671"/>
      <c r="U316" s="1671"/>
      <c r="V316" s="1671"/>
    </row>
    <row r="317" spans="2:23" s="1602" customFormat="1" ht="15.2" customHeight="1" thickBot="1">
      <c r="B317" s="3414"/>
      <c r="C317" s="1691" t="s">
        <v>536</v>
      </c>
      <c r="D317" s="1655" t="s">
        <v>426</v>
      </c>
      <c r="E317" s="3420"/>
      <c r="F317" s="1678" t="s">
        <v>515</v>
      </c>
      <c r="G317" s="1692">
        <v>0</v>
      </c>
      <c r="H317" s="1659">
        <f>15/(1.19)</f>
        <v>12.605042016806724</v>
      </c>
      <c r="I317" s="1660">
        <f t="shared" si="155"/>
        <v>0</v>
      </c>
      <c r="J317" s="3422"/>
      <c r="K317" s="3382"/>
      <c r="L317" s="1693"/>
      <c r="M317" s="3354"/>
      <c r="N317" s="1680">
        <f>(2.769+2.77)/2</f>
        <v>2.7694999999999999</v>
      </c>
      <c r="O317" s="1694"/>
      <c r="P317" s="1695">
        <f>+I317*N317</f>
        <v>0</v>
      </c>
      <c r="Q317" s="1685">
        <v>25</v>
      </c>
      <c r="R317" s="1685"/>
      <c r="S317" s="1686"/>
      <c r="T317" s="1671"/>
      <c r="U317" s="1671"/>
      <c r="V317" s="1671"/>
    </row>
    <row r="318" spans="2:23" s="1602" customFormat="1" ht="15.2" customHeight="1">
      <c r="B318" s="3412" t="s">
        <v>438</v>
      </c>
      <c r="C318" s="1616">
        <v>40639</v>
      </c>
      <c r="D318" s="1617" t="s">
        <v>573</v>
      </c>
      <c r="E318" s="3368" t="s">
        <v>586</v>
      </c>
      <c r="F318" s="1664" t="s">
        <v>575</v>
      </c>
      <c r="G318" s="1665">
        <v>8</v>
      </c>
      <c r="H318" s="1620">
        <f>+S318</f>
        <v>248.85528073659506</v>
      </c>
      <c r="I318" s="1621">
        <f t="shared" si="155"/>
        <v>1990.8422458927605</v>
      </c>
      <c r="J318" s="3375">
        <f>SUM(I318:I320)</f>
        <v>2750.0695432388516</v>
      </c>
      <c r="K318" s="3378">
        <f>+J318*0.18</f>
        <v>495.01251778299326</v>
      </c>
      <c r="L318" s="1666"/>
      <c r="M318" s="3350">
        <f>+K318+J318</f>
        <v>3245.0820610218448</v>
      </c>
      <c r="N318" s="1667" t="s">
        <v>587</v>
      </c>
      <c r="O318" s="1668">
        <f>SUM(P318:P320)+0.02</f>
        <v>7616.3376000000007</v>
      </c>
      <c r="P318" s="1669">
        <f>+G318*Q318</f>
        <v>5513.6376</v>
      </c>
      <c r="Q318" s="1696">
        <f>ROUND((883.98/1.18)*(1-0.08),4)</f>
        <v>689.2047</v>
      </c>
      <c r="R318" s="1652"/>
      <c r="S318" s="1670">
        <f>+Q318/$N$313</f>
        <v>248.85528073659506</v>
      </c>
      <c r="T318" s="1671">
        <f>+S318+S319+S320</f>
        <v>275.78071854125295</v>
      </c>
      <c r="U318" s="1671">
        <f>+T318*0.19</f>
        <v>52.398336522838065</v>
      </c>
      <c r="V318" s="1671">
        <f>+U318+T318</f>
        <v>328.17905506409102</v>
      </c>
    </row>
    <row r="319" spans="2:23" s="1602" customFormat="1" ht="15.2" customHeight="1">
      <c r="B319" s="3413"/>
      <c r="C319" s="1632">
        <v>40639</v>
      </c>
      <c r="D319" s="1633" t="s">
        <v>573</v>
      </c>
      <c r="E319" s="3369"/>
      <c r="F319" s="1672" t="s">
        <v>510</v>
      </c>
      <c r="G319" s="1673">
        <f>8+24</f>
        <v>32</v>
      </c>
      <c r="H319" s="1636">
        <f>+S319</f>
        <v>18.393211771077812</v>
      </c>
      <c r="I319" s="1637">
        <f t="shared" si="155"/>
        <v>588.58277667448999</v>
      </c>
      <c r="J319" s="3376"/>
      <c r="K319" s="3379"/>
      <c r="L319" s="1674"/>
      <c r="M319" s="3351"/>
      <c r="N319" s="1675"/>
      <c r="O319" s="1676">
        <f>+O318*0.18</f>
        <v>1370.9407680000002</v>
      </c>
      <c r="P319" s="1677">
        <f>+G319*Q319</f>
        <v>1630.08</v>
      </c>
      <c r="Q319" s="1652">
        <f>50.94*(1-0)</f>
        <v>50.94</v>
      </c>
      <c r="R319" s="1652"/>
      <c r="S319" s="1670">
        <f>+Q319/$N$313</f>
        <v>18.393211771077812</v>
      </c>
      <c r="T319" s="1671"/>
      <c r="U319" s="1671"/>
      <c r="V319" s="1671"/>
    </row>
    <row r="320" spans="2:23" s="1602" customFormat="1" ht="15.2" customHeight="1" thickBot="1">
      <c r="B320" s="3413"/>
      <c r="C320" s="1654">
        <v>40639</v>
      </c>
      <c r="D320" s="1655" t="s">
        <v>573</v>
      </c>
      <c r="E320" s="3420"/>
      <c r="F320" s="1678" t="s">
        <v>511</v>
      </c>
      <c r="G320" s="1679">
        <f>8+12</f>
        <v>20</v>
      </c>
      <c r="H320" s="1659">
        <f>+S320</f>
        <v>8.5322260335800681</v>
      </c>
      <c r="I320" s="1660">
        <f t="shared" si="155"/>
        <v>170.64452067160136</v>
      </c>
      <c r="J320" s="3377"/>
      <c r="K320" s="3380"/>
      <c r="L320" s="1662"/>
      <c r="M320" s="3352"/>
      <c r="N320" s="1680">
        <f>(2.769+2.77)/2</f>
        <v>2.7694999999999999</v>
      </c>
      <c r="O320" s="1681">
        <f>+O319+O318</f>
        <v>8987.2783680000011</v>
      </c>
      <c r="P320" s="1682">
        <f>+G320*Q320</f>
        <v>472.59999999999997</v>
      </c>
      <c r="Q320" s="1652">
        <f>23.63*(1-0)</f>
        <v>23.63</v>
      </c>
      <c r="R320" s="1652"/>
      <c r="S320" s="1670">
        <f>+Q320/$N$313</f>
        <v>8.5322260335800681</v>
      </c>
      <c r="T320" s="1671"/>
      <c r="U320" s="1671"/>
      <c r="V320" s="1671"/>
    </row>
    <row r="321" spans="2:22" s="1602" customFormat="1" ht="15.2" customHeight="1">
      <c r="B321" s="3413"/>
      <c r="C321" s="1632">
        <v>40640</v>
      </c>
      <c r="D321" s="1633" t="s">
        <v>426</v>
      </c>
      <c r="E321" s="3368" t="s">
        <v>588</v>
      </c>
      <c r="F321" s="1697" t="s">
        <v>675</v>
      </c>
      <c r="G321" s="1683">
        <v>8</v>
      </c>
      <c r="H321" s="1636">
        <f>380/(1.19)</f>
        <v>319.32773109243698</v>
      </c>
      <c r="I321" s="1637">
        <f t="shared" si="155"/>
        <v>2554.6218487394958</v>
      </c>
      <c r="J321" s="3421">
        <f>SUM(I321:I324)</f>
        <v>2554.6218487394958</v>
      </c>
      <c r="K321" s="3381">
        <f>+J321*0.18</f>
        <v>459.83193277310926</v>
      </c>
      <c r="L321" s="1629"/>
      <c r="M321" s="3353">
        <f>+K321+J321</f>
        <v>3014.453781512605</v>
      </c>
      <c r="N321" s="1667" t="s">
        <v>584</v>
      </c>
      <c r="O321" s="1668">
        <f>SUM(P321:P324)</f>
        <v>7075.0252100840335</v>
      </c>
      <c r="P321" s="1684">
        <f>+I321*N324</f>
        <v>7075.0252100840335</v>
      </c>
      <c r="Q321" s="1685">
        <v>380</v>
      </c>
      <c r="R321" s="1685"/>
      <c r="S321" s="1686"/>
      <c r="T321" s="1671"/>
      <c r="U321" s="1671"/>
      <c r="V321" s="1671"/>
    </row>
    <row r="322" spans="2:22" s="1602" customFormat="1" ht="15.2" customHeight="1">
      <c r="B322" s="3413"/>
      <c r="C322" s="1687" t="s">
        <v>536</v>
      </c>
      <c r="D322" s="1633" t="s">
        <v>426</v>
      </c>
      <c r="E322" s="3369"/>
      <c r="F322" s="1657" t="s">
        <v>585</v>
      </c>
      <c r="G322" s="1683">
        <v>0</v>
      </c>
      <c r="H322" s="1636">
        <f>+H321</f>
        <v>319.32773109243698</v>
      </c>
      <c r="I322" s="1637">
        <f t="shared" si="155"/>
        <v>0</v>
      </c>
      <c r="J322" s="3421"/>
      <c r="K322" s="3381"/>
      <c r="L322" s="1629"/>
      <c r="M322" s="3353"/>
      <c r="N322" s="1675"/>
      <c r="O322" s="1676">
        <f>+O321*0.18</f>
        <v>1273.504537815126</v>
      </c>
      <c r="P322" s="1684">
        <f>+I322*N324</f>
        <v>0</v>
      </c>
      <c r="Q322" s="1685">
        <v>380</v>
      </c>
      <c r="R322" s="1685"/>
      <c r="S322" s="1686"/>
      <c r="T322" s="1671"/>
      <c r="U322" s="1671"/>
      <c r="V322" s="1671"/>
    </row>
    <row r="323" spans="2:22" s="1602" customFormat="1" ht="15.2" customHeight="1">
      <c r="B323" s="3413"/>
      <c r="C323" s="1687" t="s">
        <v>536</v>
      </c>
      <c r="D323" s="1633" t="s">
        <v>426</v>
      </c>
      <c r="E323" s="3369"/>
      <c r="F323" s="1672" t="s">
        <v>514</v>
      </c>
      <c r="G323" s="1688">
        <v>0</v>
      </c>
      <c r="H323" s="1636">
        <f>25/(1.19)</f>
        <v>21.008403361344538</v>
      </c>
      <c r="I323" s="1637">
        <f t="shared" si="155"/>
        <v>0</v>
      </c>
      <c r="J323" s="3421"/>
      <c r="K323" s="3381"/>
      <c r="L323" s="1629"/>
      <c r="M323" s="3353"/>
      <c r="N323" s="1689"/>
      <c r="O323" s="1690">
        <f>+O322+O321</f>
        <v>8348.5297478991597</v>
      </c>
      <c r="P323" s="1684">
        <f>+I323*N324</f>
        <v>0</v>
      </c>
      <c r="Q323" s="1685">
        <v>15</v>
      </c>
      <c r="R323" s="1685"/>
      <c r="S323" s="1686"/>
      <c r="T323" s="1671"/>
      <c r="U323" s="1671"/>
      <c r="V323" s="1671"/>
    </row>
    <row r="324" spans="2:22" s="1602" customFormat="1" ht="15.2" customHeight="1" thickBot="1">
      <c r="B324" s="3414"/>
      <c r="C324" s="1691" t="s">
        <v>536</v>
      </c>
      <c r="D324" s="1655" t="s">
        <v>426</v>
      </c>
      <c r="E324" s="3420"/>
      <c r="F324" s="1678" t="s">
        <v>515</v>
      </c>
      <c r="G324" s="1692">
        <v>0</v>
      </c>
      <c r="H324" s="1659">
        <f>15/(1.19)</f>
        <v>12.605042016806724</v>
      </c>
      <c r="I324" s="1660">
        <f t="shared" si="155"/>
        <v>0</v>
      </c>
      <c r="J324" s="3422"/>
      <c r="K324" s="3382"/>
      <c r="L324" s="1693"/>
      <c r="M324" s="3354"/>
      <c r="N324" s="1680">
        <f>(2.769+2.77)/2</f>
        <v>2.7694999999999999</v>
      </c>
      <c r="O324" s="1694"/>
      <c r="P324" s="1695">
        <f>+I324*N324</f>
        <v>0</v>
      </c>
      <c r="Q324" s="1685">
        <v>25</v>
      </c>
      <c r="R324" s="1685"/>
      <c r="S324" s="1686"/>
      <c r="T324" s="1671"/>
      <c r="U324" s="1671"/>
      <c r="V324" s="1671"/>
    </row>
    <row r="325" spans="2:22" s="1602" customFormat="1" ht="15.2" customHeight="1">
      <c r="B325" s="3417" t="s">
        <v>589</v>
      </c>
      <c r="C325" s="1616">
        <v>40724</v>
      </c>
      <c r="D325" s="1617" t="s">
        <v>573</v>
      </c>
      <c r="E325" s="3330" t="s">
        <v>590</v>
      </c>
      <c r="F325" s="1664" t="s">
        <v>591</v>
      </c>
      <c r="G325" s="1665">
        <v>2</v>
      </c>
      <c r="H325" s="1620">
        <f t="shared" ref="H325:H330" si="156">+S325</f>
        <v>302.59118127381601</v>
      </c>
      <c r="I325" s="1621">
        <f t="shared" si="155"/>
        <v>605.18236254763201</v>
      </c>
      <c r="J325" s="3375">
        <f>SUM(I325:I327)</f>
        <v>4013.1446198512076</v>
      </c>
      <c r="K325" s="3378">
        <f>+J325*0.18</f>
        <v>722.36603157321736</v>
      </c>
      <c r="L325" s="1666"/>
      <c r="M325" s="3350">
        <f>+K325+J325</f>
        <v>4735.5106514244253</v>
      </c>
      <c r="N325" s="1667" t="s">
        <v>592</v>
      </c>
      <c r="O325" s="1668">
        <f>SUM(P325:P327)+0.02</f>
        <v>11058.240000000002</v>
      </c>
      <c r="P325" s="1669">
        <f t="shared" ref="P325:P330" si="157">+G325*Q325</f>
        <v>1667.58</v>
      </c>
      <c r="Q325" s="1698">
        <v>833.79</v>
      </c>
      <c r="R325" s="1652"/>
      <c r="S325" s="1670">
        <f>+Q325/$N$327</f>
        <v>302.59118127381601</v>
      </c>
      <c r="T325" s="1671">
        <f>+S325+S326+S327</f>
        <v>711.54781346398124</v>
      </c>
      <c r="U325" s="1671">
        <f>+T325*0.19</f>
        <v>135.19408455815645</v>
      </c>
      <c r="V325" s="1671">
        <f>+U325+T325</f>
        <v>846.74189802213766</v>
      </c>
    </row>
    <row r="326" spans="2:22" s="1602" customFormat="1" ht="15.2" customHeight="1">
      <c r="B326" s="3418"/>
      <c r="C326" s="1632">
        <v>40724</v>
      </c>
      <c r="D326" s="1633" t="s">
        <v>573</v>
      </c>
      <c r="E326" s="3331"/>
      <c r="F326" s="1699" t="s">
        <v>593</v>
      </c>
      <c r="G326" s="1700">
        <v>8</v>
      </c>
      <c r="H326" s="1636">
        <f t="shared" si="156"/>
        <v>340.80203229903833</v>
      </c>
      <c r="I326" s="1637">
        <f t="shared" si="155"/>
        <v>2726.4162583923066</v>
      </c>
      <c r="J326" s="3376"/>
      <c r="K326" s="3379"/>
      <c r="L326" s="1674"/>
      <c r="M326" s="3351"/>
      <c r="N326" s="1675"/>
      <c r="O326" s="1676">
        <f>+O325*0.18</f>
        <v>1990.4832000000001</v>
      </c>
      <c r="P326" s="1677">
        <f t="shared" si="157"/>
        <v>7512.64</v>
      </c>
      <c r="Q326" s="1698">
        <v>939.08</v>
      </c>
      <c r="R326" s="1652"/>
      <c r="S326" s="1670">
        <f>+Q326/$N$327</f>
        <v>340.80203229903833</v>
      </c>
      <c r="T326" s="1671"/>
      <c r="U326" s="1671"/>
      <c r="V326" s="1671"/>
    </row>
    <row r="327" spans="2:22" s="1602" customFormat="1" ht="15.2" customHeight="1" thickBot="1">
      <c r="B327" s="3418"/>
      <c r="C327" s="1654">
        <v>40725</v>
      </c>
      <c r="D327" s="1655" t="s">
        <v>573</v>
      </c>
      <c r="E327" s="3342"/>
      <c r="F327" s="1678" t="s">
        <v>594</v>
      </c>
      <c r="G327" s="1679">
        <v>10</v>
      </c>
      <c r="H327" s="1659">
        <f t="shared" si="156"/>
        <v>68.15459989112685</v>
      </c>
      <c r="I327" s="1660">
        <f t="shared" si="155"/>
        <v>681.5459989112685</v>
      </c>
      <c r="J327" s="3377"/>
      <c r="K327" s="3380"/>
      <c r="L327" s="1662"/>
      <c r="M327" s="3352"/>
      <c r="N327" s="1680">
        <f>(2.755+2.756)/2</f>
        <v>2.7554999999999996</v>
      </c>
      <c r="O327" s="1681">
        <f>+O326+O325</f>
        <v>13048.723200000002</v>
      </c>
      <c r="P327" s="1682">
        <f t="shared" si="157"/>
        <v>1878</v>
      </c>
      <c r="Q327" s="1698">
        <f>187.8*(1-0)</f>
        <v>187.8</v>
      </c>
      <c r="R327" s="1652"/>
      <c r="S327" s="1670">
        <f>+Q327/$N$327</f>
        <v>68.15459989112685</v>
      </c>
      <c r="T327" s="1671"/>
      <c r="U327" s="1671"/>
      <c r="V327" s="1671"/>
    </row>
    <row r="328" spans="2:22" s="1602" customFormat="1" ht="15.2" customHeight="1">
      <c r="B328" s="3418"/>
      <c r="C328" s="1632">
        <v>40773</v>
      </c>
      <c r="D328" s="1617" t="s">
        <v>573</v>
      </c>
      <c r="E328" s="3368" t="s">
        <v>595</v>
      </c>
      <c r="F328" s="1697" t="s">
        <v>683</v>
      </c>
      <c r="G328" s="1683">
        <v>2</v>
      </c>
      <c r="H328" s="1636">
        <f t="shared" si="156"/>
        <v>79.741108503339959</v>
      </c>
      <c r="I328" s="1637">
        <f t="shared" si="155"/>
        <v>159.48221700667992</v>
      </c>
      <c r="J328" s="3421">
        <f>SUM(I328:I331)</f>
        <v>629.73316483119697</v>
      </c>
      <c r="K328" s="3381">
        <f>+J328*0.18</f>
        <v>113.35196966961546</v>
      </c>
      <c r="L328" s="1629"/>
      <c r="M328" s="3353">
        <f>+K328+J328</f>
        <v>743.08513450081239</v>
      </c>
      <c r="N328" s="1667" t="s">
        <v>596</v>
      </c>
      <c r="O328" s="1668">
        <f>SUM(P328:P331)</f>
        <v>1744.0459999999998</v>
      </c>
      <c r="P328" s="1684">
        <f t="shared" si="157"/>
        <v>441.68599999999998</v>
      </c>
      <c r="Q328" s="1685">
        <f>(225.35*0.98)</f>
        <v>220.84299999999999</v>
      </c>
      <c r="R328" s="1685"/>
      <c r="S328" s="1670">
        <f>+Q328/$N$313</f>
        <v>79.741108503339959</v>
      </c>
      <c r="T328" s="1671">
        <f>+S328+S329+S330</f>
        <v>106.66654630799785</v>
      </c>
      <c r="U328" s="1671">
        <f>+T328*0.19</f>
        <v>20.266643798519592</v>
      </c>
      <c r="V328" s="1671">
        <f>+U328+T328</f>
        <v>126.93319010651744</v>
      </c>
    </row>
    <row r="329" spans="2:22" s="1602" customFormat="1" ht="15.2" customHeight="1">
      <c r="B329" s="3418"/>
      <c r="C329" s="1632">
        <v>40773</v>
      </c>
      <c r="D329" s="1633" t="s">
        <v>573</v>
      </c>
      <c r="E329" s="3369"/>
      <c r="F329" s="1672" t="s">
        <v>510</v>
      </c>
      <c r="G329" s="1701">
        <v>20</v>
      </c>
      <c r="H329" s="1636">
        <f t="shared" si="156"/>
        <v>18.393211771077812</v>
      </c>
      <c r="I329" s="1637">
        <f t="shared" si="155"/>
        <v>367.86423542155626</v>
      </c>
      <c r="J329" s="3421"/>
      <c r="K329" s="3381"/>
      <c r="L329" s="1629"/>
      <c r="M329" s="3353"/>
      <c r="N329" s="1675"/>
      <c r="O329" s="1676">
        <f>+O328*0.18</f>
        <v>313.92827999999997</v>
      </c>
      <c r="P329" s="1684">
        <f t="shared" si="157"/>
        <v>1018.8</v>
      </c>
      <c r="Q329" s="1685">
        <f>50.94*(1-0)</f>
        <v>50.94</v>
      </c>
      <c r="R329" s="1685"/>
      <c r="S329" s="1670">
        <f>+Q329/$N$313</f>
        <v>18.393211771077812</v>
      </c>
      <c r="T329" s="1671"/>
      <c r="U329" s="1671"/>
      <c r="V329" s="1671"/>
    </row>
    <row r="330" spans="2:22" s="1602" customFormat="1" ht="15.2" customHeight="1">
      <c r="B330" s="3418"/>
      <c r="C330" s="1632">
        <v>40773</v>
      </c>
      <c r="D330" s="1633" t="s">
        <v>573</v>
      </c>
      <c r="E330" s="3369"/>
      <c r="F330" s="1702" t="s">
        <v>511</v>
      </c>
      <c r="G330" s="1673">
        <v>12</v>
      </c>
      <c r="H330" s="1636">
        <f t="shared" si="156"/>
        <v>8.5322260335800681</v>
      </c>
      <c r="I330" s="1637">
        <f t="shared" si="155"/>
        <v>102.38671240296082</v>
      </c>
      <c r="J330" s="3421"/>
      <c r="K330" s="3381"/>
      <c r="L330" s="1629"/>
      <c r="M330" s="3353"/>
      <c r="N330" s="1689"/>
      <c r="O330" s="1690">
        <f>+O329+O328</f>
        <v>2057.9742799999999</v>
      </c>
      <c r="P330" s="1684">
        <f t="shared" si="157"/>
        <v>283.56</v>
      </c>
      <c r="Q330" s="1685">
        <f>23.63*(1-0)</f>
        <v>23.63</v>
      </c>
      <c r="R330" s="1685"/>
      <c r="S330" s="1670">
        <f>+Q330/$N$313</f>
        <v>8.5322260335800681</v>
      </c>
      <c r="T330" s="1671"/>
      <c r="U330" s="1671"/>
      <c r="V330" s="1671"/>
    </row>
    <row r="331" spans="2:22" s="1602" customFormat="1" ht="15.2" customHeight="1" thickBot="1">
      <c r="B331" s="3419"/>
      <c r="C331" s="1691"/>
      <c r="D331" s="1655"/>
      <c r="E331" s="3420"/>
      <c r="F331" s="1703"/>
      <c r="G331" s="1692"/>
      <c r="H331" s="1659"/>
      <c r="I331" s="1660"/>
      <c r="J331" s="3422"/>
      <c r="K331" s="3382"/>
      <c r="L331" s="1693"/>
      <c r="M331" s="3354"/>
      <c r="N331" s="1680">
        <f>(2.737+2.739)/2</f>
        <v>2.738</v>
      </c>
      <c r="O331" s="1694"/>
      <c r="P331" s="1695">
        <f>+I331*N331</f>
        <v>0</v>
      </c>
      <c r="Q331" s="1685">
        <v>25</v>
      </c>
      <c r="R331" s="1685"/>
      <c r="S331" s="1686"/>
      <c r="T331" s="1671"/>
      <c r="U331" s="1671"/>
      <c r="V331" s="1671"/>
    </row>
    <row r="332" spans="2:22" s="1602" customFormat="1" ht="15.2" customHeight="1">
      <c r="B332" s="3429" t="s">
        <v>270</v>
      </c>
      <c r="C332" s="1616">
        <v>40802</v>
      </c>
      <c r="D332" s="1617" t="s">
        <v>224</v>
      </c>
      <c r="E332" s="1211"/>
      <c r="F332" s="1704" t="s">
        <v>684</v>
      </c>
      <c r="G332" s="1665">
        <v>8</v>
      </c>
      <c r="H332" s="1620">
        <v>266.10199999999998</v>
      </c>
      <c r="I332" s="1621">
        <f>+H332*G332</f>
        <v>2128.8159999999998</v>
      </c>
      <c r="J332" s="3375">
        <f>SUM(I332:I334)</f>
        <v>2128.8159999999998</v>
      </c>
      <c r="K332" s="3378">
        <f>+J332*0.18</f>
        <v>383.18687999999997</v>
      </c>
      <c r="L332" s="1666"/>
      <c r="M332" s="3350">
        <f>+K332+J332</f>
        <v>2512.00288</v>
      </c>
      <c r="N332" s="1667" t="s">
        <v>597</v>
      </c>
      <c r="O332" s="1668">
        <f>+J332*N334</f>
        <v>5812.7320879999997</v>
      </c>
      <c r="P332" s="1669">
        <f>+G332*Q332</f>
        <v>0</v>
      </c>
      <c r="Q332" s="1698"/>
      <c r="R332" s="1652"/>
      <c r="S332" s="1670"/>
      <c r="T332" s="1671"/>
      <c r="U332" s="1671"/>
      <c r="V332" s="1671"/>
    </row>
    <row r="333" spans="2:22" s="1602" customFormat="1" ht="15.2" customHeight="1">
      <c r="B333" s="3430"/>
      <c r="C333" s="1687" t="s">
        <v>536</v>
      </c>
      <c r="D333" s="1633"/>
      <c r="E333" s="1705"/>
      <c r="F333" s="1657"/>
      <c r="G333" s="1683">
        <v>0</v>
      </c>
      <c r="H333" s="1636">
        <v>0</v>
      </c>
      <c r="I333" s="1637">
        <f>+H333*G333</f>
        <v>0</v>
      </c>
      <c r="J333" s="3376"/>
      <c r="K333" s="3379"/>
      <c r="L333" s="1674"/>
      <c r="M333" s="3351"/>
      <c r="N333" s="1675"/>
      <c r="O333" s="1676">
        <f>+O332*0.18</f>
        <v>1046.2917758399999</v>
      </c>
      <c r="P333" s="1677">
        <f>+G333*Q333</f>
        <v>0</v>
      </c>
      <c r="Q333" s="1698"/>
      <c r="R333" s="1652"/>
      <c r="S333" s="1670"/>
      <c r="T333" s="1671"/>
      <c r="U333" s="1671"/>
      <c r="V333" s="1671"/>
    </row>
    <row r="334" spans="2:22" s="1602" customFormat="1" ht="15.2" customHeight="1" thickBot="1">
      <c r="B334" s="3431"/>
      <c r="C334" s="1691" t="s">
        <v>536</v>
      </c>
      <c r="D334" s="1655"/>
      <c r="E334" s="1706"/>
      <c r="F334" s="1678"/>
      <c r="G334" s="1692">
        <v>0</v>
      </c>
      <c r="H334" s="1659">
        <v>0</v>
      </c>
      <c r="I334" s="1660">
        <f>+H334*G334</f>
        <v>0</v>
      </c>
      <c r="J334" s="3377"/>
      <c r="K334" s="3380"/>
      <c r="L334" s="1662"/>
      <c r="M334" s="3352"/>
      <c r="N334" s="1680">
        <f>(2.73+2.731)/2</f>
        <v>2.7305000000000001</v>
      </c>
      <c r="O334" s="1681">
        <f>+O333+O332</f>
        <v>6859.0238638399996</v>
      </c>
      <c r="P334" s="1682">
        <f>+G334*Q334</f>
        <v>0</v>
      </c>
      <c r="Q334" s="1698"/>
      <c r="R334" s="1652"/>
      <c r="S334" s="1670"/>
      <c r="T334" s="1671"/>
      <c r="U334" s="1671"/>
      <c r="V334" s="1671"/>
    </row>
    <row r="335" spans="2:22" s="463" customFormat="1" ht="15.2" customHeight="1">
      <c r="B335" s="1707"/>
      <c r="C335" s="1708"/>
      <c r="D335" s="1709"/>
      <c r="E335" s="736"/>
      <c r="F335" s="1709"/>
      <c r="G335" s="1710"/>
      <c r="H335" s="1711"/>
      <c r="I335" s="1712"/>
      <c r="J335" s="1713"/>
      <c r="K335" s="1521"/>
      <c r="L335" s="1521"/>
      <c r="M335" s="1714"/>
      <c r="N335" s="1457"/>
      <c r="O335" s="1524"/>
      <c r="P335" s="1715"/>
      <c r="Q335" s="1716"/>
      <c r="R335" s="1717"/>
      <c r="S335" s="1718"/>
      <c r="T335" s="1560"/>
      <c r="U335" s="1561"/>
      <c r="V335" s="1561"/>
    </row>
    <row r="336" spans="2:22" s="463" customFormat="1" ht="15.2" customHeight="1">
      <c r="B336" s="1707"/>
      <c r="C336" s="1708"/>
      <c r="D336" s="1709"/>
      <c r="E336" s="736"/>
      <c r="F336" s="1709"/>
      <c r="G336" s="1710"/>
      <c r="H336" s="1711"/>
      <c r="I336" s="1719">
        <f>1.18*H328</f>
        <v>94.094508033941153</v>
      </c>
      <c r="J336" s="1719">
        <f>1.18*I328</f>
        <v>188.18901606788231</v>
      </c>
      <c r="K336" s="1521"/>
      <c r="L336" s="1521"/>
      <c r="M336" s="1714"/>
      <c r="N336" s="1457"/>
      <c r="O336" s="1524"/>
      <c r="P336" s="1715"/>
      <c r="Q336" s="1716"/>
      <c r="R336" s="1717"/>
      <c r="S336" s="1718"/>
      <c r="T336" s="1560"/>
      <c r="U336" s="1561"/>
      <c r="V336" s="1561"/>
    </row>
    <row r="337" spans="2:27" s="463" customFormat="1" ht="15.2" customHeight="1">
      <c r="C337" s="1720"/>
      <c r="D337" s="1721"/>
      <c r="F337" s="1722" t="s">
        <v>598</v>
      </c>
      <c r="G337" s="4">
        <f>+G305+G306+G307+G308+G314+G315+G321</f>
        <v>40</v>
      </c>
      <c r="H337" s="1723"/>
      <c r="I337" s="1723"/>
      <c r="J337" s="3373" t="s">
        <v>599</v>
      </c>
      <c r="K337" s="3374"/>
      <c r="L337" s="736"/>
      <c r="M337" s="1724">
        <f>+M339/1.19</f>
        <v>16602.953693118499</v>
      </c>
      <c r="N337" s="1457"/>
      <c r="O337" s="1458"/>
      <c r="P337" s="1725"/>
      <c r="Q337" s="1471"/>
      <c r="R337" s="1471"/>
      <c r="S337" s="1460"/>
      <c r="T337" s="460"/>
      <c r="U337" s="928"/>
      <c r="V337" s="928"/>
      <c r="W337" s="928"/>
    </row>
    <row r="338" spans="2:27" s="463" customFormat="1" ht="15.2" customHeight="1" thickBot="1">
      <c r="C338" s="1726"/>
      <c r="D338" s="1721"/>
      <c r="F338" s="1722" t="s">
        <v>573</v>
      </c>
      <c r="G338" s="4">
        <f>+G309+G310+G311+G318+G325+G326</f>
        <v>21</v>
      </c>
      <c r="H338" s="1723"/>
      <c r="I338" s="1723"/>
      <c r="J338" s="3373" t="s">
        <v>424</v>
      </c>
      <c r="K338" s="3374"/>
      <c r="L338" s="736"/>
      <c r="M338" s="1727">
        <f>+M339-M337</f>
        <v>3154.5612016925152</v>
      </c>
      <c r="N338" s="1457"/>
      <c r="P338" s="1459"/>
      <c r="Q338" s="809"/>
      <c r="R338" s="809"/>
      <c r="S338" s="1728"/>
      <c r="T338" s="460"/>
      <c r="U338" s="928"/>
      <c r="V338" s="928"/>
      <c r="W338" s="928"/>
    </row>
    <row r="339" spans="2:27" s="463" customFormat="1" ht="17.25" thickTop="1" thickBot="1">
      <c r="B339" s="3374"/>
      <c r="C339" s="1726"/>
      <c r="D339" s="1721"/>
      <c r="E339" s="1729"/>
      <c r="F339" s="1730" t="s">
        <v>571</v>
      </c>
      <c r="G339" s="1731">
        <f>+G338+G337</f>
        <v>61</v>
      </c>
      <c r="H339" s="1732" t="s">
        <v>600</v>
      </c>
      <c r="I339" s="1723"/>
      <c r="J339" s="3371" t="s">
        <v>420</v>
      </c>
      <c r="K339" s="3372"/>
      <c r="L339" s="1733"/>
      <c r="M339" s="1734">
        <f>SUM(M308:M334)</f>
        <v>19757.514894811015</v>
      </c>
      <c r="N339" s="1457"/>
      <c r="O339" s="1735"/>
      <c r="P339" s="1736">
        <f>+H318+H319+H320</f>
        <v>275.78071854125295</v>
      </c>
      <c r="Q339" s="1737">
        <f>+P339-H318</f>
        <v>26.925437804657889</v>
      </c>
      <c r="R339" s="1737"/>
      <c r="S339" s="1728"/>
      <c r="T339" s="460"/>
      <c r="U339" s="928"/>
      <c r="V339" s="928"/>
      <c r="W339" s="928"/>
    </row>
    <row r="340" spans="2:27" s="463" customFormat="1">
      <c r="B340" s="3374"/>
      <c r="C340" s="1726"/>
      <c r="D340" s="1721"/>
      <c r="F340" s="928"/>
      <c r="G340" s="4"/>
      <c r="H340" s="1723"/>
      <c r="I340" s="1723"/>
      <c r="J340" s="1738"/>
      <c r="M340" s="1739"/>
      <c r="N340" s="1457"/>
      <c r="P340" s="1459"/>
      <c r="Q340" s="1459">
        <f>+H321-Q339</f>
        <v>292.40229328777912</v>
      </c>
      <c r="R340" s="1459"/>
      <c r="S340" s="1728"/>
      <c r="T340" s="460"/>
      <c r="U340" s="1740"/>
      <c r="V340" s="1741">
        <v>40854</v>
      </c>
      <c r="W340" s="1740"/>
      <c r="X340" s="1742" t="s">
        <v>601</v>
      </c>
      <c r="Y340" s="928"/>
    </row>
    <row r="341" spans="2:27" s="463" customFormat="1" ht="13.5" thickBot="1">
      <c r="B341" s="736"/>
      <c r="C341" s="1726"/>
      <c r="D341" s="1721"/>
      <c r="F341" s="928"/>
      <c r="G341" s="4"/>
      <c r="H341" s="1723"/>
      <c r="I341" s="1723"/>
      <c r="J341" s="1738"/>
      <c r="M341" s="1739"/>
      <c r="N341" s="1457"/>
      <c r="O341" s="1743"/>
      <c r="P341" s="1736"/>
      <c r="Q341" s="1737"/>
      <c r="R341" s="1737"/>
      <c r="S341" s="1728">
        <v>40773</v>
      </c>
      <c r="T341" s="460"/>
      <c r="U341" s="1744" t="s">
        <v>602</v>
      </c>
      <c r="V341" s="1745">
        <v>2.7210000000000001</v>
      </c>
      <c r="W341" s="1540"/>
      <c r="X341" s="1746" t="s">
        <v>603</v>
      </c>
      <c r="Y341" s="1747" t="s">
        <v>604</v>
      </c>
      <c r="Z341" s="4" t="s">
        <v>605</v>
      </c>
    </row>
    <row r="342" spans="2:27" s="463" customFormat="1" ht="13.5" thickBot="1">
      <c r="B342" s="736"/>
      <c r="C342" s="1748" t="s">
        <v>121</v>
      </c>
      <c r="D342" s="1749" t="s">
        <v>83</v>
      </c>
      <c r="E342" s="1450" t="s">
        <v>414</v>
      </c>
      <c r="F342" s="1750" t="s">
        <v>415</v>
      </c>
      <c r="G342" s="1751" t="s">
        <v>82</v>
      </c>
      <c r="H342" s="1752" t="s">
        <v>606</v>
      </c>
      <c r="I342" s="3361" t="s">
        <v>607</v>
      </c>
      <c r="J342" s="3362"/>
      <c r="K342" s="1753" t="s">
        <v>418</v>
      </c>
      <c r="L342" s="1754"/>
      <c r="M342" s="1456" t="s">
        <v>608</v>
      </c>
      <c r="N342" s="1457"/>
      <c r="O342" s="3443" t="s">
        <v>415</v>
      </c>
      <c r="P342" s="3443"/>
      <c r="Q342" s="3443"/>
      <c r="R342" s="1755" t="s">
        <v>609</v>
      </c>
      <c r="S342" s="1756" t="s">
        <v>610</v>
      </c>
      <c r="T342" s="1757" t="s">
        <v>611</v>
      </c>
      <c r="U342" s="1758">
        <v>40773</v>
      </c>
      <c r="V342" s="1742"/>
      <c r="W342" s="1758">
        <v>40886</v>
      </c>
      <c r="X342" s="1742"/>
      <c r="Y342" s="1747" t="s">
        <v>612</v>
      </c>
      <c r="Z342" s="4" t="s">
        <v>613</v>
      </c>
    </row>
    <row r="343" spans="2:27" s="463" customFormat="1" ht="24">
      <c r="B343" s="736"/>
      <c r="C343" s="1759">
        <v>40564</v>
      </c>
      <c r="D343" s="1760" t="s">
        <v>614</v>
      </c>
      <c r="E343" s="3359"/>
      <c r="F343" s="1761" t="s">
        <v>685</v>
      </c>
      <c r="G343" s="1762">
        <v>4</v>
      </c>
      <c r="H343" s="1763">
        <f>170/(1.19)</f>
        <v>142.85714285714286</v>
      </c>
      <c r="I343" s="1764">
        <f>+H343*G343</f>
        <v>571.42857142857144</v>
      </c>
      <c r="J343" s="3366">
        <f>+I343+I344</f>
        <v>630.2521008403362</v>
      </c>
      <c r="K343" s="3436">
        <f>+J343*0.19</f>
        <v>119.74789915966387</v>
      </c>
      <c r="L343" s="1766"/>
      <c r="M343" s="3439">
        <f>+K343+J343</f>
        <v>750.00000000000011</v>
      </c>
      <c r="N343" s="1457"/>
      <c r="O343" s="3444" t="s">
        <v>510</v>
      </c>
      <c r="P343" s="3444"/>
      <c r="Q343" s="3444"/>
      <c r="R343" s="1768">
        <v>28</v>
      </c>
      <c r="S343" s="1769">
        <f>50.94*(1-0)</f>
        <v>50.94</v>
      </c>
      <c r="T343" s="1770">
        <f>+R343*S343</f>
        <v>1426.32</v>
      </c>
      <c r="U343" s="1771">
        <f>+S343/V341</f>
        <v>18.721058434399115</v>
      </c>
      <c r="V343" s="1772">
        <f>+U343*R343</f>
        <v>524.18963616317524</v>
      </c>
      <c r="W343" s="1773">
        <v>21.008400000000002</v>
      </c>
      <c r="X343" s="1774">
        <f>+W343*R343</f>
        <v>588.23520000000008</v>
      </c>
      <c r="Y343" s="1460">
        <f>+X343*V341</f>
        <v>1600.5879792000003</v>
      </c>
      <c r="Z343" s="4">
        <v>27.12</v>
      </c>
      <c r="AA343" s="1728">
        <f>+W343-U343</f>
        <v>2.2873415656008866</v>
      </c>
    </row>
    <row r="344" spans="2:27" s="463" customFormat="1" ht="24.75" thickBot="1">
      <c r="B344" s="736"/>
      <c r="C344" s="1775">
        <v>40564</v>
      </c>
      <c r="D344" s="1776" t="s">
        <v>614</v>
      </c>
      <c r="E344" s="3360"/>
      <c r="F344" s="1777" t="s">
        <v>686</v>
      </c>
      <c r="G344" s="1778">
        <v>1</v>
      </c>
      <c r="H344" s="1779">
        <f>70/(1.19)</f>
        <v>58.82352941176471</v>
      </c>
      <c r="I344" s="1780">
        <f>+H344*G344</f>
        <v>58.82352941176471</v>
      </c>
      <c r="J344" s="3383"/>
      <c r="K344" s="3437"/>
      <c r="L344" s="1781"/>
      <c r="M344" s="3441"/>
      <c r="N344" s="1457"/>
      <c r="O344" s="3445" t="s">
        <v>511</v>
      </c>
      <c r="P344" s="3445"/>
      <c r="Q344" s="3445"/>
      <c r="R344" s="1768">
        <v>18</v>
      </c>
      <c r="S344" s="1769">
        <f>23.63*(1-0)</f>
        <v>23.63</v>
      </c>
      <c r="T344" s="1770">
        <f>+R344*S344</f>
        <v>425.34</v>
      </c>
      <c r="U344" s="1771">
        <f>+S344/V341</f>
        <v>8.6843072399852996</v>
      </c>
      <c r="V344" s="1772">
        <f>+U344*R344</f>
        <v>156.3175303197354</v>
      </c>
      <c r="W344" s="1773">
        <v>13.98</v>
      </c>
      <c r="X344" s="1774">
        <f>+W344*R344</f>
        <v>251.64000000000001</v>
      </c>
      <c r="Y344" s="1460">
        <f>+X344*V341</f>
        <v>684.71244000000002</v>
      </c>
      <c r="Z344" s="4">
        <v>10.17</v>
      </c>
      <c r="AA344" s="1728">
        <f>+W344-U344</f>
        <v>5.2956927600147008</v>
      </c>
    </row>
    <row r="345" spans="2:27" s="463" customFormat="1" ht="24.75" thickBot="1">
      <c r="B345" s="736"/>
      <c r="C345" s="1782">
        <v>40617</v>
      </c>
      <c r="D345" s="1783" t="s">
        <v>614</v>
      </c>
      <c r="E345" s="1110" t="s">
        <v>615</v>
      </c>
      <c r="F345" s="1372" t="s">
        <v>687</v>
      </c>
      <c r="G345" s="1784">
        <v>4</v>
      </c>
      <c r="H345" s="1785">
        <f>170/(1.18)</f>
        <v>144.06779661016949</v>
      </c>
      <c r="I345" s="3395">
        <f>+H345*G345</f>
        <v>576.27118644067798</v>
      </c>
      <c r="J345" s="3396"/>
      <c r="K345" s="1786">
        <f>+I345*0.18</f>
        <v>103.72881355932203</v>
      </c>
      <c r="L345" s="1180"/>
      <c r="M345" s="1787">
        <f>+K345+I345</f>
        <v>680</v>
      </c>
      <c r="N345" s="1457"/>
      <c r="O345" s="3438" t="s">
        <v>616</v>
      </c>
      <c r="P345" s="3438"/>
      <c r="Q345" s="3438"/>
      <c r="R345" s="804">
        <v>4</v>
      </c>
      <c r="S345" s="1788">
        <f>225.35*0.98</f>
        <v>220.84299999999999</v>
      </c>
      <c r="T345" s="1789">
        <f>+R345*S345</f>
        <v>883.37199999999996</v>
      </c>
      <c r="U345" s="1771">
        <f>175/(1.18)</f>
        <v>148.30508474576271</v>
      </c>
      <c r="V345" s="1772">
        <f>+U345*R345</f>
        <v>593.22033898305085</v>
      </c>
      <c r="W345" s="1773">
        <v>48.2881</v>
      </c>
      <c r="X345" s="1774">
        <f>+W345*R345</f>
        <v>193.1524</v>
      </c>
      <c r="Y345" s="1460">
        <f>+X345*V341</f>
        <v>525.56768039999997</v>
      </c>
      <c r="Z345" s="4"/>
      <c r="AA345" s="463">
        <f>+U345/V341</f>
        <v>54.503890020493458</v>
      </c>
    </row>
    <row r="346" spans="2:27" s="463" customFormat="1" ht="24">
      <c r="B346" s="736"/>
      <c r="C346" s="1759">
        <v>40665</v>
      </c>
      <c r="D346" s="1760" t="s">
        <v>614</v>
      </c>
      <c r="E346" s="3364" t="s">
        <v>617</v>
      </c>
      <c r="F346" s="1790" t="s">
        <v>685</v>
      </c>
      <c r="G346" s="1762">
        <v>2</v>
      </c>
      <c r="H346" s="1763">
        <v>144.06780000000001</v>
      </c>
      <c r="I346" s="1764">
        <f>+H346*G346</f>
        <v>288.13560000000001</v>
      </c>
      <c r="J346" s="3366">
        <f>+I346+I347</f>
        <v>576.27120000000002</v>
      </c>
      <c r="K346" s="3436">
        <f>+J346*0.18</f>
        <v>103.72881599999999</v>
      </c>
      <c r="L346" s="1766"/>
      <c r="M346" s="3439">
        <f>+K346+J346</f>
        <v>680.00001599999996</v>
      </c>
      <c r="N346" s="1457"/>
      <c r="P346" s="1736"/>
      <c r="Q346" s="1737"/>
      <c r="R346" s="1737"/>
      <c r="S346" s="1791" t="s">
        <v>618</v>
      </c>
      <c r="T346" s="1560">
        <f>SUM(T343:T345)</f>
        <v>2735.0319999999997</v>
      </c>
      <c r="U346" s="1771"/>
      <c r="V346" s="1772">
        <f>SUM(V343:V345)</f>
        <v>1273.7275054659615</v>
      </c>
      <c r="W346" s="1773">
        <f>SUM(W343:W345)</f>
        <v>83.276499999999999</v>
      </c>
      <c r="X346" s="1774">
        <f>SUM(X343:X345)</f>
        <v>1033.0276000000001</v>
      </c>
      <c r="Y346" s="1460">
        <f>SUM(Y343:Y345)</f>
        <v>2810.8680996000003</v>
      </c>
      <c r="Z346" s="4"/>
    </row>
    <row r="347" spans="2:27" s="463" customFormat="1" ht="24.75" thickBot="1">
      <c r="B347" s="736"/>
      <c r="C347" s="1775">
        <v>40665</v>
      </c>
      <c r="D347" s="1776" t="s">
        <v>614</v>
      </c>
      <c r="E347" s="3365"/>
      <c r="F347" s="1792" t="s">
        <v>687</v>
      </c>
      <c r="G347" s="1778">
        <v>2</v>
      </c>
      <c r="H347" s="1779">
        <v>144.06780000000001</v>
      </c>
      <c r="I347" s="1793">
        <f>+H347*G347</f>
        <v>288.13560000000001</v>
      </c>
      <c r="J347" s="3367"/>
      <c r="K347" s="3442"/>
      <c r="L347" s="1795"/>
      <c r="M347" s="3440"/>
      <c r="N347" s="1457"/>
      <c r="O347" s="1458"/>
      <c r="P347" s="1459"/>
      <c r="Q347" s="1796"/>
      <c r="R347" s="1796"/>
      <c r="S347" s="1797" t="s">
        <v>418</v>
      </c>
      <c r="T347" s="1560">
        <f>+T346*0.18</f>
        <v>492.30575999999991</v>
      </c>
      <c r="U347" s="1771"/>
      <c r="V347" s="1772">
        <f>+V346*0.18</f>
        <v>229.27095098387306</v>
      </c>
      <c r="W347" s="1773">
        <f>+W346*0.18</f>
        <v>14.98977</v>
      </c>
      <c r="X347" s="1774">
        <f>+X346*0.18</f>
        <v>185.94496800000002</v>
      </c>
      <c r="Y347" s="1460">
        <f>+Y346*0.18</f>
        <v>505.95625792800001</v>
      </c>
      <c r="Z347" s="4"/>
    </row>
    <row r="348" spans="2:27" s="463" customFormat="1" ht="15.2" customHeight="1" thickBot="1">
      <c r="C348" s="1798"/>
      <c r="D348" s="1799"/>
      <c r="E348" s="1800"/>
      <c r="F348" s="1515"/>
      <c r="G348" s="736"/>
      <c r="H348" s="1801"/>
      <c r="I348" s="1801"/>
      <c r="J348" s="1802"/>
      <c r="K348" s="736"/>
      <c r="L348" s="736"/>
      <c r="M348" s="1803"/>
      <c r="N348" s="1457"/>
      <c r="O348" s="1458"/>
      <c r="P348" s="1459"/>
      <c r="Q348" s="809"/>
      <c r="R348" s="809"/>
      <c r="S348" s="1804" t="s">
        <v>571</v>
      </c>
      <c r="T348" s="1805">
        <f>+T347+T346</f>
        <v>3227.3377599999994</v>
      </c>
      <c r="U348" s="1806"/>
      <c r="V348" s="1807">
        <f>+V347+V346</f>
        <v>1502.9984564498345</v>
      </c>
      <c r="W348" s="1808">
        <f>+W347+W346</f>
        <v>98.266269999999992</v>
      </c>
      <c r="X348" s="1809">
        <f>+X347+X346</f>
        <v>1218.9725680000001</v>
      </c>
      <c r="Y348" s="1460">
        <f>+Y347+Y346</f>
        <v>3316.8243575280003</v>
      </c>
      <c r="Z348" s="4"/>
    </row>
    <row r="349" spans="2:27" s="463" customFormat="1" ht="15.2" customHeight="1">
      <c r="C349" s="1798"/>
      <c r="D349" s="1799"/>
      <c r="E349" s="1800"/>
      <c r="F349" s="1515"/>
      <c r="G349" s="736"/>
      <c r="H349" s="1764">
        <v>322.03379999999999</v>
      </c>
      <c r="I349" s="1810">
        <f>+H349*1.18</f>
        <v>379.99988399999995</v>
      </c>
      <c r="J349" s="1765"/>
      <c r="K349" s="1208"/>
      <c r="L349" s="1208"/>
      <c r="M349" s="1811"/>
      <c r="N349" s="1457"/>
      <c r="O349" s="1458"/>
      <c r="P349" s="1459"/>
      <c r="Q349" s="809"/>
      <c r="R349" s="809"/>
      <c r="S349" s="1728"/>
      <c r="T349" s="460"/>
      <c r="U349" s="928"/>
      <c r="V349" s="928"/>
      <c r="W349" s="928"/>
    </row>
    <row r="350" spans="2:27" s="463" customFormat="1" ht="15.2" customHeight="1" thickBot="1">
      <c r="C350" s="1798"/>
      <c r="D350" s="1799"/>
      <c r="E350" s="1800"/>
      <c r="F350" s="1515"/>
      <c r="G350" s="736"/>
      <c r="H350" s="1793">
        <f>+H349-H321</f>
        <v>2.706068907563008</v>
      </c>
      <c r="I350" s="1812">
        <f>+H321*1.18</f>
        <v>376.80672268907563</v>
      </c>
      <c r="J350" s="1794">
        <f>+H350*8*1.18</f>
        <v>25.545290487394794</v>
      </c>
      <c r="K350" s="1813" t="s">
        <v>619</v>
      </c>
      <c r="L350" s="1813"/>
      <c r="M350" s="1814"/>
      <c r="N350" s="1457"/>
      <c r="O350" s="1458"/>
      <c r="P350" s="1459"/>
      <c r="Q350" s="809"/>
      <c r="R350" s="809"/>
      <c r="S350" s="1728"/>
      <c r="T350" s="460"/>
      <c r="U350" s="928"/>
      <c r="V350" s="1815" t="s">
        <v>620</v>
      </c>
      <c r="W350" s="3432">
        <f>+Y348-T348</f>
        <v>89.486597528000857</v>
      </c>
      <c r="X350" s="3433"/>
    </row>
    <row r="351" spans="2:27" s="463" customFormat="1" ht="15.2" customHeight="1">
      <c r="C351" s="1798"/>
      <c r="D351" s="1799"/>
      <c r="E351" s="1800"/>
      <c r="F351" s="1515"/>
      <c r="G351" s="736"/>
      <c r="H351" s="1801"/>
      <c r="I351" s="1801"/>
      <c r="J351" s="1802"/>
      <c r="K351" s="736"/>
      <c r="L351" s="736"/>
      <c r="M351" s="1803"/>
      <c r="N351" s="1457"/>
      <c r="O351" s="1458"/>
      <c r="P351" s="1459"/>
      <c r="Q351" s="809"/>
      <c r="R351" s="809"/>
      <c r="S351" s="1728"/>
      <c r="T351" s="460"/>
      <c r="U351" s="928"/>
      <c r="V351" s="928"/>
      <c r="W351" s="928"/>
    </row>
    <row r="352" spans="2:27" s="463" customFormat="1" ht="15.2" customHeight="1">
      <c r="C352" s="1816" t="s">
        <v>82</v>
      </c>
      <c r="D352" s="1200" t="s">
        <v>621</v>
      </c>
      <c r="E352" s="1817" t="s">
        <v>622</v>
      </c>
      <c r="F352" s="1818" t="s">
        <v>623</v>
      </c>
      <c r="G352" s="1819" t="s">
        <v>624</v>
      </c>
      <c r="H352" s="1820"/>
      <c r="I352" s="1821" t="s">
        <v>625</v>
      </c>
      <c r="J352" s="1738"/>
      <c r="Q352" s="809"/>
      <c r="R352" s="809"/>
      <c r="S352" s="1728"/>
      <c r="T352" s="460" t="s">
        <v>626</v>
      </c>
      <c r="U352" s="1822">
        <f>+U343*1.18</f>
        <v>22.090848952590953</v>
      </c>
      <c r="V352" s="928"/>
      <c r="W352" s="928"/>
    </row>
    <row r="353" spans="3:23" s="463" customFormat="1" ht="15.2" customHeight="1">
      <c r="C353" s="1823">
        <v>16</v>
      </c>
      <c r="D353" s="1824">
        <v>257.49290000000002</v>
      </c>
      <c r="E353" s="1825">
        <f>+D353*C353</f>
        <v>4119.8864000000003</v>
      </c>
      <c r="F353" s="1826" t="s">
        <v>688</v>
      </c>
      <c r="G353" s="1827" t="s">
        <v>627</v>
      </c>
      <c r="H353" s="1828"/>
      <c r="I353" s="1829">
        <f>(E354-E353)/D353</f>
        <v>3.8422682722513883</v>
      </c>
      <c r="J353" s="1738"/>
      <c r="Q353" s="809"/>
      <c r="R353" s="809"/>
      <c r="S353" s="1728"/>
      <c r="T353" s="460" t="s">
        <v>628</v>
      </c>
      <c r="U353" s="1822">
        <f>+U344*1.18</f>
        <v>10.247482543182652</v>
      </c>
      <c r="V353" s="928"/>
      <c r="W353" s="928"/>
    </row>
    <row r="354" spans="3:23" s="463" customFormat="1" ht="15.2" customHeight="1">
      <c r="C354" s="1823">
        <v>16</v>
      </c>
      <c r="D354" s="1824">
        <v>319.32769999999999</v>
      </c>
      <c r="E354" s="1825">
        <f>+D354*C354</f>
        <v>5109.2431999999999</v>
      </c>
      <c r="F354" s="1826" t="s">
        <v>690</v>
      </c>
      <c r="G354" s="1827" t="s">
        <v>629</v>
      </c>
      <c r="H354" s="1828"/>
      <c r="I354" s="1829">
        <f>(E354-E354)/D354</f>
        <v>0</v>
      </c>
      <c r="J354" s="1738"/>
      <c r="N354" s="1457"/>
      <c r="O354" s="1458"/>
      <c r="P354" s="1459"/>
      <c r="Q354" s="809"/>
      <c r="R354" s="809"/>
      <c r="S354" s="1728"/>
      <c r="T354" s="460"/>
      <c r="U354" s="928"/>
      <c r="V354" s="928"/>
      <c r="W354" s="928"/>
    </row>
    <row r="355" spans="3:23" s="463" customFormat="1" ht="15.2" customHeight="1">
      <c r="C355" s="1726"/>
      <c r="D355" s="1830">
        <f>+D353-D354</f>
        <v>-61.834799999999973</v>
      </c>
      <c r="E355" s="1830">
        <f>+E353-E354</f>
        <v>-989.35679999999957</v>
      </c>
      <c r="F355" s="928"/>
      <c r="G355" s="4"/>
      <c r="H355" s="1723"/>
      <c r="I355" s="1723"/>
      <c r="J355" s="1738"/>
      <c r="N355" s="1457"/>
      <c r="O355" s="1458"/>
      <c r="P355" s="1459"/>
      <c r="Q355" s="809"/>
      <c r="R355" s="809"/>
      <c r="S355" s="1728"/>
      <c r="T355" s="460"/>
      <c r="U355" s="928"/>
      <c r="V355" s="928"/>
      <c r="W355" s="928"/>
    </row>
    <row r="356" spans="3:23" s="463" customFormat="1" ht="15.2" customHeight="1">
      <c r="C356" s="1726"/>
      <c r="D356" s="1721"/>
      <c r="F356" s="928"/>
      <c r="G356" s="4"/>
      <c r="H356" s="1723"/>
      <c r="I356" s="1723"/>
      <c r="J356" s="1738"/>
      <c r="N356" s="1457"/>
      <c r="O356" s="1458"/>
      <c r="P356" s="1459"/>
      <c r="Q356" s="809"/>
      <c r="R356" s="809"/>
      <c r="S356" s="1728"/>
      <c r="T356" s="460"/>
      <c r="U356" s="928"/>
      <c r="V356" s="928"/>
      <c r="W356" s="928"/>
    </row>
    <row r="357" spans="3:23" s="463" customFormat="1" ht="15.2" customHeight="1">
      <c r="C357" s="1831">
        <v>40484</v>
      </c>
      <c r="D357" s="1832" t="s">
        <v>573</v>
      </c>
      <c r="E357" s="1832" t="s">
        <v>630</v>
      </c>
      <c r="F357" s="1832"/>
      <c r="G357" s="1833">
        <v>2</v>
      </c>
      <c r="H357" s="1834">
        <f>145.35/(1.19)</f>
        <v>122.14285714285714</v>
      </c>
      <c r="I357" s="1835">
        <f>+H357*G357</f>
        <v>244.28571428571428</v>
      </c>
      <c r="J357" s="1738" t="s">
        <v>631</v>
      </c>
      <c r="K357" s="1836" t="s">
        <v>632</v>
      </c>
      <c r="L357" s="1836"/>
      <c r="M357" s="1837">
        <f>+H357*(1-0.02)</f>
        <v>119.69999999999999</v>
      </c>
      <c r="N357" s="1838">
        <v>2</v>
      </c>
      <c r="O357" s="1839">
        <f>+N357*M357</f>
        <v>239.39999999999998</v>
      </c>
      <c r="P357" s="809"/>
      <c r="Q357" s="1459"/>
      <c r="R357" s="1459"/>
      <c r="S357" s="1728"/>
      <c r="T357" s="460"/>
      <c r="U357" s="928"/>
      <c r="V357" s="928"/>
      <c r="W357" s="928"/>
    </row>
    <row r="358" spans="3:23" s="463" customFormat="1" ht="15.2" customHeight="1">
      <c r="C358" s="1831">
        <v>40484</v>
      </c>
      <c r="D358" s="1832" t="s">
        <v>573</v>
      </c>
      <c r="E358" s="1832" t="s">
        <v>633</v>
      </c>
      <c r="F358" s="1832"/>
      <c r="G358" s="1833">
        <v>2</v>
      </c>
      <c r="H358" s="1840">
        <f>351.27/(1.19)</f>
        <v>295.18487394957981</v>
      </c>
      <c r="I358" s="1835">
        <f>+H358*G358</f>
        <v>590.36974789915962</v>
      </c>
      <c r="J358" s="1738" t="s">
        <v>634</v>
      </c>
      <c r="K358" s="1841" t="s">
        <v>632</v>
      </c>
      <c r="L358" s="1841"/>
      <c r="M358" s="1842">
        <f>+H358*(1-0.02)</f>
        <v>289.28117647058821</v>
      </c>
      <c r="N358" s="1824">
        <v>2</v>
      </c>
      <c r="O358" s="1843">
        <f>+N358*M358</f>
        <v>578.56235294117641</v>
      </c>
      <c r="P358" s="809"/>
      <c r="Q358" s="1459"/>
      <c r="R358" s="1459"/>
      <c r="S358" s="1728"/>
      <c r="T358" s="460"/>
      <c r="U358" s="928"/>
      <c r="V358" s="928"/>
      <c r="W358" s="928"/>
    </row>
    <row r="359" spans="3:23" s="463" customFormat="1" ht="15.2" customHeight="1">
      <c r="C359" s="1831">
        <v>40484</v>
      </c>
      <c r="D359" s="1832" t="s">
        <v>573</v>
      </c>
      <c r="E359" s="1832" t="s">
        <v>635</v>
      </c>
      <c r="F359" s="1832"/>
      <c r="G359" s="1833">
        <v>2</v>
      </c>
      <c r="H359" s="1844">
        <f>28.9/(1.19)</f>
        <v>24.285714285714285</v>
      </c>
      <c r="I359" s="1835">
        <f>+H359*G359</f>
        <v>48.571428571428569</v>
      </c>
      <c r="J359" s="1738" t="s">
        <v>634</v>
      </c>
      <c r="K359" s="1827"/>
      <c r="L359" s="1827"/>
      <c r="M359" s="1842">
        <f>+H359</f>
        <v>24.285714285714285</v>
      </c>
      <c r="N359" s="1824">
        <v>2</v>
      </c>
      <c r="O359" s="1843">
        <f>+N359*M359</f>
        <v>48.571428571428569</v>
      </c>
      <c r="P359" s="809"/>
      <c r="Q359" s="1459"/>
      <c r="R359" s="1459"/>
      <c r="S359" s="1728"/>
      <c r="T359" s="460"/>
      <c r="U359" s="928"/>
      <c r="V359" s="928"/>
      <c r="W359" s="928"/>
    </row>
    <row r="360" spans="3:23" s="463" customFormat="1" ht="15.2" customHeight="1" thickBot="1">
      <c r="C360" s="1726"/>
      <c r="D360" s="1721"/>
      <c r="E360" s="928"/>
      <c r="F360" s="928"/>
      <c r="G360" s="4"/>
      <c r="H360" s="1723" t="s">
        <v>636</v>
      </c>
      <c r="I360" s="1824">
        <f>SUM(I357:I359)</f>
        <v>883.2268907563024</v>
      </c>
      <c r="J360" s="1738"/>
      <c r="K360" s="1845"/>
      <c r="L360" s="1845"/>
      <c r="M360" s="1846"/>
      <c r="N360" s="1457"/>
      <c r="O360" s="1843">
        <f>+O359+O358</f>
        <v>627.13378151260497</v>
      </c>
      <c r="P360" s="809"/>
      <c r="Q360" s="1459"/>
      <c r="R360" s="1459"/>
      <c r="S360" s="1728"/>
      <c r="T360" s="460"/>
      <c r="U360" s="928"/>
      <c r="V360" s="928"/>
      <c r="W360" s="928"/>
    </row>
    <row r="361" spans="3:23" s="463" customFormat="1" ht="15.2" customHeight="1" thickBot="1">
      <c r="C361" s="1726"/>
      <c r="E361" s="928"/>
      <c r="F361" s="928"/>
      <c r="G361" s="4"/>
      <c r="H361" s="1723" t="s">
        <v>424</v>
      </c>
      <c r="I361" s="1847">
        <f>+I360*0.19</f>
        <v>167.81310924369745</v>
      </c>
      <c r="J361" s="1738"/>
      <c r="K361" s="1845"/>
      <c r="L361" s="1845"/>
      <c r="M361" s="1848">
        <v>40500</v>
      </c>
      <c r="N361" s="1457"/>
      <c r="O361" s="1849">
        <f>+O360*0.19</f>
        <v>119.15541848739494</v>
      </c>
      <c r="P361" s="809"/>
      <c r="Q361" s="1459"/>
      <c r="R361" s="1459"/>
      <c r="S361" s="1728"/>
      <c r="T361" s="460"/>
      <c r="U361" s="928"/>
      <c r="V361" s="928"/>
      <c r="W361" s="928"/>
    </row>
    <row r="362" spans="3:23" s="463" customFormat="1" ht="15.2" customHeight="1" thickBot="1">
      <c r="C362" s="1726"/>
      <c r="E362" s="928"/>
      <c r="F362" s="928"/>
      <c r="G362" s="4"/>
      <c r="H362" s="1723" t="s">
        <v>608</v>
      </c>
      <c r="I362" s="1850">
        <f>+I361+I360</f>
        <v>1051.04</v>
      </c>
      <c r="J362" s="1738"/>
      <c r="K362" s="1845"/>
      <c r="L362" s="1845"/>
      <c r="M362" s="1851" t="s">
        <v>637</v>
      </c>
      <c r="N362" s="1457" t="s">
        <v>612</v>
      </c>
      <c r="O362" s="1852">
        <f>+O361+O360</f>
        <v>746.28919999999994</v>
      </c>
      <c r="P362" s="809"/>
      <c r="Q362" s="1459"/>
      <c r="R362" s="1459"/>
      <c r="S362" s="1728"/>
      <c r="T362" s="460"/>
      <c r="U362" s="928"/>
      <c r="V362" s="928"/>
      <c r="W362" s="928"/>
    </row>
    <row r="363" spans="3:23" s="463" customFormat="1" ht="15.2" customHeight="1">
      <c r="C363" s="1726"/>
      <c r="E363" s="928"/>
      <c r="F363" s="4"/>
      <c r="G363" s="1723"/>
      <c r="H363" s="1853"/>
      <c r="I363" s="1738"/>
      <c r="J363" s="1845"/>
      <c r="K363" s="1846"/>
      <c r="L363" s="1846"/>
      <c r="M363" s="1457"/>
      <c r="N363" s="1458"/>
      <c r="O363" s="809"/>
      <c r="P363" s="1743"/>
      <c r="Q363" s="809"/>
      <c r="R363" s="809"/>
      <c r="S363" s="1854"/>
      <c r="T363" s="928"/>
      <c r="U363" s="928"/>
      <c r="V363" s="928"/>
    </row>
    <row r="364" spans="3:23" s="463" customFormat="1" ht="15.2" customHeight="1">
      <c r="C364" s="1726"/>
      <c r="F364" s="928"/>
      <c r="G364" s="4"/>
      <c r="H364" s="1723"/>
      <c r="I364" s="1723"/>
      <c r="J364" s="1738"/>
      <c r="N364" s="1457"/>
      <c r="O364" s="1458"/>
      <c r="P364" s="1459"/>
      <c r="Q364" s="809"/>
      <c r="R364" s="809"/>
      <c r="S364" s="1728"/>
      <c r="T364" s="460"/>
      <c r="U364" s="928"/>
      <c r="V364" s="928"/>
      <c r="W364" s="928"/>
    </row>
    <row r="365" spans="3:23" s="463" customFormat="1" ht="15.2" customHeight="1">
      <c r="C365" s="1726"/>
      <c r="F365" s="928"/>
      <c r="G365" s="4"/>
      <c r="H365" s="1723"/>
      <c r="I365" s="1723"/>
      <c r="J365" s="1738"/>
      <c r="N365" s="1457"/>
      <c r="O365" s="1458"/>
      <c r="P365" s="1459"/>
      <c r="Q365" s="809"/>
      <c r="R365" s="809"/>
      <c r="S365" s="1728"/>
      <c r="T365" s="460"/>
      <c r="U365" s="928"/>
      <c r="V365" s="928"/>
      <c r="W365" s="928"/>
    </row>
    <row r="366" spans="3:23" s="463" customFormat="1" ht="15.2" customHeight="1">
      <c r="C366" s="1726"/>
      <c r="F366" s="928"/>
      <c r="G366" s="4"/>
      <c r="H366" s="1723"/>
      <c r="I366" s="1723"/>
      <c r="J366" s="1738"/>
      <c r="N366" s="1457"/>
      <c r="O366" s="1458"/>
      <c r="P366" s="1459"/>
      <c r="Q366" s="809"/>
      <c r="R366" s="809"/>
      <c r="S366" s="1728"/>
      <c r="T366" s="460"/>
      <c r="U366" s="928"/>
      <c r="V366" s="928"/>
      <c r="W366" s="928"/>
    </row>
    <row r="367" spans="3:23" s="463" customFormat="1" ht="15.2" customHeight="1">
      <c r="C367" s="1726"/>
      <c r="F367" s="928"/>
      <c r="G367" s="4"/>
      <c r="H367" s="1723"/>
      <c r="I367" s="1723"/>
      <c r="J367" s="1738"/>
      <c r="N367" s="1457"/>
      <c r="O367" s="1458"/>
      <c r="P367" s="1459"/>
      <c r="Q367" s="809"/>
      <c r="R367" s="809"/>
      <c r="S367" s="1728"/>
      <c r="T367" s="460"/>
      <c r="U367" s="928"/>
      <c r="V367" s="928"/>
      <c r="W367" s="928"/>
    </row>
    <row r="368" spans="3:23" s="463" customFormat="1" ht="15.2" customHeight="1">
      <c r="C368" s="1726"/>
      <c r="F368" s="928"/>
      <c r="G368" s="4"/>
      <c r="H368" s="1723"/>
      <c r="I368" s="1723"/>
      <c r="J368" s="1738"/>
      <c r="N368" s="1457"/>
      <c r="O368" s="1458"/>
      <c r="P368" s="1459"/>
      <c r="Q368" s="809"/>
      <c r="R368" s="809"/>
      <c r="S368" s="1728"/>
      <c r="T368" s="460"/>
      <c r="U368" s="928"/>
      <c r="V368" s="928"/>
      <c r="W368" s="928"/>
    </row>
    <row r="369" spans="3:23" s="463" customFormat="1" ht="15.2" customHeight="1">
      <c r="C369" s="1726"/>
      <c r="F369" s="928"/>
      <c r="G369" s="4"/>
      <c r="H369" s="1723"/>
      <c r="I369" s="1723"/>
      <c r="J369" s="1738"/>
      <c r="N369" s="1457"/>
      <c r="O369" s="1458"/>
      <c r="P369" s="1459"/>
      <c r="Q369" s="809"/>
      <c r="R369" s="809"/>
      <c r="S369" s="1728"/>
      <c r="T369" s="460"/>
      <c r="U369" s="928"/>
      <c r="V369" s="928"/>
      <c r="W369" s="928"/>
    </row>
    <row r="370" spans="3:23" s="463" customFormat="1" ht="15.2" customHeight="1">
      <c r="C370" s="1726"/>
      <c r="F370" s="928"/>
      <c r="G370" s="4"/>
      <c r="H370" s="1723"/>
      <c r="I370" s="1723"/>
      <c r="J370" s="1738"/>
      <c r="N370" s="1457"/>
      <c r="O370" s="1458"/>
      <c r="P370" s="1459"/>
      <c r="Q370" s="809"/>
      <c r="R370" s="809"/>
      <c r="S370" s="1728"/>
      <c r="T370" s="460"/>
      <c r="U370" s="928"/>
      <c r="V370" s="928"/>
      <c r="W370" s="928"/>
    </row>
    <row r="371" spans="3:23" s="463" customFormat="1" ht="15.2" customHeight="1">
      <c r="C371" s="1726"/>
      <c r="F371" s="928"/>
      <c r="G371" s="4"/>
      <c r="H371" s="1723"/>
      <c r="I371" s="1723"/>
      <c r="J371" s="1738"/>
      <c r="N371" s="1457"/>
      <c r="O371" s="1458"/>
      <c r="P371" s="1459"/>
      <c r="Q371" s="809"/>
      <c r="R371" s="809"/>
      <c r="S371" s="1728"/>
      <c r="T371" s="460"/>
      <c r="U371" s="928"/>
      <c r="V371" s="928"/>
      <c r="W371" s="928"/>
    </row>
    <row r="372" spans="3:23" s="463" customFormat="1" ht="15.2" customHeight="1">
      <c r="C372" s="1726"/>
      <c r="F372" s="928"/>
      <c r="G372" s="4"/>
      <c r="H372" s="1723"/>
      <c r="I372" s="1723"/>
      <c r="J372" s="1738"/>
      <c r="N372" s="1457"/>
      <c r="O372" s="1458"/>
      <c r="P372" s="1459"/>
      <c r="Q372" s="809"/>
      <c r="R372" s="809"/>
      <c r="S372" s="1728"/>
      <c r="T372" s="460"/>
      <c r="U372" s="928"/>
      <c r="V372" s="928"/>
      <c r="W372" s="928"/>
    </row>
    <row r="373" spans="3:23" s="463" customFormat="1" ht="15.2" customHeight="1">
      <c r="C373" s="1726"/>
      <c r="F373" s="928"/>
      <c r="G373" s="4"/>
      <c r="H373" s="1723"/>
      <c r="I373" s="1723"/>
      <c r="J373" s="1738"/>
      <c r="N373" s="1457"/>
      <c r="O373" s="1458"/>
      <c r="P373" s="1459"/>
      <c r="Q373" s="809"/>
      <c r="R373" s="809"/>
      <c r="S373" s="1728"/>
      <c r="T373" s="460"/>
      <c r="U373" s="928"/>
      <c r="V373" s="928"/>
      <c r="W373" s="928"/>
    </row>
    <row r="374" spans="3:23" s="463" customFormat="1" ht="15.2" customHeight="1">
      <c r="C374" s="1726"/>
      <c r="F374" s="928"/>
      <c r="G374" s="4"/>
      <c r="H374" s="1723"/>
      <c r="I374" s="1723"/>
      <c r="J374" s="1738"/>
      <c r="N374" s="1457"/>
      <c r="O374" s="1458"/>
      <c r="P374" s="1459"/>
      <c r="Q374" s="809"/>
      <c r="R374" s="809"/>
      <c r="S374" s="1728"/>
      <c r="T374" s="460"/>
      <c r="U374" s="928"/>
      <c r="V374" s="928"/>
      <c r="W374" s="928"/>
    </row>
    <row r="375" spans="3:23" s="463" customFormat="1" ht="15.2" customHeight="1" thickBot="1">
      <c r="C375" s="1726"/>
      <c r="F375" s="928"/>
      <c r="G375" s="4"/>
      <c r="H375" s="1723"/>
      <c r="I375" s="1723"/>
      <c r="J375" s="1738"/>
      <c r="N375" s="1457"/>
      <c r="O375" s="1458"/>
      <c r="P375" s="1459"/>
      <c r="Q375" s="809"/>
      <c r="R375" s="809"/>
      <c r="S375" s="1728"/>
      <c r="T375" s="460"/>
      <c r="U375" s="928"/>
      <c r="V375" s="928"/>
      <c r="W375" s="928"/>
    </row>
    <row r="376" spans="3:23" ht="15.75">
      <c r="C376" s="1726"/>
      <c r="D376" s="1463" t="s">
        <v>426</v>
      </c>
      <c r="E376" s="3359"/>
      <c r="F376" s="1855" t="s">
        <v>691</v>
      </c>
      <c r="G376" s="1856">
        <v>0</v>
      </c>
      <c r="H376" s="1477">
        <f>380/(1.19)</f>
        <v>319.32773109243698</v>
      </c>
      <c r="I376" s="1563">
        <f>+H376*G376</f>
        <v>0</v>
      </c>
      <c r="J376" s="3398">
        <f>SUM(I376:I379)</f>
        <v>966.10080000000005</v>
      </c>
      <c r="K376" s="3393">
        <f>+J376*0.18</f>
        <v>173.898144</v>
      </c>
      <c r="L376" s="1857"/>
      <c r="M376" s="3355">
        <f>+K376+J376</f>
        <v>1139.9989439999999</v>
      </c>
      <c r="N376" s="1457"/>
      <c r="O376" s="1458"/>
      <c r="P376" s="1459"/>
      <c r="Q376" s="809"/>
      <c r="R376" s="809"/>
      <c r="S376" s="1728"/>
      <c r="T376" s="460"/>
      <c r="U376" s="928"/>
      <c r="V376" s="928"/>
      <c r="W376" s="928"/>
    </row>
    <row r="377" spans="3:23" ht="15.75">
      <c r="C377" s="1726"/>
      <c r="D377" s="1463" t="s">
        <v>426</v>
      </c>
      <c r="E377" s="3397"/>
      <c r="F377" s="1569" t="s">
        <v>585</v>
      </c>
      <c r="G377" s="1856">
        <v>0</v>
      </c>
      <c r="H377" s="1477">
        <f>+H376</f>
        <v>319.32773109243698</v>
      </c>
      <c r="I377" s="1563">
        <f>+H377*G377</f>
        <v>0</v>
      </c>
      <c r="J377" s="3398"/>
      <c r="K377" s="3393"/>
      <c r="L377" s="1857"/>
      <c r="M377" s="3355"/>
      <c r="N377" s="1457"/>
      <c r="O377" s="1458"/>
      <c r="P377" s="1459"/>
      <c r="Q377" s="809"/>
      <c r="R377" s="809"/>
      <c r="S377" s="1728"/>
      <c r="T377" s="460"/>
      <c r="U377" s="928"/>
      <c r="V377" s="928"/>
      <c r="W377" s="928"/>
    </row>
    <row r="378" spans="3:23" ht="15">
      <c r="C378" s="1726"/>
      <c r="D378" s="1463" t="s">
        <v>426</v>
      </c>
      <c r="E378" s="3397"/>
      <c r="F378" s="1515" t="s">
        <v>514</v>
      </c>
      <c r="G378" s="1858">
        <v>24</v>
      </c>
      <c r="H378" s="1477">
        <v>25.4237</v>
      </c>
      <c r="I378" s="1563">
        <f>+H378*G378</f>
        <v>610.16880000000003</v>
      </c>
      <c r="J378" s="3398"/>
      <c r="K378" s="3393"/>
      <c r="L378" s="1857"/>
      <c r="M378" s="3355"/>
      <c r="N378" s="1457"/>
      <c r="O378" s="1458"/>
      <c r="P378" s="1459"/>
      <c r="Q378" s="809"/>
      <c r="R378" s="809"/>
      <c r="S378" s="1728"/>
      <c r="T378" s="460"/>
      <c r="U378" s="928"/>
      <c r="V378" s="928"/>
      <c r="W378" s="928"/>
    </row>
    <row r="379" spans="3:23" ht="15.75" thickBot="1">
      <c r="D379" s="1484" t="s">
        <v>426</v>
      </c>
      <c r="E379" s="3360"/>
      <c r="F379" s="1485" t="s">
        <v>515</v>
      </c>
      <c r="G379" s="1859">
        <v>20</v>
      </c>
      <c r="H379" s="1487">
        <v>17.796600000000002</v>
      </c>
      <c r="I379" s="1566">
        <f>+H379*G379</f>
        <v>355.93200000000002</v>
      </c>
      <c r="J379" s="3399"/>
      <c r="K379" s="3394"/>
      <c r="L379" s="1860"/>
      <c r="M379" s="3356"/>
      <c r="N379" s="1457"/>
      <c r="O379" s="1458"/>
      <c r="P379" s="1459"/>
      <c r="Q379" s="809"/>
      <c r="R379" s="809"/>
      <c r="S379" s="1728"/>
      <c r="T379" s="460"/>
      <c r="U379" s="928"/>
      <c r="V379" s="928"/>
      <c r="W379" s="928"/>
    </row>
    <row r="381" spans="3:23">
      <c r="M381">
        <f>+M376*2.7</f>
        <v>3077.9971488000001</v>
      </c>
    </row>
    <row r="383" spans="3:23" ht="13.5" thickBot="1"/>
    <row r="384" spans="3:23" ht="15.75">
      <c r="D384" s="1463" t="s">
        <v>426</v>
      </c>
      <c r="E384" s="3359"/>
      <c r="F384" s="1855" t="s">
        <v>691</v>
      </c>
      <c r="G384" s="1856">
        <v>0</v>
      </c>
      <c r="H384" s="1477">
        <f>380/(1.19)</f>
        <v>319.32773109243698</v>
      </c>
      <c r="I384" s="1563">
        <f>+H384*G384</f>
        <v>0</v>
      </c>
      <c r="J384" s="3398">
        <f>SUM(I384:I387)</f>
        <v>783.79200000000003</v>
      </c>
      <c r="K384" s="3393">
        <f>+J384*0.18</f>
        <v>141.08256</v>
      </c>
      <c r="L384" s="1857"/>
      <c r="M384" s="3355">
        <f>+K384+J384</f>
        <v>924.87455999999997</v>
      </c>
    </row>
    <row r="385" spans="4:15" ht="15.75">
      <c r="D385" s="1463" t="s">
        <v>426</v>
      </c>
      <c r="E385" s="3397"/>
      <c r="F385" s="1569" t="s">
        <v>585</v>
      </c>
      <c r="G385" s="1856">
        <v>0</v>
      </c>
      <c r="H385" s="1477">
        <f>+H384</f>
        <v>319.32773109243698</v>
      </c>
      <c r="I385" s="1563">
        <f>+H385*G385</f>
        <v>0</v>
      </c>
      <c r="J385" s="3398"/>
      <c r="K385" s="3393"/>
      <c r="L385" s="1857"/>
      <c r="M385" s="3355"/>
      <c r="O385" s="1528">
        <f>+M376-M384</f>
        <v>215.12438399999996</v>
      </c>
    </row>
    <row r="386" spans="4:15" ht="15">
      <c r="D386" s="1463" t="s">
        <v>426</v>
      </c>
      <c r="E386" s="3397"/>
      <c r="F386" s="1515" t="s">
        <v>514</v>
      </c>
      <c r="G386" s="1858">
        <v>24</v>
      </c>
      <c r="H386" s="1477">
        <v>21.007999999999999</v>
      </c>
      <c r="I386" s="1563">
        <f>+H386*G386</f>
        <v>504.19200000000001</v>
      </c>
      <c r="J386" s="3398"/>
      <c r="K386" s="3393"/>
      <c r="L386" s="1857"/>
      <c r="M386" s="3355"/>
    </row>
    <row r="387" spans="4:15" ht="15.75" thickBot="1">
      <c r="D387" s="1484" t="s">
        <v>426</v>
      </c>
      <c r="E387" s="3360"/>
      <c r="F387" s="1485" t="s">
        <v>515</v>
      </c>
      <c r="G387" s="1859">
        <v>20</v>
      </c>
      <c r="H387" s="1487">
        <v>13.98</v>
      </c>
      <c r="I387" s="1566">
        <f>+H387*G387</f>
        <v>279.60000000000002</v>
      </c>
      <c r="J387" s="3399"/>
      <c r="K387" s="3394"/>
      <c r="L387" s="1860"/>
      <c r="M387" s="3356"/>
      <c r="O387" s="1861">
        <f>+O385/M384</f>
        <v>0.23259844448527156</v>
      </c>
    </row>
    <row r="389" spans="4:15">
      <c r="M389">
        <f>+M384*2.7</f>
        <v>2497.1613120000002</v>
      </c>
    </row>
    <row r="394" spans="4:15" ht="13.5" thickBot="1"/>
    <row r="395" spans="4:15" ht="34.5" thickBot="1">
      <c r="F395" s="1862" t="s">
        <v>415</v>
      </c>
      <c r="G395" s="1452" t="s">
        <v>82</v>
      </c>
      <c r="H395" s="1453" t="s">
        <v>416</v>
      </c>
      <c r="I395" s="3391" t="s">
        <v>417</v>
      </c>
      <c r="J395" s="3392"/>
      <c r="K395" s="1454" t="s">
        <v>418</v>
      </c>
      <c r="L395" s="1455" t="s">
        <v>419</v>
      </c>
      <c r="M395" s="1456" t="s">
        <v>420</v>
      </c>
    </row>
    <row r="396" spans="4:15" ht="15.75">
      <c r="F396" s="1863" t="s">
        <v>643</v>
      </c>
      <c r="G396" s="1864">
        <v>2</v>
      </c>
      <c r="H396" s="1865">
        <v>228.81360000000001</v>
      </c>
      <c r="I396" s="1866">
        <f>+H396*G396</f>
        <v>457.62720000000002</v>
      </c>
      <c r="J396" s="3389">
        <f>SUM(I396:I400)</f>
        <v>3084.7468000000003</v>
      </c>
      <c r="K396" s="3387">
        <f>+J396*0.18</f>
        <v>555.25442400000009</v>
      </c>
      <c r="L396" s="3387"/>
      <c r="M396" s="3348">
        <f>+K396+J396</f>
        <v>3640.0012240000005</v>
      </c>
    </row>
    <row r="397" spans="4:15" ht="15.75">
      <c r="F397" s="1867" t="s">
        <v>645</v>
      </c>
      <c r="G397" s="1868">
        <v>8</v>
      </c>
      <c r="H397" s="1865">
        <v>216.10169999999999</v>
      </c>
      <c r="I397" s="1866">
        <f>+H397*G397</f>
        <v>1728.8136</v>
      </c>
      <c r="J397" s="3389"/>
      <c r="K397" s="3387"/>
      <c r="L397" s="3387"/>
      <c r="M397" s="3348"/>
      <c r="O397" s="1528">
        <f>+M396*3.42</f>
        <v>12448.804186080002</v>
      </c>
    </row>
    <row r="398" spans="4:15">
      <c r="F398" s="1869" t="s">
        <v>464</v>
      </c>
      <c r="G398" s="1870">
        <v>10</v>
      </c>
      <c r="H398" s="1865">
        <v>66.949200000000005</v>
      </c>
      <c r="I398" s="1866">
        <f>+H398*G398</f>
        <v>669.49200000000008</v>
      </c>
      <c r="J398" s="3389"/>
      <c r="K398" s="3387"/>
      <c r="L398" s="3387"/>
      <c r="M398" s="3348"/>
      <c r="O398" s="1528">
        <v>4</v>
      </c>
    </row>
    <row r="399" spans="4:15">
      <c r="F399" s="1869" t="s">
        <v>465</v>
      </c>
      <c r="G399" s="1870">
        <v>10</v>
      </c>
      <c r="H399" s="1865">
        <v>8.4746000000000006</v>
      </c>
      <c r="I399" s="1866">
        <f>+H399*G399</f>
        <v>84.746000000000009</v>
      </c>
      <c r="J399" s="3389"/>
      <c r="K399" s="3387"/>
      <c r="L399" s="3387"/>
      <c r="M399" s="3348"/>
      <c r="O399" s="1528">
        <f>+O397/O398</f>
        <v>3112.2010465200005</v>
      </c>
    </row>
    <row r="400" spans="4:15" ht="13.5" thickBot="1">
      <c r="F400" s="1871" t="s">
        <v>468</v>
      </c>
      <c r="G400" s="1872">
        <v>10</v>
      </c>
      <c r="H400" s="1873">
        <v>14.4068</v>
      </c>
      <c r="I400" s="1874">
        <f>+H400*G400</f>
        <v>144.06800000000001</v>
      </c>
      <c r="J400" s="3390"/>
      <c r="K400" s="3388"/>
      <c r="L400" s="3388"/>
      <c r="M400" s="3349"/>
    </row>
    <row r="405" spans="6:15" ht="13.5" thickBot="1"/>
    <row r="406" spans="6:15" ht="34.5" thickBot="1">
      <c r="F406" s="1862" t="s">
        <v>415</v>
      </c>
      <c r="G406" s="1452" t="s">
        <v>82</v>
      </c>
      <c r="H406" s="1453" t="s">
        <v>416</v>
      </c>
      <c r="I406" s="3391" t="s">
        <v>417</v>
      </c>
      <c r="J406" s="3392"/>
      <c r="K406" s="1454" t="s">
        <v>418</v>
      </c>
      <c r="L406" s="1455" t="s">
        <v>419</v>
      </c>
      <c r="M406" s="1456" t="s">
        <v>420</v>
      </c>
    </row>
    <row r="407" spans="6:15" ht="15.75">
      <c r="F407" s="1863" t="s">
        <v>643</v>
      </c>
      <c r="G407" s="1864">
        <v>2</v>
      </c>
      <c r="H407" s="1865">
        <v>228.81360000000001</v>
      </c>
      <c r="I407" s="1866">
        <f>+H407*G407</f>
        <v>457.62720000000002</v>
      </c>
      <c r="J407" s="3389">
        <f>SUM(I407:I411)</f>
        <v>2940.6788000000001</v>
      </c>
      <c r="K407" s="3387">
        <f>+J407*0.18</f>
        <v>529.32218399999999</v>
      </c>
      <c r="L407" s="3387"/>
      <c r="M407" s="3348">
        <f>+K407+J407</f>
        <v>3470.0009840000002</v>
      </c>
    </row>
    <row r="408" spans="6:15" ht="15.75">
      <c r="F408" s="1867" t="s">
        <v>645</v>
      </c>
      <c r="G408" s="1868">
        <v>8</v>
      </c>
      <c r="H408" s="1865">
        <v>216.10169999999999</v>
      </c>
      <c r="I408" s="1866">
        <f>+H408*G408</f>
        <v>1728.8136</v>
      </c>
      <c r="J408" s="3389"/>
      <c r="K408" s="3387"/>
      <c r="L408" s="3387"/>
      <c r="M408" s="3348"/>
      <c r="O408" s="1528">
        <f>+M407*3.42</f>
        <v>11867.403365280001</v>
      </c>
    </row>
    <row r="409" spans="6:15">
      <c r="F409" s="1869" t="s">
        <v>464</v>
      </c>
      <c r="G409" s="1870">
        <v>10</v>
      </c>
      <c r="H409" s="1865">
        <v>66.949200000000005</v>
      </c>
      <c r="I409" s="1866">
        <f>+H409*G409</f>
        <v>669.49200000000008</v>
      </c>
      <c r="J409" s="3389"/>
      <c r="K409" s="3387"/>
      <c r="L409" s="3387"/>
      <c r="M409" s="3348"/>
      <c r="O409" s="1528">
        <v>4</v>
      </c>
    </row>
    <row r="410" spans="6:15">
      <c r="F410" s="1869" t="s">
        <v>465</v>
      </c>
      <c r="G410" s="1870">
        <v>10</v>
      </c>
      <c r="H410" s="1865">
        <v>8.4746000000000006</v>
      </c>
      <c r="I410" s="1866">
        <f>+H410*G410</f>
        <v>84.746000000000009</v>
      </c>
      <c r="J410" s="3389"/>
      <c r="K410" s="3387"/>
      <c r="L410" s="3387"/>
      <c r="M410" s="3348"/>
      <c r="O410" s="1528">
        <f>+O408/O409</f>
        <v>2966.8508413200002</v>
      </c>
    </row>
    <row r="411" spans="6:15" ht="13.5" thickBot="1">
      <c r="F411" s="1871" t="s">
        <v>468</v>
      </c>
      <c r="G411" s="1872">
        <v>0</v>
      </c>
      <c r="H411" s="1873">
        <v>14.4068</v>
      </c>
      <c r="I411" s="1874">
        <f>+H411*G411</f>
        <v>0</v>
      </c>
      <c r="J411" s="3390"/>
      <c r="K411" s="3388"/>
      <c r="L411" s="3388"/>
      <c r="M411" s="3349"/>
    </row>
    <row r="415" spans="6:15">
      <c r="M415" s="1528">
        <f>+M407+M396</f>
        <v>7110.0022080000008</v>
      </c>
    </row>
  </sheetData>
  <mergeCells count="441">
    <mergeCell ref="K8:K10"/>
    <mergeCell ref="L8:L10"/>
    <mergeCell ref="M8:M10"/>
    <mergeCell ref="E71:E73"/>
    <mergeCell ref="J71:J73"/>
    <mergeCell ref="K71:K73"/>
    <mergeCell ref="L71:L73"/>
    <mergeCell ref="M71:M73"/>
    <mergeCell ref="E58:E60"/>
    <mergeCell ref="J58:J60"/>
    <mergeCell ref="K61:K64"/>
    <mergeCell ref="L61:L64"/>
    <mergeCell ref="M61:M64"/>
    <mergeCell ref="I67:J67"/>
    <mergeCell ref="K58:K60"/>
    <mergeCell ref="L58:L60"/>
    <mergeCell ref="M58:M60"/>
    <mergeCell ref="E68:E70"/>
    <mergeCell ref="J68:J70"/>
    <mergeCell ref="K11:K13"/>
    <mergeCell ref="L11:L13"/>
    <mergeCell ref="M11:M13"/>
    <mergeCell ref="E8:E10"/>
    <mergeCell ref="J8:J10"/>
    <mergeCell ref="I3:J3"/>
    <mergeCell ref="E4:E7"/>
    <mergeCell ref="J4:J7"/>
    <mergeCell ref="K4:K7"/>
    <mergeCell ref="L4:L7"/>
    <mergeCell ref="M4:M7"/>
    <mergeCell ref="L40:L43"/>
    <mergeCell ref="M40:M43"/>
    <mergeCell ref="E44:E49"/>
    <mergeCell ref="J44:J49"/>
    <mergeCell ref="K44:K49"/>
    <mergeCell ref="L44:L49"/>
    <mergeCell ref="M44:M49"/>
    <mergeCell ref="I39:J39"/>
    <mergeCell ref="E40:E43"/>
    <mergeCell ref="J40:J43"/>
    <mergeCell ref="K40:K43"/>
    <mergeCell ref="E11:E13"/>
    <mergeCell ref="J11:J13"/>
    <mergeCell ref="E14:E16"/>
    <mergeCell ref="J14:J16"/>
    <mergeCell ref="K14:K16"/>
    <mergeCell ref="L14:L16"/>
    <mergeCell ref="M14:M16"/>
    <mergeCell ref="K74:K76"/>
    <mergeCell ref="E88:E90"/>
    <mergeCell ref="J88:J90"/>
    <mergeCell ref="K88:K90"/>
    <mergeCell ref="L88:L90"/>
    <mergeCell ref="M88:M90"/>
    <mergeCell ref="M84:M87"/>
    <mergeCell ref="E81:E83"/>
    <mergeCell ref="L81:L83"/>
    <mergeCell ref="M81:M83"/>
    <mergeCell ref="J81:J83"/>
    <mergeCell ref="K81:K83"/>
    <mergeCell ref="E74:E76"/>
    <mergeCell ref="J74:J76"/>
    <mergeCell ref="L74:L76"/>
    <mergeCell ref="M74:M76"/>
    <mergeCell ref="K84:K87"/>
    <mergeCell ref="L84:L87"/>
    <mergeCell ref="E77:E80"/>
    <mergeCell ref="E152:E155"/>
    <mergeCell ref="E148:E151"/>
    <mergeCell ref="E143:E147"/>
    <mergeCell ref="J143:J147"/>
    <mergeCell ref="K143:K147"/>
    <mergeCell ref="L143:L147"/>
    <mergeCell ref="E110:E112"/>
    <mergeCell ref="I133:J133"/>
    <mergeCell ref="J116:J118"/>
    <mergeCell ref="K116:K118"/>
    <mergeCell ref="E134:E137"/>
    <mergeCell ref="J134:J137"/>
    <mergeCell ref="K134:K137"/>
    <mergeCell ref="L134:L137"/>
    <mergeCell ref="E122:E126"/>
    <mergeCell ref="L138:L142"/>
    <mergeCell ref="E116:E118"/>
    <mergeCell ref="L116:L118"/>
    <mergeCell ref="J110:J112"/>
    <mergeCell ref="K110:K112"/>
    <mergeCell ref="L110:L112"/>
    <mergeCell ref="E138:E142"/>
    <mergeCell ref="J138:J142"/>
    <mergeCell ref="K138:K142"/>
    <mergeCell ref="K181:K183"/>
    <mergeCell ref="I180:J180"/>
    <mergeCell ref="M152:M155"/>
    <mergeCell ref="J156:J159"/>
    <mergeCell ref="K156:K159"/>
    <mergeCell ref="L156:L159"/>
    <mergeCell ref="L148:L151"/>
    <mergeCell ref="J181:J183"/>
    <mergeCell ref="L187:L190"/>
    <mergeCell ref="J152:J155"/>
    <mergeCell ref="K152:K155"/>
    <mergeCell ref="M156:M159"/>
    <mergeCell ref="L181:L183"/>
    <mergeCell ref="M148:M151"/>
    <mergeCell ref="J148:J151"/>
    <mergeCell ref="K148:K151"/>
    <mergeCell ref="J160:J165"/>
    <mergeCell ref="K160:K165"/>
    <mergeCell ref="L160:L165"/>
    <mergeCell ref="L152:L155"/>
    <mergeCell ref="J170:J173"/>
    <mergeCell ref="K170:K173"/>
    <mergeCell ref="M166:M169"/>
    <mergeCell ref="E166:E169"/>
    <mergeCell ref="J166:J169"/>
    <mergeCell ref="K166:K169"/>
    <mergeCell ref="L166:L169"/>
    <mergeCell ref="E160:E165"/>
    <mergeCell ref="E156:E159"/>
    <mergeCell ref="E170:E173"/>
    <mergeCell ref="M208:M212"/>
    <mergeCell ref="K208:K212"/>
    <mergeCell ref="L208:L212"/>
    <mergeCell ref="E191:E193"/>
    <mergeCell ref="J191:J193"/>
    <mergeCell ref="E181:E183"/>
    <mergeCell ref="E208:E212"/>
    <mergeCell ref="J194:J197"/>
    <mergeCell ref="M194:M197"/>
    <mergeCell ref="E187:E190"/>
    <mergeCell ref="J198:J200"/>
    <mergeCell ref="K198:K200"/>
    <mergeCell ref="E198:E200"/>
    <mergeCell ref="E194:E196"/>
    <mergeCell ref="E184:E186"/>
    <mergeCell ref="J184:J186"/>
    <mergeCell ref="K184:K186"/>
    <mergeCell ref="B250:B255"/>
    <mergeCell ref="E250:E252"/>
    <mergeCell ref="I249:J249"/>
    <mergeCell ref="B237:B245"/>
    <mergeCell ref="K250:K252"/>
    <mergeCell ref="J201:J204"/>
    <mergeCell ref="K228:K230"/>
    <mergeCell ref="K222:K224"/>
    <mergeCell ref="K225:K227"/>
    <mergeCell ref="J242:J245"/>
    <mergeCell ref="K231:K233"/>
    <mergeCell ref="K219:K221"/>
    <mergeCell ref="J237:J241"/>
    <mergeCell ref="I218:J218"/>
    <mergeCell ref="E201:E204"/>
    <mergeCell ref="J208:J212"/>
    <mergeCell ref="K253:K255"/>
    <mergeCell ref="E253:E255"/>
    <mergeCell ref="B231:B236"/>
    <mergeCell ref="B225:B230"/>
    <mergeCell ref="B219:B224"/>
    <mergeCell ref="E234:E236"/>
    <mergeCell ref="J234:J236"/>
    <mergeCell ref="E228:E230"/>
    <mergeCell ref="K194:K197"/>
    <mergeCell ref="J187:J190"/>
    <mergeCell ref="K187:K190"/>
    <mergeCell ref="N297:P297"/>
    <mergeCell ref="K277:K280"/>
    <mergeCell ref="K281:K283"/>
    <mergeCell ref="M281:M283"/>
    <mergeCell ref="M277:M280"/>
    <mergeCell ref="M292:M294"/>
    <mergeCell ref="J297:M297"/>
    <mergeCell ref="J292:J294"/>
    <mergeCell ref="K292:K294"/>
    <mergeCell ref="M288:M291"/>
    <mergeCell ref="M284:M287"/>
    <mergeCell ref="J277:J280"/>
    <mergeCell ref="K288:K291"/>
    <mergeCell ref="M256:M260"/>
    <mergeCell ref="M269:M272"/>
    <mergeCell ref="M237:M241"/>
    <mergeCell ref="L205:L207"/>
    <mergeCell ref="L219:L221"/>
    <mergeCell ref="K237:K241"/>
    <mergeCell ref="J205:J207"/>
    <mergeCell ref="K205:K207"/>
    <mergeCell ref="B339:B340"/>
    <mergeCell ref="J337:K337"/>
    <mergeCell ref="B318:B324"/>
    <mergeCell ref="E321:E324"/>
    <mergeCell ref="J321:J324"/>
    <mergeCell ref="B332:B334"/>
    <mergeCell ref="E318:E320"/>
    <mergeCell ref="W350:X350"/>
    <mergeCell ref="M305:M306"/>
    <mergeCell ref="M307:M308"/>
    <mergeCell ref="K318:K320"/>
    <mergeCell ref="M318:M320"/>
    <mergeCell ref="K305:K306"/>
    <mergeCell ref="K321:K324"/>
    <mergeCell ref="K343:K344"/>
    <mergeCell ref="K325:K327"/>
    <mergeCell ref="O345:Q345"/>
    <mergeCell ref="M346:M347"/>
    <mergeCell ref="M343:M344"/>
    <mergeCell ref="K346:K347"/>
    <mergeCell ref="O342:Q342"/>
    <mergeCell ref="O343:Q343"/>
    <mergeCell ref="O344:Q344"/>
    <mergeCell ref="M311:M313"/>
    <mergeCell ref="B309:B317"/>
    <mergeCell ref="B277:B280"/>
    <mergeCell ref="E305:E308"/>
    <mergeCell ref="B325:B331"/>
    <mergeCell ref="E325:E327"/>
    <mergeCell ref="J325:J327"/>
    <mergeCell ref="J318:J320"/>
    <mergeCell ref="E328:E331"/>
    <mergeCell ref="J328:J331"/>
    <mergeCell ref="B288:B291"/>
    <mergeCell ref="B292:B294"/>
    <mergeCell ref="B305:B308"/>
    <mergeCell ref="J314:J317"/>
    <mergeCell ref="J311:J313"/>
    <mergeCell ref="E314:E317"/>
    <mergeCell ref="J307:J308"/>
    <mergeCell ref="J288:J291"/>
    <mergeCell ref="I304:J304"/>
    <mergeCell ref="E288:E291"/>
    <mergeCell ref="E292:E294"/>
    <mergeCell ref="E311:E313"/>
    <mergeCell ref="J305:J306"/>
    <mergeCell ref="B256:B260"/>
    <mergeCell ref="B261:B265"/>
    <mergeCell ref="B281:B283"/>
    <mergeCell ref="B284:B287"/>
    <mergeCell ref="B273:B276"/>
    <mergeCell ref="K256:K260"/>
    <mergeCell ref="J256:J260"/>
    <mergeCell ref="E277:E280"/>
    <mergeCell ref="K261:K265"/>
    <mergeCell ref="E256:E260"/>
    <mergeCell ref="E261:E265"/>
    <mergeCell ref="J261:J265"/>
    <mergeCell ref="K273:K276"/>
    <mergeCell ref="I268:J268"/>
    <mergeCell ref="E273:E276"/>
    <mergeCell ref="J273:J276"/>
    <mergeCell ref="E284:E287"/>
    <mergeCell ref="J284:J287"/>
    <mergeCell ref="B269:B272"/>
    <mergeCell ref="E269:E272"/>
    <mergeCell ref="J269:J272"/>
    <mergeCell ref="K269:K272"/>
    <mergeCell ref="E281:E283"/>
    <mergeCell ref="K284:K287"/>
    <mergeCell ref="E384:E387"/>
    <mergeCell ref="J384:J387"/>
    <mergeCell ref="E376:E379"/>
    <mergeCell ref="J376:J379"/>
    <mergeCell ref="K396:K400"/>
    <mergeCell ref="L396:L400"/>
    <mergeCell ref="I406:J406"/>
    <mergeCell ref="J396:J400"/>
    <mergeCell ref="K376:K379"/>
    <mergeCell ref="K407:K411"/>
    <mergeCell ref="L407:L411"/>
    <mergeCell ref="J407:J411"/>
    <mergeCell ref="I395:J395"/>
    <mergeCell ref="K384:K387"/>
    <mergeCell ref="J253:J255"/>
    <mergeCell ref="I345:J345"/>
    <mergeCell ref="M321:M324"/>
    <mergeCell ref="M325:M327"/>
    <mergeCell ref="M328:M331"/>
    <mergeCell ref="M253:M255"/>
    <mergeCell ref="K242:K245"/>
    <mergeCell ref="K234:K236"/>
    <mergeCell ref="M242:M245"/>
    <mergeCell ref="M250:M252"/>
    <mergeCell ref="J219:J221"/>
    <mergeCell ref="J225:J227"/>
    <mergeCell ref="J222:J224"/>
    <mergeCell ref="J228:J230"/>
    <mergeCell ref="J231:J233"/>
    <mergeCell ref="M198:M200"/>
    <mergeCell ref="M181:M183"/>
    <mergeCell ref="M184:M186"/>
    <mergeCell ref="M170:M173"/>
    <mergeCell ref="L170:L173"/>
    <mergeCell ref="L184:L186"/>
    <mergeCell ref="L191:L193"/>
    <mergeCell ref="L234:L236"/>
    <mergeCell ref="L198:L200"/>
    <mergeCell ref="L194:L197"/>
    <mergeCell ref="M191:M193"/>
    <mergeCell ref="M219:M221"/>
    <mergeCell ref="L201:L204"/>
    <mergeCell ref="L222:L224"/>
    <mergeCell ref="L228:L230"/>
    <mergeCell ref="E343:E344"/>
    <mergeCell ref="I342:J342"/>
    <mergeCell ref="J281:J283"/>
    <mergeCell ref="K307:K308"/>
    <mergeCell ref="E346:E347"/>
    <mergeCell ref="J346:J347"/>
    <mergeCell ref="K191:K193"/>
    <mergeCell ref="E242:E244"/>
    <mergeCell ref="E231:E233"/>
    <mergeCell ref="E237:E240"/>
    <mergeCell ref="E205:E207"/>
    <mergeCell ref="K201:K204"/>
    <mergeCell ref="J339:K339"/>
    <mergeCell ref="J338:K338"/>
    <mergeCell ref="J332:J334"/>
    <mergeCell ref="K332:K334"/>
    <mergeCell ref="K328:K331"/>
    <mergeCell ref="K314:K317"/>
    <mergeCell ref="K311:K313"/>
    <mergeCell ref="J250:J252"/>
    <mergeCell ref="J343:J344"/>
    <mergeCell ref="E219:E221"/>
    <mergeCell ref="E222:E224"/>
    <mergeCell ref="E225:E227"/>
    <mergeCell ref="M110:M112"/>
    <mergeCell ref="J122:J126"/>
    <mergeCell ref="K122:K126"/>
    <mergeCell ref="L122:L126"/>
    <mergeCell ref="M407:M411"/>
    <mergeCell ref="M134:M137"/>
    <mergeCell ref="M396:M400"/>
    <mergeCell ref="M205:M207"/>
    <mergeCell ref="M187:M190"/>
    <mergeCell ref="M201:M204"/>
    <mergeCell ref="M231:M233"/>
    <mergeCell ref="M222:M224"/>
    <mergeCell ref="M225:M227"/>
    <mergeCell ref="M228:M230"/>
    <mergeCell ref="M332:M334"/>
    <mergeCell ref="M314:M317"/>
    <mergeCell ref="M384:M387"/>
    <mergeCell ref="M261:M265"/>
    <mergeCell ref="M143:M147"/>
    <mergeCell ref="M376:M379"/>
    <mergeCell ref="M160:M165"/>
    <mergeCell ref="M273:M276"/>
    <mergeCell ref="M138:M142"/>
    <mergeCell ref="M234:M236"/>
    <mergeCell ref="M122:M126"/>
    <mergeCell ref="E113:E115"/>
    <mergeCell ref="J119:J121"/>
    <mergeCell ref="K119:K121"/>
    <mergeCell ref="L119:L121"/>
    <mergeCell ref="M119:M121"/>
    <mergeCell ref="J113:J115"/>
    <mergeCell ref="K113:K115"/>
    <mergeCell ref="L113:L115"/>
    <mergeCell ref="M113:M115"/>
    <mergeCell ref="E119:E121"/>
    <mergeCell ref="M116:M118"/>
    <mergeCell ref="L98:L100"/>
    <mergeCell ref="M98:M100"/>
    <mergeCell ref="E101:E103"/>
    <mergeCell ref="J101:J103"/>
    <mergeCell ref="K101:K103"/>
    <mergeCell ref="L101:L103"/>
    <mergeCell ref="M101:M103"/>
    <mergeCell ref="J107:J109"/>
    <mergeCell ref="K107:K109"/>
    <mergeCell ref="L107:L109"/>
    <mergeCell ref="L104:L106"/>
    <mergeCell ref="M104:M106"/>
    <mergeCell ref="E107:E109"/>
    <mergeCell ref="E98:E100"/>
    <mergeCell ref="J98:J100"/>
    <mergeCell ref="K98:K100"/>
    <mergeCell ref="M107:M109"/>
    <mergeCell ref="E104:E106"/>
    <mergeCell ref="J104:J106"/>
    <mergeCell ref="K104:K106"/>
    <mergeCell ref="E95:E97"/>
    <mergeCell ref="J95:J97"/>
    <mergeCell ref="K95:K97"/>
    <mergeCell ref="L95:L97"/>
    <mergeCell ref="M95:M97"/>
    <mergeCell ref="J77:J80"/>
    <mergeCell ref="K77:K80"/>
    <mergeCell ref="L77:L80"/>
    <mergeCell ref="M77:M80"/>
    <mergeCell ref="E91:E94"/>
    <mergeCell ref="J91:J94"/>
    <mergeCell ref="K91:K94"/>
    <mergeCell ref="L91:L94"/>
    <mergeCell ref="M91:M94"/>
    <mergeCell ref="E84:E87"/>
    <mergeCell ref="J84:J87"/>
    <mergeCell ref="K68:K70"/>
    <mergeCell ref="L68:L70"/>
    <mergeCell ref="M68:M70"/>
    <mergeCell ref="E61:E64"/>
    <mergeCell ref="J61:J64"/>
    <mergeCell ref="E50:E52"/>
    <mergeCell ref="J50:J52"/>
    <mergeCell ref="K50:K52"/>
    <mergeCell ref="K23:K25"/>
    <mergeCell ref="L23:L25"/>
    <mergeCell ref="M23:M25"/>
    <mergeCell ref="E26:E28"/>
    <mergeCell ref="J26:J28"/>
    <mergeCell ref="K26:K28"/>
    <mergeCell ref="L26:L28"/>
    <mergeCell ref="M26:M28"/>
    <mergeCell ref="E32:E36"/>
    <mergeCell ref="J32:J36"/>
    <mergeCell ref="K32:K36"/>
    <mergeCell ref="L32:L36"/>
    <mergeCell ref="M32:M36"/>
    <mergeCell ref="E17:E19"/>
    <mergeCell ref="J17:J19"/>
    <mergeCell ref="K17:K19"/>
    <mergeCell ref="L17:L19"/>
    <mergeCell ref="M17:M19"/>
    <mergeCell ref="E53:E57"/>
    <mergeCell ref="J53:J57"/>
    <mergeCell ref="K53:K57"/>
    <mergeCell ref="L53:L57"/>
    <mergeCell ref="M53:M57"/>
    <mergeCell ref="L50:L52"/>
    <mergeCell ref="M50:M52"/>
    <mergeCell ref="E29:E31"/>
    <mergeCell ref="J29:J31"/>
    <mergeCell ref="K29:K31"/>
    <mergeCell ref="L29:L31"/>
    <mergeCell ref="M29:M31"/>
    <mergeCell ref="E20:E22"/>
    <mergeCell ref="J20:J22"/>
    <mergeCell ref="K20:K22"/>
    <mergeCell ref="L20:L22"/>
    <mergeCell ref="M20:M22"/>
    <mergeCell ref="E23:E25"/>
    <mergeCell ref="J23:J25"/>
  </mergeCells>
  <phoneticPr fontId="0" type="noConversion"/>
  <printOptions horizontalCentered="1"/>
  <pageMargins left="0.75" right="0.75" top="0.78740157480314965" bottom="0.98425196850393704" header="0" footer="0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5:AH994"/>
  <sheetViews>
    <sheetView workbookViewId="0">
      <pane ySplit="7" topLeftCell="A104" activePane="bottomLeft" state="frozen"/>
      <selection pane="bottomLeft" activeCell="H114" sqref="H114"/>
    </sheetView>
  </sheetViews>
  <sheetFormatPr baseColWidth="10" defaultRowHeight="15" outlineLevelRow="2" outlineLevelCol="1"/>
  <cols>
    <col min="1" max="1" width="2.7109375" customWidth="1"/>
    <col min="2" max="2" width="5.5703125" style="822" customWidth="1"/>
    <col min="3" max="3" width="4.7109375" customWidth="1"/>
    <col min="4" max="4" width="4.85546875" style="868" customWidth="1"/>
    <col min="5" max="5" width="12.7109375" customWidth="1"/>
    <col min="6" max="6" width="3.7109375" style="869" bestFit="1" customWidth="1"/>
    <col min="7" max="7" width="14.42578125" style="2506" customWidth="1"/>
    <col min="8" max="8" width="13.7109375" style="870" customWidth="1"/>
    <col min="9" max="9" width="10.28515625" style="693" customWidth="1"/>
    <col min="10" max="10" width="16.7109375" customWidth="1" outlineLevel="1"/>
    <col min="11" max="11" width="10" style="871" customWidth="1" outlineLevel="1"/>
    <col min="12" max="12" width="12.5703125" style="822" customWidth="1" outlineLevel="1"/>
    <col min="13" max="13" width="9.28515625" style="872" customWidth="1"/>
    <col min="14" max="14" width="13.140625" style="872" bestFit="1" customWidth="1"/>
    <col min="15" max="15" width="47.85546875" style="11" bestFit="1" customWidth="1" outlineLevel="1"/>
    <col min="16" max="16" width="5.7109375" customWidth="1"/>
    <col min="17" max="17" width="1.7109375" customWidth="1"/>
    <col min="18" max="19" width="2.5703125" customWidth="1"/>
    <col min="20" max="20" width="1.7109375" customWidth="1"/>
    <col min="21" max="21" width="2.5703125" customWidth="1"/>
    <col min="22" max="23" width="4.28515625" customWidth="1"/>
    <col min="24" max="24" width="2.5703125" customWidth="1"/>
    <col min="25" max="25" width="1.7109375" customWidth="1"/>
    <col min="26" max="27" width="2.5703125" customWidth="1"/>
    <col min="28" max="28" width="1.7109375" customWidth="1"/>
    <col min="29" max="29" width="5.7109375" customWidth="1"/>
    <col min="30" max="30" width="3.85546875" bestFit="1" customWidth="1"/>
    <col min="31" max="31" width="8.140625" bestFit="1" customWidth="1"/>
    <col min="32" max="32" width="6.7109375" bestFit="1" customWidth="1"/>
    <col min="33" max="33" width="14.5703125" bestFit="1" customWidth="1"/>
  </cols>
  <sheetData>
    <row r="5" spans="2:18" ht="20.25">
      <c r="D5" s="867" t="s">
        <v>3503</v>
      </c>
      <c r="O5" s="2896">
        <f ca="1">TODAY()</f>
        <v>43895</v>
      </c>
    </row>
    <row r="6" spans="2:18" ht="15.75" thickBot="1"/>
    <row r="7" spans="2:18" s="463" customFormat="1" ht="19.5" customHeight="1" outlineLevel="1" thickBot="1">
      <c r="B7" s="874" t="s">
        <v>704</v>
      </c>
      <c r="C7" s="875" t="s">
        <v>113</v>
      </c>
      <c r="D7" s="876" t="s">
        <v>176</v>
      </c>
      <c r="E7" s="877" t="s">
        <v>114</v>
      </c>
      <c r="F7" s="878" t="s">
        <v>705</v>
      </c>
      <c r="G7" s="2507" t="s">
        <v>115</v>
      </c>
      <c r="H7" s="880" t="s">
        <v>116</v>
      </c>
      <c r="I7" s="2554" t="s">
        <v>117</v>
      </c>
      <c r="J7" s="882" t="s">
        <v>118</v>
      </c>
      <c r="K7" s="883" t="s">
        <v>119</v>
      </c>
      <c r="L7" s="884" t="s">
        <v>713</v>
      </c>
      <c r="M7" s="885" t="s">
        <v>120</v>
      </c>
      <c r="N7" s="886" t="s">
        <v>121</v>
      </c>
      <c r="O7" s="887" t="s">
        <v>719</v>
      </c>
    </row>
    <row r="8" spans="2:18" ht="15.75" customHeight="1" outlineLevel="1" thickTop="1">
      <c r="B8" s="977">
        <v>1</v>
      </c>
      <c r="C8" s="3462"/>
      <c r="D8" s="1078">
        <v>1</v>
      </c>
      <c r="E8" s="2291" t="s">
        <v>133</v>
      </c>
      <c r="F8" s="940" t="s">
        <v>723</v>
      </c>
      <c r="G8" s="1381" t="s">
        <v>253</v>
      </c>
      <c r="H8" s="942">
        <v>10119</v>
      </c>
      <c r="I8" s="934" t="s">
        <v>179</v>
      </c>
      <c r="J8" s="922" t="s">
        <v>129</v>
      </c>
      <c r="K8" s="982" t="s">
        <v>3504</v>
      </c>
      <c r="L8" s="944">
        <v>43481</v>
      </c>
      <c r="M8" s="2105" t="s">
        <v>152</v>
      </c>
      <c r="N8" s="2286">
        <v>43483</v>
      </c>
      <c r="O8" s="1505" t="s">
        <v>2444</v>
      </c>
      <c r="P8" s="3460">
        <v>43123</v>
      </c>
      <c r="Q8" s="3461"/>
      <c r="R8" s="3461"/>
    </row>
    <row r="9" spans="2:18" outlineLevel="1">
      <c r="B9" s="889">
        <v>2</v>
      </c>
      <c r="C9" s="3462"/>
      <c r="D9" s="1037">
        <v>2</v>
      </c>
      <c r="E9" s="2205" t="s">
        <v>133</v>
      </c>
      <c r="F9" s="940" t="s">
        <v>723</v>
      </c>
      <c r="G9" s="2508" t="s">
        <v>253</v>
      </c>
      <c r="H9" s="894">
        <v>20119</v>
      </c>
      <c r="I9" s="934" t="s">
        <v>179</v>
      </c>
      <c r="J9" s="922" t="s">
        <v>129</v>
      </c>
      <c r="K9" s="982" t="s">
        <v>3504</v>
      </c>
      <c r="L9" s="944">
        <v>43481</v>
      </c>
      <c r="M9" s="2105" t="s">
        <v>152</v>
      </c>
      <c r="N9" s="2283">
        <v>43483</v>
      </c>
      <c r="O9" s="2277" t="s">
        <v>2444</v>
      </c>
    </row>
    <row r="10" spans="2:18" outlineLevel="1">
      <c r="B10" s="889">
        <v>3</v>
      </c>
      <c r="C10" s="3462"/>
      <c r="D10" s="1276">
        <v>3</v>
      </c>
      <c r="E10" s="2206" t="s">
        <v>133</v>
      </c>
      <c r="F10" s="950" t="s">
        <v>723</v>
      </c>
      <c r="G10" s="1382" t="s">
        <v>682</v>
      </c>
      <c r="H10" s="894">
        <v>30119</v>
      </c>
      <c r="I10" s="934" t="s">
        <v>183</v>
      </c>
      <c r="J10" s="952" t="s">
        <v>129</v>
      </c>
      <c r="K10" s="982" t="s">
        <v>3354</v>
      </c>
      <c r="L10" s="944">
        <v>43481</v>
      </c>
      <c r="M10" s="2105" t="s">
        <v>152</v>
      </c>
      <c r="N10" s="2284">
        <v>43483</v>
      </c>
      <c r="O10" s="2278" t="s">
        <v>2444</v>
      </c>
    </row>
    <row r="11" spans="2:18" outlineLevel="1">
      <c r="B11" s="889">
        <v>4</v>
      </c>
      <c r="C11" s="3462"/>
      <c r="D11" s="1037">
        <v>4</v>
      </c>
      <c r="E11" s="2207" t="s">
        <v>133</v>
      </c>
      <c r="F11" s="959" t="s">
        <v>723</v>
      </c>
      <c r="G11" s="2508" t="s">
        <v>682</v>
      </c>
      <c r="H11" s="894">
        <v>40119</v>
      </c>
      <c r="I11" s="934" t="s">
        <v>183</v>
      </c>
      <c r="J11" s="934" t="s">
        <v>129</v>
      </c>
      <c r="K11" s="982" t="s">
        <v>3354</v>
      </c>
      <c r="L11" s="944">
        <v>43481</v>
      </c>
      <c r="M11" s="2105" t="s">
        <v>152</v>
      </c>
      <c r="N11" s="2283">
        <v>43483</v>
      </c>
      <c r="O11" s="2277" t="s">
        <v>2444</v>
      </c>
    </row>
    <row r="12" spans="2:18" outlineLevel="1">
      <c r="B12" s="889">
        <v>5</v>
      </c>
      <c r="C12" s="3462"/>
      <c r="D12" s="1278">
        <v>5</v>
      </c>
      <c r="E12" s="2208" t="s">
        <v>133</v>
      </c>
      <c r="F12" s="950" t="s">
        <v>723</v>
      </c>
      <c r="G12" s="2509" t="s">
        <v>682</v>
      </c>
      <c r="H12" s="894">
        <v>50119</v>
      </c>
      <c r="I12" s="934" t="s">
        <v>183</v>
      </c>
      <c r="J12" s="895" t="s">
        <v>129</v>
      </c>
      <c r="K12" s="982" t="s">
        <v>3354</v>
      </c>
      <c r="L12" s="944">
        <v>43481</v>
      </c>
      <c r="M12" s="2105" t="s">
        <v>152</v>
      </c>
      <c r="N12" s="2285">
        <v>43483</v>
      </c>
      <c r="O12" s="2279" t="s">
        <v>2444</v>
      </c>
    </row>
    <row r="13" spans="2:18" outlineLevel="1">
      <c r="B13" s="889">
        <v>6</v>
      </c>
      <c r="C13" s="3462"/>
      <c r="D13" s="1278">
        <v>6</v>
      </c>
      <c r="E13" s="2208" t="s">
        <v>133</v>
      </c>
      <c r="F13" s="892" t="s">
        <v>723</v>
      </c>
      <c r="G13" s="2509" t="s">
        <v>682</v>
      </c>
      <c r="H13" s="894">
        <v>60119</v>
      </c>
      <c r="I13" s="934" t="s">
        <v>183</v>
      </c>
      <c r="J13" s="895" t="s">
        <v>129</v>
      </c>
      <c r="K13" s="982" t="s">
        <v>3354</v>
      </c>
      <c r="L13" s="944">
        <v>43481</v>
      </c>
      <c r="M13" s="2105" t="s">
        <v>152</v>
      </c>
      <c r="N13" s="2285">
        <v>43483</v>
      </c>
      <c r="O13" s="2279" t="s">
        <v>2444</v>
      </c>
    </row>
    <row r="14" spans="2:18" outlineLevel="1">
      <c r="B14" s="889">
        <v>7</v>
      </c>
      <c r="C14" s="3462"/>
      <c r="D14" s="1278">
        <v>7</v>
      </c>
      <c r="E14" s="2208" t="s">
        <v>133</v>
      </c>
      <c r="F14" s="892" t="s">
        <v>723</v>
      </c>
      <c r="G14" s="2509" t="s">
        <v>682</v>
      </c>
      <c r="H14" s="894">
        <v>70119</v>
      </c>
      <c r="I14" s="934" t="s">
        <v>183</v>
      </c>
      <c r="J14" s="895" t="s">
        <v>129</v>
      </c>
      <c r="K14" s="982" t="s">
        <v>3354</v>
      </c>
      <c r="L14" s="944">
        <v>43481</v>
      </c>
      <c r="M14" s="2105" t="s">
        <v>152</v>
      </c>
      <c r="N14" s="2285">
        <v>43483</v>
      </c>
      <c r="O14" s="2279" t="s">
        <v>2444</v>
      </c>
    </row>
    <row r="15" spans="2:18" outlineLevel="1">
      <c r="B15" s="889">
        <v>8</v>
      </c>
      <c r="C15" s="3462"/>
      <c r="D15" s="1278">
        <v>8</v>
      </c>
      <c r="E15" s="2208" t="s">
        <v>133</v>
      </c>
      <c r="F15" s="892" t="s">
        <v>723</v>
      </c>
      <c r="G15" s="2509" t="s">
        <v>682</v>
      </c>
      <c r="H15" s="894">
        <v>80119</v>
      </c>
      <c r="I15" s="934" t="s">
        <v>183</v>
      </c>
      <c r="J15" s="895" t="s">
        <v>129</v>
      </c>
      <c r="K15" s="982" t="s">
        <v>3354</v>
      </c>
      <c r="L15" s="944">
        <v>43481</v>
      </c>
      <c r="M15" s="2105" t="s">
        <v>152</v>
      </c>
      <c r="N15" s="2285">
        <v>43483</v>
      </c>
      <c r="O15" s="2279" t="s">
        <v>2444</v>
      </c>
    </row>
    <row r="16" spans="2:18" outlineLevel="1">
      <c r="B16" s="889">
        <v>9</v>
      </c>
      <c r="C16" s="3462"/>
      <c r="D16" s="1276">
        <v>9</v>
      </c>
      <c r="E16" s="2206" t="s">
        <v>133</v>
      </c>
      <c r="F16" s="950" t="s">
        <v>723</v>
      </c>
      <c r="G16" s="1382" t="s">
        <v>682</v>
      </c>
      <c r="H16" s="894">
        <v>90119</v>
      </c>
      <c r="I16" s="934" t="s">
        <v>183</v>
      </c>
      <c r="J16" s="952" t="s">
        <v>129</v>
      </c>
      <c r="K16" s="982" t="s">
        <v>3354</v>
      </c>
      <c r="L16" s="944">
        <v>43481</v>
      </c>
      <c r="M16" s="2105" t="s">
        <v>152</v>
      </c>
      <c r="N16" s="2284">
        <v>43483</v>
      </c>
      <c r="O16" s="2278" t="s">
        <v>2444</v>
      </c>
    </row>
    <row r="17" spans="2:18" outlineLevel="1">
      <c r="B17" s="889">
        <v>10</v>
      </c>
      <c r="C17" s="3462"/>
      <c r="D17" s="1037">
        <v>10</v>
      </c>
      <c r="E17" s="2207" t="s">
        <v>133</v>
      </c>
      <c r="F17" s="959" t="s">
        <v>723</v>
      </c>
      <c r="G17" s="2508" t="s">
        <v>682</v>
      </c>
      <c r="H17" s="894">
        <v>100119</v>
      </c>
      <c r="I17" s="934" t="s">
        <v>183</v>
      </c>
      <c r="J17" s="934" t="s">
        <v>129</v>
      </c>
      <c r="K17" s="982" t="s">
        <v>3354</v>
      </c>
      <c r="L17" s="944">
        <v>43481</v>
      </c>
      <c r="M17" s="2105" t="s">
        <v>152</v>
      </c>
      <c r="N17" s="2283">
        <v>43483</v>
      </c>
      <c r="O17" s="2277" t="s">
        <v>2444</v>
      </c>
    </row>
    <row r="18" spans="2:18" s="366" customFormat="1" ht="8.1" customHeight="1" outlineLevel="1">
      <c r="B18" s="2680"/>
      <c r="C18" s="3063"/>
      <c r="D18" s="2681"/>
      <c r="E18" s="3064"/>
      <c r="F18" s="2683"/>
      <c r="G18" s="2684"/>
      <c r="H18" s="2685"/>
      <c r="I18" s="3065"/>
      <c r="J18" s="2686"/>
      <c r="K18" s="2295"/>
      <c r="L18" s="2687"/>
      <c r="M18" s="3066"/>
      <c r="N18" s="2688"/>
      <c r="O18" s="1541"/>
    </row>
    <row r="19" spans="2:18" ht="15.75" customHeight="1" outlineLevel="1">
      <c r="B19" s="977">
        <v>11</v>
      </c>
      <c r="C19" s="3063"/>
      <c r="D19" s="1078">
        <v>1</v>
      </c>
      <c r="E19" s="1287" t="s">
        <v>2514</v>
      </c>
      <c r="F19" s="940" t="s">
        <v>723</v>
      </c>
      <c r="G19" s="1381" t="s">
        <v>2515</v>
      </c>
      <c r="H19" s="942">
        <v>110219</v>
      </c>
      <c r="I19" s="3216" t="s">
        <v>1860</v>
      </c>
      <c r="J19" s="922" t="s">
        <v>2432</v>
      </c>
      <c r="K19" s="982" t="s">
        <v>3549</v>
      </c>
      <c r="L19" s="944">
        <v>43493</v>
      </c>
      <c r="M19" s="2105" t="s">
        <v>1799</v>
      </c>
      <c r="N19" s="3086">
        <v>43498</v>
      </c>
      <c r="O19" s="1505" t="s">
        <v>3970</v>
      </c>
      <c r="P19" s="3460">
        <v>43493</v>
      </c>
      <c r="Q19" s="3461"/>
      <c r="R19" s="3461"/>
    </row>
    <row r="20" spans="2:18" outlineLevel="1">
      <c r="B20" s="889">
        <v>12</v>
      </c>
      <c r="C20" s="3063"/>
      <c r="D20" s="1037">
        <v>2</v>
      </c>
      <c r="E20" s="1287" t="s">
        <v>2514</v>
      </c>
      <c r="F20" s="940" t="s">
        <v>723</v>
      </c>
      <c r="G20" s="2508" t="s">
        <v>2515</v>
      </c>
      <c r="H20" s="894">
        <v>120219</v>
      </c>
      <c r="I20" s="3216" t="s">
        <v>1860</v>
      </c>
      <c r="J20" s="922" t="s">
        <v>2432</v>
      </c>
      <c r="K20" s="982" t="s">
        <v>3549</v>
      </c>
      <c r="L20" s="944">
        <v>43493</v>
      </c>
      <c r="M20" s="2105" t="s">
        <v>1799</v>
      </c>
      <c r="N20" s="3086">
        <v>43498</v>
      </c>
      <c r="O20" s="1505" t="s">
        <v>3970</v>
      </c>
    </row>
    <row r="21" spans="2:18" outlineLevel="1">
      <c r="B21" s="889">
        <v>13</v>
      </c>
      <c r="C21" s="3063"/>
      <c r="D21" s="1276">
        <v>3</v>
      </c>
      <c r="E21" s="1288" t="s">
        <v>2514</v>
      </c>
      <c r="F21" s="950" t="s">
        <v>723</v>
      </c>
      <c r="G21" s="1382" t="s">
        <v>2515</v>
      </c>
      <c r="H21" s="894">
        <v>130219</v>
      </c>
      <c r="I21" s="3216" t="s">
        <v>1860</v>
      </c>
      <c r="J21" s="952" t="s">
        <v>2432</v>
      </c>
      <c r="K21" s="982" t="s">
        <v>3549</v>
      </c>
      <c r="L21" s="944">
        <v>43493</v>
      </c>
      <c r="M21" s="2105" t="s">
        <v>1799</v>
      </c>
      <c r="N21" s="3086">
        <v>43498</v>
      </c>
      <c r="O21" s="1505" t="s">
        <v>3970</v>
      </c>
    </row>
    <row r="22" spans="2:18" outlineLevel="1">
      <c r="B22" s="889">
        <v>14</v>
      </c>
      <c r="C22" s="3063"/>
      <c r="D22" s="1037">
        <v>4</v>
      </c>
      <c r="E22" s="1289" t="s">
        <v>2514</v>
      </c>
      <c r="F22" s="959" t="s">
        <v>723</v>
      </c>
      <c r="G22" s="2508" t="s">
        <v>2515</v>
      </c>
      <c r="H22" s="894">
        <v>140219</v>
      </c>
      <c r="I22" s="3216" t="s">
        <v>1860</v>
      </c>
      <c r="J22" s="934" t="s">
        <v>2432</v>
      </c>
      <c r="K22" s="982" t="s">
        <v>3549</v>
      </c>
      <c r="L22" s="944">
        <v>43493</v>
      </c>
      <c r="M22" s="2105" t="s">
        <v>1799</v>
      </c>
      <c r="N22" s="3086">
        <v>43498</v>
      </c>
      <c r="O22" s="1505" t="s">
        <v>3970</v>
      </c>
    </row>
    <row r="23" spans="2:18" s="366" customFormat="1" ht="8.1" customHeight="1" outlineLevel="1">
      <c r="B23" s="2680"/>
      <c r="C23" s="3063"/>
      <c r="D23" s="2681"/>
      <c r="E23" s="3064"/>
      <c r="F23" s="2683"/>
      <c r="G23" s="2684"/>
      <c r="H23" s="2685"/>
      <c r="I23" s="3065"/>
      <c r="J23" s="2686"/>
      <c r="K23" s="2295"/>
      <c r="L23" s="2687"/>
      <c r="M23" s="3066"/>
      <c r="N23" s="2688"/>
      <c r="O23" s="1541"/>
    </row>
    <row r="24" spans="2:18" ht="15.75" customHeight="1" outlineLevel="1">
      <c r="B24" s="977">
        <v>15</v>
      </c>
      <c r="C24" s="3462"/>
      <c r="D24" s="1078">
        <v>1</v>
      </c>
      <c r="E24" s="2291" t="s">
        <v>3351</v>
      </c>
      <c r="F24" s="940" t="s">
        <v>723</v>
      </c>
      <c r="G24" s="1381" t="s">
        <v>3350</v>
      </c>
      <c r="H24" s="942">
        <v>150319</v>
      </c>
      <c r="I24" s="934" t="s">
        <v>834</v>
      </c>
      <c r="J24" s="922" t="s">
        <v>129</v>
      </c>
      <c r="K24" s="982" t="s">
        <v>3551</v>
      </c>
      <c r="L24" s="944">
        <v>43529</v>
      </c>
      <c r="M24" s="2105" t="s">
        <v>3550</v>
      </c>
      <c r="N24" s="2286">
        <v>43535</v>
      </c>
      <c r="O24" s="1505" t="s">
        <v>2444</v>
      </c>
      <c r="P24" s="3460">
        <v>43123</v>
      </c>
      <c r="Q24" s="3461"/>
      <c r="R24" s="3461"/>
    </row>
    <row r="25" spans="2:18" outlineLevel="1">
      <c r="B25" s="889">
        <v>16</v>
      </c>
      <c r="C25" s="3462"/>
      <c r="D25" s="1037">
        <v>2</v>
      </c>
      <c r="E25" s="2205" t="s">
        <v>3351</v>
      </c>
      <c r="F25" s="940" t="s">
        <v>723</v>
      </c>
      <c r="G25" s="2508" t="s">
        <v>3350</v>
      </c>
      <c r="H25" s="894">
        <v>160319</v>
      </c>
      <c r="I25" s="934" t="s">
        <v>834</v>
      </c>
      <c r="J25" s="922" t="s">
        <v>129</v>
      </c>
      <c r="K25" s="982" t="s">
        <v>3551</v>
      </c>
      <c r="L25" s="944">
        <v>43529</v>
      </c>
      <c r="M25" s="2105" t="s">
        <v>3550</v>
      </c>
      <c r="N25" s="2283">
        <v>43535</v>
      </c>
      <c r="O25" s="2277" t="s">
        <v>2444</v>
      </c>
    </row>
    <row r="26" spans="2:18" outlineLevel="1">
      <c r="B26" s="889">
        <v>17</v>
      </c>
      <c r="C26" s="3462"/>
      <c r="D26" s="1276">
        <v>3</v>
      </c>
      <c r="E26" s="2206" t="s">
        <v>3351</v>
      </c>
      <c r="F26" s="950" t="s">
        <v>723</v>
      </c>
      <c r="G26" s="1382" t="s">
        <v>3350</v>
      </c>
      <c r="H26" s="894">
        <v>170319</v>
      </c>
      <c r="I26" s="934" t="s">
        <v>834</v>
      </c>
      <c r="J26" s="952" t="s">
        <v>129</v>
      </c>
      <c r="K26" s="982" t="s">
        <v>3551</v>
      </c>
      <c r="L26" s="944">
        <v>43529</v>
      </c>
      <c r="M26" s="2105" t="s">
        <v>3550</v>
      </c>
      <c r="N26" s="2284">
        <v>43535</v>
      </c>
      <c r="O26" s="2278" t="s">
        <v>2444</v>
      </c>
    </row>
    <row r="27" spans="2:18" outlineLevel="1">
      <c r="B27" s="889">
        <v>18</v>
      </c>
      <c r="C27" s="3462"/>
      <c r="D27" s="1037">
        <v>4</v>
      </c>
      <c r="E27" s="2207" t="s">
        <v>3351</v>
      </c>
      <c r="F27" s="959" t="s">
        <v>723</v>
      </c>
      <c r="G27" s="2508" t="s">
        <v>3350</v>
      </c>
      <c r="H27" s="894">
        <v>180319</v>
      </c>
      <c r="I27" s="934" t="s">
        <v>834</v>
      </c>
      <c r="J27" s="934" t="s">
        <v>129</v>
      </c>
      <c r="K27" s="982" t="s">
        <v>3551</v>
      </c>
      <c r="L27" s="944">
        <v>43529</v>
      </c>
      <c r="M27" s="2105" t="s">
        <v>3550</v>
      </c>
      <c r="N27" s="2283">
        <v>43535</v>
      </c>
      <c r="O27" s="2277" t="s">
        <v>2444</v>
      </c>
    </row>
    <row r="28" spans="2:18" outlineLevel="1">
      <c r="B28" s="889">
        <v>19</v>
      </c>
      <c r="C28" s="3462"/>
      <c r="D28" s="1278">
        <v>5</v>
      </c>
      <c r="E28" s="2208" t="s">
        <v>3351</v>
      </c>
      <c r="F28" s="950" t="s">
        <v>723</v>
      </c>
      <c r="G28" s="2509" t="s">
        <v>3350</v>
      </c>
      <c r="H28" s="894">
        <v>190319</v>
      </c>
      <c r="I28" s="934" t="s">
        <v>834</v>
      </c>
      <c r="J28" s="895" t="s">
        <v>129</v>
      </c>
      <c r="K28" s="982" t="s">
        <v>3551</v>
      </c>
      <c r="L28" s="944">
        <v>43529</v>
      </c>
      <c r="M28" s="2105" t="s">
        <v>3550</v>
      </c>
      <c r="N28" s="2285">
        <v>43535</v>
      </c>
      <c r="O28" s="2279" t="s">
        <v>2444</v>
      </c>
    </row>
    <row r="29" spans="2:18" outlineLevel="1">
      <c r="B29" s="889">
        <v>20</v>
      </c>
      <c r="C29" s="3462"/>
      <c r="D29" s="1278">
        <v>6</v>
      </c>
      <c r="E29" s="2208" t="s">
        <v>3351</v>
      </c>
      <c r="F29" s="892" t="s">
        <v>723</v>
      </c>
      <c r="G29" s="2509" t="s">
        <v>3350</v>
      </c>
      <c r="H29" s="894">
        <v>200319</v>
      </c>
      <c r="I29" s="934" t="s">
        <v>834</v>
      </c>
      <c r="J29" s="895" t="s">
        <v>129</v>
      </c>
      <c r="K29" s="982" t="s">
        <v>3551</v>
      </c>
      <c r="L29" s="944">
        <v>43529</v>
      </c>
      <c r="M29" s="2105" t="s">
        <v>3550</v>
      </c>
      <c r="N29" s="2285">
        <v>43535</v>
      </c>
      <c r="O29" s="2279" t="s">
        <v>2444</v>
      </c>
    </row>
    <row r="30" spans="2:18" outlineLevel="1">
      <c r="B30" s="889">
        <v>21</v>
      </c>
      <c r="C30" s="3462"/>
      <c r="D30" s="1278">
        <v>7</v>
      </c>
      <c r="E30" s="2208" t="s">
        <v>3351</v>
      </c>
      <c r="F30" s="892" t="s">
        <v>723</v>
      </c>
      <c r="G30" s="2509" t="s">
        <v>3350</v>
      </c>
      <c r="H30" s="894">
        <v>210319</v>
      </c>
      <c r="I30" s="934" t="s">
        <v>834</v>
      </c>
      <c r="J30" s="895" t="s">
        <v>129</v>
      </c>
      <c r="K30" s="982" t="s">
        <v>3551</v>
      </c>
      <c r="L30" s="944">
        <v>43529</v>
      </c>
      <c r="M30" s="2105" t="s">
        <v>3550</v>
      </c>
      <c r="N30" s="2285">
        <v>43535</v>
      </c>
      <c r="O30" s="2279" t="s">
        <v>2444</v>
      </c>
    </row>
    <row r="31" spans="2:18" outlineLevel="1">
      <c r="B31" s="889">
        <v>22</v>
      </c>
      <c r="C31" s="3462"/>
      <c r="D31" s="1278">
        <v>8</v>
      </c>
      <c r="E31" s="2208" t="s">
        <v>3351</v>
      </c>
      <c r="F31" s="892" t="s">
        <v>723</v>
      </c>
      <c r="G31" s="2509" t="s">
        <v>3350</v>
      </c>
      <c r="H31" s="894">
        <v>220319</v>
      </c>
      <c r="I31" s="934" t="s">
        <v>834</v>
      </c>
      <c r="J31" s="895" t="s">
        <v>129</v>
      </c>
      <c r="K31" s="982" t="s">
        <v>3551</v>
      </c>
      <c r="L31" s="944">
        <v>43529</v>
      </c>
      <c r="M31" s="2105" t="s">
        <v>3550</v>
      </c>
      <c r="N31" s="2285">
        <v>43535</v>
      </c>
      <c r="O31" s="2279" t="s">
        <v>2444</v>
      </c>
    </row>
    <row r="32" spans="2:18" outlineLevel="1">
      <c r="B32" s="889">
        <v>23</v>
      </c>
      <c r="C32" s="3462"/>
      <c r="D32" s="1276">
        <v>9</v>
      </c>
      <c r="E32" s="2206" t="s">
        <v>3351</v>
      </c>
      <c r="F32" s="950" t="s">
        <v>723</v>
      </c>
      <c r="G32" s="1382" t="s">
        <v>3350</v>
      </c>
      <c r="H32" s="894">
        <v>230319</v>
      </c>
      <c r="I32" s="934" t="s">
        <v>834</v>
      </c>
      <c r="J32" s="952" t="s">
        <v>129</v>
      </c>
      <c r="K32" s="982" t="s">
        <v>3551</v>
      </c>
      <c r="L32" s="944">
        <v>43529</v>
      </c>
      <c r="M32" s="2105" t="s">
        <v>3550</v>
      </c>
      <c r="N32" s="2284">
        <v>43535</v>
      </c>
      <c r="O32" s="2278" t="s">
        <v>2444</v>
      </c>
    </row>
    <row r="33" spans="2:18" outlineLevel="1">
      <c r="B33" s="889">
        <v>24</v>
      </c>
      <c r="C33" s="3462"/>
      <c r="D33" s="1037">
        <v>10</v>
      </c>
      <c r="E33" s="2207" t="s">
        <v>3351</v>
      </c>
      <c r="F33" s="959" t="s">
        <v>723</v>
      </c>
      <c r="G33" s="2508" t="s">
        <v>3350</v>
      </c>
      <c r="H33" s="894">
        <v>240319</v>
      </c>
      <c r="I33" s="934" t="s">
        <v>834</v>
      </c>
      <c r="J33" s="934" t="s">
        <v>129</v>
      </c>
      <c r="K33" s="982" t="s">
        <v>3551</v>
      </c>
      <c r="L33" s="944">
        <v>43529</v>
      </c>
      <c r="M33" s="2105" t="s">
        <v>3550</v>
      </c>
      <c r="N33" s="2283">
        <v>43535</v>
      </c>
      <c r="O33" s="2277" t="s">
        <v>2444</v>
      </c>
    </row>
    <row r="34" spans="2:18" outlineLevel="1">
      <c r="B34" s="889">
        <v>25</v>
      </c>
      <c r="C34" s="3462"/>
      <c r="D34" s="1078">
        <v>11</v>
      </c>
      <c r="E34" s="2205" t="s">
        <v>3351</v>
      </c>
      <c r="F34" s="940" t="s">
        <v>723</v>
      </c>
      <c r="G34" s="1381" t="s">
        <v>3350</v>
      </c>
      <c r="H34" s="942">
        <v>250319</v>
      </c>
      <c r="I34" s="934" t="s">
        <v>834</v>
      </c>
      <c r="J34" s="922" t="s">
        <v>129</v>
      </c>
      <c r="K34" s="982" t="s">
        <v>3551</v>
      </c>
      <c r="L34" s="944">
        <v>43529</v>
      </c>
      <c r="M34" s="2105" t="s">
        <v>3550</v>
      </c>
      <c r="N34" s="2286">
        <v>43535</v>
      </c>
      <c r="O34" s="2280" t="s">
        <v>2444</v>
      </c>
    </row>
    <row r="35" spans="2:18" ht="15.75" outlineLevel="1" thickBot="1">
      <c r="B35" s="889">
        <v>26</v>
      </c>
      <c r="C35" s="3462"/>
      <c r="D35" s="1037">
        <v>12</v>
      </c>
      <c r="E35" s="2477" t="s">
        <v>3351</v>
      </c>
      <c r="F35" s="2478" t="s">
        <v>723</v>
      </c>
      <c r="G35" s="2508" t="s">
        <v>3350</v>
      </c>
      <c r="H35" s="894">
        <v>260319</v>
      </c>
      <c r="I35" s="934" t="s">
        <v>834</v>
      </c>
      <c r="J35" s="934" t="s">
        <v>129</v>
      </c>
      <c r="K35" s="846" t="s">
        <v>3551</v>
      </c>
      <c r="L35" s="936">
        <v>43529</v>
      </c>
      <c r="M35" s="852" t="s">
        <v>3550</v>
      </c>
      <c r="N35" s="2283">
        <v>43535</v>
      </c>
      <c r="O35" s="2281" t="s">
        <v>2444</v>
      </c>
    </row>
    <row r="36" spans="2:18" ht="8.1" customHeight="1" outlineLevel="1">
      <c r="B36" s="2680"/>
      <c r="C36" s="3063"/>
      <c r="D36" s="2681"/>
      <c r="E36" s="3064"/>
      <c r="F36" s="2683"/>
      <c r="G36" s="2684"/>
      <c r="H36" s="2685"/>
      <c r="I36" s="2686"/>
      <c r="J36" s="2686"/>
      <c r="K36" s="2295"/>
      <c r="L36" s="2687"/>
      <c r="M36" s="3066"/>
      <c r="N36" s="2688"/>
      <c r="O36" s="1541"/>
    </row>
    <row r="37" spans="2:18" ht="15.75" customHeight="1" outlineLevel="1">
      <c r="B37" s="977">
        <v>27</v>
      </c>
      <c r="C37" s="3063"/>
      <c r="D37" s="1078">
        <v>1</v>
      </c>
      <c r="E37" s="2291" t="s">
        <v>133</v>
      </c>
      <c r="F37" s="940" t="s">
        <v>723</v>
      </c>
      <c r="G37" s="1381" t="s">
        <v>253</v>
      </c>
      <c r="H37" s="942">
        <v>270419</v>
      </c>
      <c r="I37" s="922" t="s">
        <v>179</v>
      </c>
      <c r="J37" s="922" t="s">
        <v>129</v>
      </c>
      <c r="K37" s="982" t="s">
        <v>3504</v>
      </c>
      <c r="L37" s="944">
        <v>43481</v>
      </c>
      <c r="M37" s="2105" t="s">
        <v>2452</v>
      </c>
      <c r="N37" s="2286">
        <v>43575</v>
      </c>
      <c r="O37" s="1505" t="s">
        <v>2444</v>
      </c>
      <c r="P37" s="3460">
        <v>43556</v>
      </c>
      <c r="Q37" s="3461"/>
      <c r="R37" s="3461"/>
    </row>
    <row r="38" spans="2:18" outlineLevel="1">
      <c r="B38" s="889">
        <v>28</v>
      </c>
      <c r="C38" s="3063"/>
      <c r="D38" s="1037">
        <v>2</v>
      </c>
      <c r="E38" s="2205" t="s">
        <v>133</v>
      </c>
      <c r="F38" s="940" t="s">
        <v>723</v>
      </c>
      <c r="G38" s="2508" t="s">
        <v>253</v>
      </c>
      <c r="H38" s="894">
        <v>280419</v>
      </c>
      <c r="I38" s="934" t="s">
        <v>179</v>
      </c>
      <c r="J38" s="922" t="s">
        <v>129</v>
      </c>
      <c r="K38" s="982" t="s">
        <v>3504</v>
      </c>
      <c r="L38" s="944">
        <v>43481</v>
      </c>
      <c r="M38" s="2105" t="s">
        <v>2452</v>
      </c>
      <c r="N38" s="2283">
        <v>43575</v>
      </c>
      <c r="O38" s="2277" t="s">
        <v>2444</v>
      </c>
    </row>
    <row r="39" spans="2:18" ht="8.1" customHeight="1" outlineLevel="1">
      <c r="B39" s="2680"/>
      <c r="C39" s="3063"/>
      <c r="D39" s="2681"/>
      <c r="E39" s="3064"/>
      <c r="F39" s="2683"/>
      <c r="G39" s="2684"/>
      <c r="H39" s="2685"/>
      <c r="I39" s="2686"/>
      <c r="J39" s="2686"/>
      <c r="K39" s="2295"/>
      <c r="L39" s="2687"/>
      <c r="M39" s="3066"/>
      <c r="N39" s="2688"/>
      <c r="O39" s="1541"/>
    </row>
    <row r="40" spans="2:18" ht="15.75" customHeight="1" outlineLevel="1">
      <c r="B40" s="977">
        <v>29</v>
      </c>
      <c r="C40" s="3063"/>
      <c r="D40" s="1078">
        <v>1</v>
      </c>
      <c r="E40" s="2291" t="s">
        <v>133</v>
      </c>
      <c r="F40" s="940" t="s">
        <v>723</v>
      </c>
      <c r="G40" s="1381" t="s">
        <v>253</v>
      </c>
      <c r="H40" s="942">
        <v>290519</v>
      </c>
      <c r="I40" s="922" t="s">
        <v>179</v>
      </c>
      <c r="J40" s="922" t="s">
        <v>129</v>
      </c>
      <c r="K40" s="982" t="s">
        <v>3653</v>
      </c>
      <c r="L40" s="944">
        <v>43593</v>
      </c>
      <c r="M40" s="2105" t="s">
        <v>149</v>
      </c>
      <c r="N40" s="2286">
        <v>43594</v>
      </c>
      <c r="O40" s="1505" t="s">
        <v>2444</v>
      </c>
      <c r="P40" s="3460">
        <v>43593</v>
      </c>
      <c r="Q40" s="3461"/>
      <c r="R40" s="3461"/>
    </row>
    <row r="41" spans="2:18" outlineLevel="1">
      <c r="B41" s="889">
        <v>30</v>
      </c>
      <c r="C41" s="3063"/>
      <c r="D41" s="1037">
        <v>2</v>
      </c>
      <c r="E41" s="2205" t="s">
        <v>133</v>
      </c>
      <c r="F41" s="940" t="s">
        <v>723</v>
      </c>
      <c r="G41" s="2508" t="s">
        <v>253</v>
      </c>
      <c r="H41" s="894">
        <v>300519</v>
      </c>
      <c r="I41" s="934" t="s">
        <v>179</v>
      </c>
      <c r="J41" s="922" t="s">
        <v>129</v>
      </c>
      <c r="K41" s="982" t="s">
        <v>3653</v>
      </c>
      <c r="L41" s="944">
        <v>43593</v>
      </c>
      <c r="M41" s="2105" t="s">
        <v>149</v>
      </c>
      <c r="N41" s="2283">
        <v>43594</v>
      </c>
      <c r="O41" s="2277" t="s">
        <v>2444</v>
      </c>
    </row>
    <row r="42" spans="2:18" ht="8.1" customHeight="1" outlineLevel="1">
      <c r="B42" s="2680"/>
      <c r="C42" s="3063"/>
      <c r="D42" s="2681"/>
      <c r="E42" s="3064"/>
      <c r="F42" s="2683"/>
      <c r="G42" s="2684"/>
      <c r="H42" s="2685"/>
      <c r="I42" s="2686"/>
      <c r="J42" s="2686"/>
      <c r="K42" s="2295"/>
      <c r="L42" s="2687"/>
      <c r="M42" s="3066"/>
      <c r="N42" s="2688"/>
      <c r="O42" s="1541"/>
    </row>
    <row r="43" spans="2:18" ht="15.75" customHeight="1" outlineLevel="1">
      <c r="B43" s="977">
        <v>31</v>
      </c>
      <c r="C43" s="3063"/>
      <c r="D43" s="1078">
        <v>1</v>
      </c>
      <c r="E43" s="2291" t="s">
        <v>133</v>
      </c>
      <c r="F43" s="940" t="s">
        <v>723</v>
      </c>
      <c r="G43" s="1381" t="s">
        <v>253</v>
      </c>
      <c r="H43" s="942">
        <v>310619</v>
      </c>
      <c r="I43" s="922" t="s">
        <v>179</v>
      </c>
      <c r="J43" s="922" t="s">
        <v>129</v>
      </c>
      <c r="K43" s="982" t="s">
        <v>3706</v>
      </c>
      <c r="L43" s="944">
        <v>43616</v>
      </c>
      <c r="M43" s="2105" t="s">
        <v>173</v>
      </c>
      <c r="N43" s="2286">
        <v>43619</v>
      </c>
      <c r="O43" s="1505" t="s">
        <v>2444</v>
      </c>
      <c r="P43" s="3460">
        <v>43619</v>
      </c>
      <c r="Q43" s="3461"/>
      <c r="R43" s="3461"/>
    </row>
    <row r="44" spans="2:18" outlineLevel="1">
      <c r="B44" s="889">
        <v>32</v>
      </c>
      <c r="C44" s="3063"/>
      <c r="D44" s="1037">
        <v>2</v>
      </c>
      <c r="E44" s="2205" t="s">
        <v>133</v>
      </c>
      <c r="F44" s="940" t="s">
        <v>723</v>
      </c>
      <c r="G44" s="2508" t="s">
        <v>253</v>
      </c>
      <c r="H44" s="942">
        <v>320619</v>
      </c>
      <c r="I44" s="934" t="s">
        <v>179</v>
      </c>
      <c r="J44" s="922" t="s">
        <v>129</v>
      </c>
      <c r="K44" s="982" t="s">
        <v>3706</v>
      </c>
      <c r="L44" s="944">
        <v>43616</v>
      </c>
      <c r="M44" s="2105" t="s">
        <v>173</v>
      </c>
      <c r="N44" s="2283">
        <v>43619</v>
      </c>
      <c r="O44" s="2277" t="s">
        <v>2444</v>
      </c>
    </row>
    <row r="45" spans="2:18" ht="15.75" customHeight="1" outlineLevel="1">
      <c r="B45" s="889">
        <v>33</v>
      </c>
      <c r="C45" s="3462"/>
      <c r="D45" s="1078">
        <v>1</v>
      </c>
      <c r="E45" s="2291" t="s">
        <v>3351</v>
      </c>
      <c r="F45" s="940" t="s">
        <v>723</v>
      </c>
      <c r="G45" s="1381" t="s">
        <v>3350</v>
      </c>
      <c r="H45" s="942">
        <v>330619</v>
      </c>
      <c r="I45" s="934" t="s">
        <v>834</v>
      </c>
      <c r="J45" s="922" t="s">
        <v>129</v>
      </c>
      <c r="K45" s="982" t="s">
        <v>3706</v>
      </c>
      <c r="L45" s="944">
        <v>43616</v>
      </c>
      <c r="M45" s="2105" t="s">
        <v>3707</v>
      </c>
      <c r="N45" s="2286">
        <v>43617</v>
      </c>
      <c r="O45" s="1505" t="s">
        <v>2444</v>
      </c>
      <c r="P45" s="3460">
        <v>43622</v>
      </c>
      <c r="Q45" s="3461"/>
      <c r="R45" s="3461"/>
    </row>
    <row r="46" spans="2:18" outlineLevel="1">
      <c r="B46" s="889">
        <v>34</v>
      </c>
      <c r="C46" s="3462"/>
      <c r="D46" s="1037">
        <v>2</v>
      </c>
      <c r="E46" s="2205" t="s">
        <v>3351</v>
      </c>
      <c r="F46" s="940" t="s">
        <v>723</v>
      </c>
      <c r="G46" s="2508" t="s">
        <v>3350</v>
      </c>
      <c r="H46" s="942">
        <v>340619</v>
      </c>
      <c r="I46" s="934" t="s">
        <v>834</v>
      </c>
      <c r="J46" s="922" t="s">
        <v>129</v>
      </c>
      <c r="K46" s="982" t="s">
        <v>3706</v>
      </c>
      <c r="L46" s="944">
        <v>43616</v>
      </c>
      <c r="M46" s="2105" t="s">
        <v>3707</v>
      </c>
      <c r="N46" s="2283">
        <v>43617</v>
      </c>
      <c r="O46" s="2277" t="s">
        <v>2444</v>
      </c>
    </row>
    <row r="47" spans="2:18" outlineLevel="1">
      <c r="B47" s="889">
        <v>35</v>
      </c>
      <c r="C47" s="3462"/>
      <c r="D47" s="1276">
        <v>3</v>
      </c>
      <c r="E47" s="2206" t="s">
        <v>3351</v>
      </c>
      <c r="F47" s="950" t="s">
        <v>723</v>
      </c>
      <c r="G47" s="1382" t="s">
        <v>3350</v>
      </c>
      <c r="H47" s="942">
        <v>350619</v>
      </c>
      <c r="I47" s="934" t="s">
        <v>834</v>
      </c>
      <c r="J47" s="952" t="s">
        <v>129</v>
      </c>
      <c r="K47" s="982" t="s">
        <v>3706</v>
      </c>
      <c r="L47" s="944">
        <v>43616</v>
      </c>
      <c r="M47" s="2105" t="s">
        <v>3707</v>
      </c>
      <c r="N47" s="2284">
        <v>43617</v>
      </c>
      <c r="O47" s="2278" t="s">
        <v>2444</v>
      </c>
    </row>
    <row r="48" spans="2:18" outlineLevel="1">
      <c r="B48" s="889">
        <v>36</v>
      </c>
      <c r="C48" s="3462"/>
      <c r="D48" s="1037">
        <v>4</v>
      </c>
      <c r="E48" s="2207" t="s">
        <v>3351</v>
      </c>
      <c r="F48" s="959" t="s">
        <v>723</v>
      </c>
      <c r="G48" s="2508" t="s">
        <v>3350</v>
      </c>
      <c r="H48" s="942">
        <v>360619</v>
      </c>
      <c r="I48" s="934" t="s">
        <v>834</v>
      </c>
      <c r="J48" s="934" t="s">
        <v>129</v>
      </c>
      <c r="K48" s="982" t="s">
        <v>3706</v>
      </c>
      <c r="L48" s="944">
        <v>43616</v>
      </c>
      <c r="M48" s="2105" t="s">
        <v>3707</v>
      </c>
      <c r="N48" s="2283">
        <v>43617</v>
      </c>
      <c r="O48" s="2277" t="s">
        <v>2444</v>
      </c>
    </row>
    <row r="49" spans="2:18" outlineLevel="1">
      <c r="B49" s="889">
        <v>37</v>
      </c>
      <c r="C49" s="3462"/>
      <c r="D49" s="1278">
        <v>5</v>
      </c>
      <c r="E49" s="2208" t="s">
        <v>3351</v>
      </c>
      <c r="F49" s="950" t="s">
        <v>723</v>
      </c>
      <c r="G49" s="2509" t="s">
        <v>3350</v>
      </c>
      <c r="H49" s="942">
        <v>370619</v>
      </c>
      <c r="I49" s="934" t="s">
        <v>834</v>
      </c>
      <c r="J49" s="895" t="s">
        <v>129</v>
      </c>
      <c r="K49" s="982" t="s">
        <v>3706</v>
      </c>
      <c r="L49" s="944">
        <v>43616</v>
      </c>
      <c r="M49" s="2105" t="s">
        <v>3707</v>
      </c>
      <c r="N49" s="2285">
        <v>43617</v>
      </c>
      <c r="O49" s="2279" t="s">
        <v>2444</v>
      </c>
    </row>
    <row r="50" spans="2:18" outlineLevel="1">
      <c r="B50" s="889">
        <v>38</v>
      </c>
      <c r="C50" s="3462"/>
      <c r="D50" s="1278">
        <v>6</v>
      </c>
      <c r="E50" s="2208" t="s">
        <v>3351</v>
      </c>
      <c r="F50" s="892" t="s">
        <v>723</v>
      </c>
      <c r="G50" s="2509" t="s">
        <v>3350</v>
      </c>
      <c r="H50" s="942">
        <v>380619</v>
      </c>
      <c r="I50" s="934" t="s">
        <v>834</v>
      </c>
      <c r="J50" s="895" t="s">
        <v>129</v>
      </c>
      <c r="K50" s="982" t="s">
        <v>3706</v>
      </c>
      <c r="L50" s="944">
        <v>43616</v>
      </c>
      <c r="M50" s="2105" t="s">
        <v>3707</v>
      </c>
      <c r="N50" s="2285">
        <v>43617</v>
      </c>
      <c r="O50" s="2279" t="s">
        <v>2444</v>
      </c>
    </row>
    <row r="51" spans="2:18" outlineLevel="1">
      <c r="B51" s="889">
        <v>39</v>
      </c>
      <c r="C51" s="3462"/>
      <c r="D51" s="1278">
        <v>7</v>
      </c>
      <c r="E51" s="2208" t="s">
        <v>3351</v>
      </c>
      <c r="F51" s="892" t="s">
        <v>723</v>
      </c>
      <c r="G51" s="2509" t="s">
        <v>3350</v>
      </c>
      <c r="H51" s="942">
        <v>390619</v>
      </c>
      <c r="I51" s="934" t="s">
        <v>834</v>
      </c>
      <c r="J51" s="895" t="s">
        <v>129</v>
      </c>
      <c r="K51" s="982" t="s">
        <v>3706</v>
      </c>
      <c r="L51" s="944">
        <v>43616</v>
      </c>
      <c r="M51" s="2105" t="s">
        <v>3707</v>
      </c>
      <c r="N51" s="2285">
        <v>43617</v>
      </c>
      <c r="O51" s="2279" t="s">
        <v>2444</v>
      </c>
    </row>
    <row r="52" spans="2:18" outlineLevel="1">
      <c r="B52" s="889">
        <v>40</v>
      </c>
      <c r="C52" s="3462"/>
      <c r="D52" s="1278">
        <v>8</v>
      </c>
      <c r="E52" s="2208" t="s">
        <v>3351</v>
      </c>
      <c r="F52" s="892" t="s">
        <v>723</v>
      </c>
      <c r="G52" s="2509" t="s">
        <v>3350</v>
      </c>
      <c r="H52" s="942">
        <v>400619</v>
      </c>
      <c r="I52" s="934" t="s">
        <v>834</v>
      </c>
      <c r="J52" s="895" t="s">
        <v>129</v>
      </c>
      <c r="K52" s="982" t="s">
        <v>3706</v>
      </c>
      <c r="L52" s="944">
        <v>43616</v>
      </c>
      <c r="M52" s="2105" t="s">
        <v>3707</v>
      </c>
      <c r="N52" s="2285">
        <v>43617</v>
      </c>
      <c r="O52" s="2279" t="s">
        <v>2444</v>
      </c>
    </row>
    <row r="53" spans="2:18" outlineLevel="1">
      <c r="B53" s="889">
        <v>41</v>
      </c>
      <c r="C53" s="3462"/>
      <c r="D53" s="1276">
        <v>9</v>
      </c>
      <c r="E53" s="2206" t="s">
        <v>3351</v>
      </c>
      <c r="F53" s="950" t="s">
        <v>723</v>
      </c>
      <c r="G53" s="1382" t="s">
        <v>3350</v>
      </c>
      <c r="H53" s="942">
        <v>410619</v>
      </c>
      <c r="I53" s="934" t="s">
        <v>834</v>
      </c>
      <c r="J53" s="952" t="s">
        <v>129</v>
      </c>
      <c r="K53" s="982" t="s">
        <v>3706</v>
      </c>
      <c r="L53" s="944">
        <v>43616</v>
      </c>
      <c r="M53" s="2105" t="s">
        <v>3707</v>
      </c>
      <c r="N53" s="2284">
        <v>43617</v>
      </c>
      <c r="O53" s="2278" t="s">
        <v>2444</v>
      </c>
    </row>
    <row r="54" spans="2:18" outlineLevel="1">
      <c r="B54" s="889">
        <v>42</v>
      </c>
      <c r="C54" s="3462"/>
      <c r="D54" s="1037">
        <v>10</v>
      </c>
      <c r="E54" s="2207" t="s">
        <v>3351</v>
      </c>
      <c r="F54" s="959" t="s">
        <v>723</v>
      </c>
      <c r="G54" s="2508" t="s">
        <v>3350</v>
      </c>
      <c r="H54" s="942">
        <v>420619</v>
      </c>
      <c r="I54" s="934" t="s">
        <v>834</v>
      </c>
      <c r="J54" s="934" t="s">
        <v>129</v>
      </c>
      <c r="K54" s="982" t="s">
        <v>3706</v>
      </c>
      <c r="L54" s="944">
        <v>43616</v>
      </c>
      <c r="M54" s="2105" t="s">
        <v>3707</v>
      </c>
      <c r="N54" s="2283">
        <v>43617</v>
      </c>
      <c r="O54" s="2277" t="s">
        <v>2444</v>
      </c>
    </row>
    <row r="55" spans="2:18" outlineLevel="1">
      <c r="B55" s="889">
        <v>43</v>
      </c>
      <c r="C55" s="3462"/>
      <c r="D55" s="1078">
        <v>11</v>
      </c>
      <c r="E55" s="2205" t="s">
        <v>3351</v>
      </c>
      <c r="F55" s="940" t="s">
        <v>723</v>
      </c>
      <c r="G55" s="1381" t="s">
        <v>3350</v>
      </c>
      <c r="H55" s="942">
        <v>430619</v>
      </c>
      <c r="I55" s="934" t="s">
        <v>834</v>
      </c>
      <c r="J55" s="922" t="s">
        <v>129</v>
      </c>
      <c r="K55" s="982" t="s">
        <v>3706</v>
      </c>
      <c r="L55" s="944">
        <v>43616</v>
      </c>
      <c r="M55" s="2105" t="s">
        <v>3707</v>
      </c>
      <c r="N55" s="2286">
        <v>43617</v>
      </c>
      <c r="O55" s="2280" t="s">
        <v>2444</v>
      </c>
    </row>
    <row r="56" spans="2:18" outlineLevel="1">
      <c r="B56" s="889">
        <v>44</v>
      </c>
      <c r="C56" s="3462"/>
      <c r="D56" s="1037">
        <v>12</v>
      </c>
      <c r="E56" s="2477" t="s">
        <v>3351</v>
      </c>
      <c r="F56" s="2478" t="s">
        <v>723</v>
      </c>
      <c r="G56" s="2508" t="s">
        <v>3350</v>
      </c>
      <c r="H56" s="894">
        <v>440619</v>
      </c>
      <c r="I56" s="934" t="s">
        <v>834</v>
      </c>
      <c r="J56" s="934" t="s">
        <v>129</v>
      </c>
      <c r="K56" s="846" t="s">
        <v>3706</v>
      </c>
      <c r="L56" s="936">
        <v>43616</v>
      </c>
      <c r="M56" s="852" t="s">
        <v>3707</v>
      </c>
      <c r="N56" s="2283">
        <v>43617</v>
      </c>
      <c r="O56" s="2277" t="s">
        <v>2444</v>
      </c>
    </row>
    <row r="57" spans="2:18" ht="15.75" customHeight="1" outlineLevel="1">
      <c r="B57" s="889">
        <v>45</v>
      </c>
      <c r="C57" s="3462"/>
      <c r="D57" s="1078">
        <v>1</v>
      </c>
      <c r="E57" s="2291" t="s">
        <v>3351</v>
      </c>
      <c r="F57" s="940" t="s">
        <v>723</v>
      </c>
      <c r="G57" s="1381" t="s">
        <v>3350</v>
      </c>
      <c r="H57" s="942">
        <v>450619</v>
      </c>
      <c r="I57" s="922" t="s">
        <v>834</v>
      </c>
      <c r="J57" s="922" t="s">
        <v>129</v>
      </c>
      <c r="K57" s="982" t="s">
        <v>3720</v>
      </c>
      <c r="L57" s="944">
        <v>43633</v>
      </c>
      <c r="M57" s="2105" t="s">
        <v>3719</v>
      </c>
      <c r="N57" s="2286">
        <v>43634</v>
      </c>
      <c r="O57" s="1505" t="s">
        <v>2444</v>
      </c>
      <c r="P57" s="3460">
        <v>43633</v>
      </c>
      <c r="Q57" s="3461"/>
      <c r="R57" s="3461"/>
    </row>
    <row r="58" spans="2:18" outlineLevel="1">
      <c r="B58" s="889">
        <v>46</v>
      </c>
      <c r="C58" s="3462"/>
      <c r="D58" s="1037">
        <v>2</v>
      </c>
      <c r="E58" s="2205" t="s">
        <v>3351</v>
      </c>
      <c r="F58" s="940" t="s">
        <v>723</v>
      </c>
      <c r="G58" s="2508" t="s">
        <v>3350</v>
      </c>
      <c r="H58" s="942">
        <v>460619</v>
      </c>
      <c r="I58" s="934" t="s">
        <v>834</v>
      </c>
      <c r="J58" s="922" t="s">
        <v>129</v>
      </c>
      <c r="K58" s="982" t="s">
        <v>3720</v>
      </c>
      <c r="L58" s="944">
        <v>43633</v>
      </c>
      <c r="M58" s="2105" t="s">
        <v>3719</v>
      </c>
      <c r="N58" s="2286">
        <v>43634</v>
      </c>
      <c r="O58" s="2277" t="s">
        <v>2444</v>
      </c>
    </row>
    <row r="59" spans="2:18" outlineLevel="1">
      <c r="B59" s="889">
        <v>47</v>
      </c>
      <c r="C59" s="3462"/>
      <c r="D59" s="1276">
        <v>3</v>
      </c>
      <c r="E59" s="2206" t="s">
        <v>3351</v>
      </c>
      <c r="F59" s="950" t="s">
        <v>723</v>
      </c>
      <c r="G59" s="1382" t="s">
        <v>3350</v>
      </c>
      <c r="H59" s="942">
        <v>470619</v>
      </c>
      <c r="I59" s="934" t="s">
        <v>834</v>
      </c>
      <c r="J59" s="952" t="s">
        <v>129</v>
      </c>
      <c r="K59" s="982" t="s">
        <v>3720</v>
      </c>
      <c r="L59" s="944">
        <v>43633</v>
      </c>
      <c r="M59" s="2105" t="s">
        <v>3719</v>
      </c>
      <c r="N59" s="2286">
        <v>43634</v>
      </c>
      <c r="O59" s="2278" t="s">
        <v>2444</v>
      </c>
    </row>
    <row r="60" spans="2:18" outlineLevel="1">
      <c r="B60" s="889">
        <v>48</v>
      </c>
      <c r="C60" s="3462"/>
      <c r="D60" s="1037">
        <v>4</v>
      </c>
      <c r="E60" s="2207" t="s">
        <v>3351</v>
      </c>
      <c r="F60" s="959" t="s">
        <v>723</v>
      </c>
      <c r="G60" s="2508" t="s">
        <v>3350</v>
      </c>
      <c r="H60" s="942">
        <v>480619</v>
      </c>
      <c r="I60" s="934" t="s">
        <v>834</v>
      </c>
      <c r="J60" s="934" t="s">
        <v>129</v>
      </c>
      <c r="K60" s="982" t="s">
        <v>3720</v>
      </c>
      <c r="L60" s="944">
        <v>43633</v>
      </c>
      <c r="M60" s="2105" t="s">
        <v>3719</v>
      </c>
      <c r="N60" s="2286">
        <v>43634</v>
      </c>
      <c r="O60" s="2277" t="s">
        <v>2444</v>
      </c>
    </row>
    <row r="61" spans="2:18" outlineLevel="1">
      <c r="B61" s="889">
        <v>49</v>
      </c>
      <c r="C61" s="3462"/>
      <c r="D61" s="1278">
        <v>5</v>
      </c>
      <c r="E61" s="2208" t="s">
        <v>3351</v>
      </c>
      <c r="F61" s="950" t="s">
        <v>723</v>
      </c>
      <c r="G61" s="2509" t="s">
        <v>3350</v>
      </c>
      <c r="H61" s="942">
        <v>490619</v>
      </c>
      <c r="I61" s="934" t="s">
        <v>834</v>
      </c>
      <c r="J61" s="895" t="s">
        <v>129</v>
      </c>
      <c r="K61" s="982" t="s">
        <v>3720</v>
      </c>
      <c r="L61" s="944">
        <v>43633</v>
      </c>
      <c r="M61" s="2105" t="s">
        <v>3719</v>
      </c>
      <c r="N61" s="2286">
        <v>43634</v>
      </c>
      <c r="O61" s="2279" t="s">
        <v>2444</v>
      </c>
    </row>
    <row r="62" spans="2:18" outlineLevel="1">
      <c r="B62" s="889">
        <v>50</v>
      </c>
      <c r="C62" s="3462"/>
      <c r="D62" s="1278">
        <v>6</v>
      </c>
      <c r="E62" s="2208" t="s">
        <v>3351</v>
      </c>
      <c r="F62" s="892" t="s">
        <v>723</v>
      </c>
      <c r="G62" s="2509" t="s">
        <v>3350</v>
      </c>
      <c r="H62" s="942">
        <v>500619</v>
      </c>
      <c r="I62" s="934" t="s">
        <v>834</v>
      </c>
      <c r="J62" s="895" t="s">
        <v>129</v>
      </c>
      <c r="K62" s="982" t="s">
        <v>3720</v>
      </c>
      <c r="L62" s="944">
        <v>43633</v>
      </c>
      <c r="M62" s="2105" t="s">
        <v>3719</v>
      </c>
      <c r="N62" s="2286">
        <v>43634</v>
      </c>
      <c r="O62" s="2279" t="s">
        <v>2444</v>
      </c>
    </row>
    <row r="63" spans="2:18" outlineLevel="1">
      <c r="B63" s="889">
        <v>51</v>
      </c>
      <c r="C63" s="3462"/>
      <c r="D63" s="1278">
        <v>7</v>
      </c>
      <c r="E63" s="2208" t="s">
        <v>3351</v>
      </c>
      <c r="F63" s="892" t="s">
        <v>723</v>
      </c>
      <c r="G63" s="2509" t="s">
        <v>3350</v>
      </c>
      <c r="H63" s="942">
        <v>510619</v>
      </c>
      <c r="I63" s="934" t="s">
        <v>834</v>
      </c>
      <c r="J63" s="895" t="s">
        <v>129</v>
      </c>
      <c r="K63" s="982" t="s">
        <v>3720</v>
      </c>
      <c r="L63" s="944">
        <v>43633</v>
      </c>
      <c r="M63" s="2105" t="s">
        <v>3719</v>
      </c>
      <c r="N63" s="2286">
        <v>43634</v>
      </c>
      <c r="O63" s="2279" t="s">
        <v>2444</v>
      </c>
    </row>
    <row r="64" spans="2:18" outlineLevel="1">
      <c r="B64" s="889">
        <v>52</v>
      </c>
      <c r="C64" s="3462"/>
      <c r="D64" s="1278">
        <v>8</v>
      </c>
      <c r="E64" s="2208" t="s">
        <v>3351</v>
      </c>
      <c r="F64" s="892" t="s">
        <v>723</v>
      </c>
      <c r="G64" s="2509" t="s">
        <v>3350</v>
      </c>
      <c r="H64" s="942">
        <v>520619</v>
      </c>
      <c r="I64" s="934" t="s">
        <v>834</v>
      </c>
      <c r="J64" s="895" t="s">
        <v>129</v>
      </c>
      <c r="K64" s="982" t="s">
        <v>3720</v>
      </c>
      <c r="L64" s="944">
        <v>43633</v>
      </c>
      <c r="M64" s="2105" t="s">
        <v>3719</v>
      </c>
      <c r="N64" s="2286">
        <v>43634</v>
      </c>
      <c r="O64" s="2279" t="s">
        <v>2444</v>
      </c>
    </row>
    <row r="65" spans="2:18" outlineLevel="1">
      <c r="B65" s="889">
        <v>53</v>
      </c>
      <c r="C65" s="3462"/>
      <c r="D65" s="1276">
        <v>9</v>
      </c>
      <c r="E65" s="2206" t="s">
        <v>3351</v>
      </c>
      <c r="F65" s="950" t="s">
        <v>723</v>
      </c>
      <c r="G65" s="1382" t="s">
        <v>3350</v>
      </c>
      <c r="H65" s="942">
        <v>530619</v>
      </c>
      <c r="I65" s="934" t="s">
        <v>834</v>
      </c>
      <c r="J65" s="952" t="s">
        <v>129</v>
      </c>
      <c r="K65" s="982" t="s">
        <v>3720</v>
      </c>
      <c r="L65" s="944">
        <v>43633</v>
      </c>
      <c r="M65" s="2105" t="s">
        <v>3719</v>
      </c>
      <c r="N65" s="2286">
        <v>43634</v>
      </c>
      <c r="O65" s="2278" t="s">
        <v>2444</v>
      </c>
    </row>
    <row r="66" spans="2:18" outlineLevel="1">
      <c r="B66" s="889">
        <v>54</v>
      </c>
      <c r="C66" s="3462"/>
      <c r="D66" s="1037">
        <v>10</v>
      </c>
      <c r="E66" s="2207" t="s">
        <v>3351</v>
      </c>
      <c r="F66" s="959" t="s">
        <v>723</v>
      </c>
      <c r="G66" s="2508" t="s">
        <v>3350</v>
      </c>
      <c r="H66" s="942">
        <v>540619</v>
      </c>
      <c r="I66" s="934" t="s">
        <v>834</v>
      </c>
      <c r="J66" s="934" t="s">
        <v>129</v>
      </c>
      <c r="K66" s="982" t="s">
        <v>3720</v>
      </c>
      <c r="L66" s="944">
        <v>43633</v>
      </c>
      <c r="M66" s="2105" t="s">
        <v>3719</v>
      </c>
      <c r="N66" s="2286">
        <v>43634</v>
      </c>
      <c r="O66" s="2277" t="s">
        <v>2444</v>
      </c>
    </row>
    <row r="67" spans="2:18" outlineLevel="1">
      <c r="B67" s="889">
        <v>55</v>
      </c>
      <c r="C67" s="3462"/>
      <c r="D67" s="1078">
        <v>11</v>
      </c>
      <c r="E67" s="2205" t="s">
        <v>3351</v>
      </c>
      <c r="F67" s="940" t="s">
        <v>723</v>
      </c>
      <c r="G67" s="1381" t="s">
        <v>3350</v>
      </c>
      <c r="H67" s="942">
        <v>550619</v>
      </c>
      <c r="I67" s="934" t="s">
        <v>834</v>
      </c>
      <c r="J67" s="922" t="s">
        <v>129</v>
      </c>
      <c r="K67" s="982" t="s">
        <v>3720</v>
      </c>
      <c r="L67" s="944">
        <v>43633</v>
      </c>
      <c r="M67" s="2105" t="s">
        <v>3719</v>
      </c>
      <c r="N67" s="2286">
        <v>43634</v>
      </c>
      <c r="O67" s="3117" t="s">
        <v>2444</v>
      </c>
    </row>
    <row r="68" spans="2:18" outlineLevel="1">
      <c r="B68" s="889">
        <v>56</v>
      </c>
      <c r="C68" s="3462"/>
      <c r="D68" s="1037">
        <v>12</v>
      </c>
      <c r="E68" s="2477" t="s">
        <v>3351</v>
      </c>
      <c r="F68" s="2478" t="s">
        <v>723</v>
      </c>
      <c r="G68" s="2508" t="s">
        <v>3350</v>
      </c>
      <c r="H68" s="942">
        <v>560619</v>
      </c>
      <c r="I68" s="934" t="s">
        <v>834</v>
      </c>
      <c r="J68" s="934" t="s">
        <v>129</v>
      </c>
      <c r="K68" s="982" t="s">
        <v>3720</v>
      </c>
      <c r="L68" s="944">
        <v>43633</v>
      </c>
      <c r="M68" s="2105" t="s">
        <v>3719</v>
      </c>
      <c r="N68" s="2286">
        <v>43634</v>
      </c>
      <c r="O68" s="3116" t="s">
        <v>2444</v>
      </c>
    </row>
    <row r="69" spans="2:18" ht="8.1" customHeight="1" outlineLevel="1">
      <c r="B69" s="2158"/>
      <c r="C69" s="3063"/>
      <c r="D69" s="2453"/>
      <c r="E69" s="3071" t="s">
        <v>3590</v>
      </c>
      <c r="F69" s="2455"/>
      <c r="G69" s="2520"/>
      <c r="H69" s="2163"/>
      <c r="I69" s="2456"/>
      <c r="J69" s="2163"/>
      <c r="K69" s="2456"/>
      <c r="L69" s="2457"/>
      <c r="M69" s="2166"/>
      <c r="N69" s="2458"/>
      <c r="O69" s="1515"/>
    </row>
    <row r="70" spans="2:18" ht="15.75" customHeight="1" outlineLevel="1">
      <c r="B70" s="889">
        <v>57</v>
      </c>
      <c r="C70" s="3063"/>
      <c r="D70" s="1037">
        <v>1</v>
      </c>
      <c r="E70" s="2477" t="s">
        <v>133</v>
      </c>
      <c r="F70" s="2478" t="s">
        <v>723</v>
      </c>
      <c r="G70" s="2508" t="s">
        <v>253</v>
      </c>
      <c r="H70" s="894">
        <v>570719</v>
      </c>
      <c r="I70" s="934" t="s">
        <v>179</v>
      </c>
      <c r="J70" s="934" t="s">
        <v>129</v>
      </c>
      <c r="K70" s="846" t="s">
        <v>3706</v>
      </c>
      <c r="L70" s="936">
        <v>43593</v>
      </c>
      <c r="M70" s="852" t="s">
        <v>284</v>
      </c>
      <c r="N70" s="2283">
        <v>43650</v>
      </c>
      <c r="O70" s="2277" t="s">
        <v>2444</v>
      </c>
      <c r="P70" s="3460">
        <v>43650</v>
      </c>
      <c r="Q70" s="3461"/>
      <c r="R70" s="3461"/>
    </row>
    <row r="71" spans="2:18" outlineLevel="1">
      <c r="B71" s="889">
        <v>58</v>
      </c>
      <c r="C71" s="3063"/>
      <c r="D71" s="1037">
        <v>2</v>
      </c>
      <c r="E71" s="2205" t="s">
        <v>133</v>
      </c>
      <c r="F71" s="940" t="s">
        <v>723</v>
      </c>
      <c r="G71" s="2508" t="s">
        <v>253</v>
      </c>
      <c r="H71" s="894">
        <v>580719</v>
      </c>
      <c r="I71" s="934" t="s">
        <v>179</v>
      </c>
      <c r="J71" s="922" t="s">
        <v>129</v>
      </c>
      <c r="K71" s="982" t="s">
        <v>3706</v>
      </c>
      <c r="L71" s="944">
        <v>43593</v>
      </c>
      <c r="M71" s="2105" t="s">
        <v>284</v>
      </c>
      <c r="N71" s="2283">
        <v>43650</v>
      </c>
      <c r="O71" s="2277" t="s">
        <v>2444</v>
      </c>
    </row>
    <row r="72" spans="2:18" ht="15.75" customHeight="1" outlineLevel="1">
      <c r="B72" s="889">
        <v>59</v>
      </c>
      <c r="C72" s="3063"/>
      <c r="D72" s="1037">
        <v>1</v>
      </c>
      <c r="E72" s="2477" t="s">
        <v>133</v>
      </c>
      <c r="F72" s="2478" t="s">
        <v>723</v>
      </c>
      <c r="G72" s="2508" t="s">
        <v>253</v>
      </c>
      <c r="H72" s="894">
        <v>590719</v>
      </c>
      <c r="I72" s="934" t="s">
        <v>179</v>
      </c>
      <c r="J72" s="934" t="s">
        <v>129</v>
      </c>
      <c r="K72" s="846" t="s">
        <v>3706</v>
      </c>
      <c r="L72" s="936">
        <v>43593</v>
      </c>
      <c r="M72" s="852" t="s">
        <v>156</v>
      </c>
      <c r="N72" s="2283">
        <v>43668</v>
      </c>
      <c r="O72" s="2277" t="s">
        <v>2444</v>
      </c>
      <c r="P72" s="3460">
        <v>43666</v>
      </c>
      <c r="Q72" s="3461"/>
      <c r="R72" s="3461"/>
    </row>
    <row r="73" spans="2:18" outlineLevel="1">
      <c r="B73" s="889">
        <v>60</v>
      </c>
      <c r="C73" s="3063"/>
      <c r="D73" s="1037">
        <v>2</v>
      </c>
      <c r="E73" s="2205" t="s">
        <v>133</v>
      </c>
      <c r="F73" s="940" t="s">
        <v>723</v>
      </c>
      <c r="G73" s="2508" t="s">
        <v>253</v>
      </c>
      <c r="H73" s="894">
        <v>600719</v>
      </c>
      <c r="I73" s="934" t="s">
        <v>179</v>
      </c>
      <c r="J73" s="922" t="s">
        <v>129</v>
      </c>
      <c r="K73" s="982" t="s">
        <v>3706</v>
      </c>
      <c r="L73" s="944">
        <v>43593</v>
      </c>
      <c r="M73" s="2105" t="s">
        <v>156</v>
      </c>
      <c r="N73" s="2283">
        <v>43668</v>
      </c>
      <c r="O73" s="2277" t="s">
        <v>2444</v>
      </c>
    </row>
    <row r="74" spans="2:18" ht="6.95" customHeight="1" outlineLevel="1">
      <c r="B74" s="2158"/>
      <c r="C74" s="3063"/>
      <c r="D74" s="2453"/>
      <c r="E74" s="2454"/>
      <c r="F74" s="2455"/>
      <c r="G74" s="2520"/>
      <c r="H74" s="2163"/>
      <c r="I74" s="2456"/>
      <c r="J74" s="2456"/>
      <c r="K74" s="2305"/>
      <c r="L74" s="2457"/>
      <c r="M74" s="2166"/>
      <c r="N74" s="2458"/>
      <c r="O74" s="1515"/>
    </row>
    <row r="75" spans="2:18" outlineLevel="1">
      <c r="B75" s="889">
        <v>61</v>
      </c>
      <c r="C75" s="3063"/>
      <c r="D75" s="1037">
        <v>3</v>
      </c>
      <c r="E75" s="2477" t="s">
        <v>133</v>
      </c>
      <c r="F75" s="2478" t="s">
        <v>723</v>
      </c>
      <c r="G75" s="2508" t="s">
        <v>682</v>
      </c>
      <c r="H75" s="894">
        <v>610819</v>
      </c>
      <c r="I75" s="934" t="s">
        <v>183</v>
      </c>
      <c r="J75" s="934" t="s">
        <v>129</v>
      </c>
      <c r="K75" s="846" t="s">
        <v>3810</v>
      </c>
      <c r="L75" s="936">
        <v>43678</v>
      </c>
      <c r="M75" s="852" t="s">
        <v>3811</v>
      </c>
      <c r="N75" s="2283">
        <v>43680</v>
      </c>
      <c r="O75" s="2278" t="s">
        <v>2444</v>
      </c>
      <c r="P75" s="3460">
        <v>43679</v>
      </c>
      <c r="Q75" s="3461"/>
      <c r="R75" s="3461"/>
    </row>
    <row r="76" spans="2:18" outlineLevel="1">
      <c r="B76" s="889">
        <v>62</v>
      </c>
      <c r="C76" s="3063"/>
      <c r="D76" s="1276">
        <v>4</v>
      </c>
      <c r="E76" s="2207" t="s">
        <v>133</v>
      </c>
      <c r="F76" s="959" t="s">
        <v>723</v>
      </c>
      <c r="G76" s="2508" t="s">
        <v>682</v>
      </c>
      <c r="H76" s="894">
        <v>620819</v>
      </c>
      <c r="I76" s="934" t="s">
        <v>183</v>
      </c>
      <c r="J76" s="934" t="s">
        <v>129</v>
      </c>
      <c r="K76" s="982" t="s">
        <v>3810</v>
      </c>
      <c r="L76" s="936">
        <v>43678</v>
      </c>
      <c r="M76" s="2105" t="s">
        <v>3811</v>
      </c>
      <c r="N76" s="2284">
        <v>43680</v>
      </c>
      <c r="O76" s="2277" t="s">
        <v>2444</v>
      </c>
    </row>
    <row r="77" spans="2:18" outlineLevel="1">
      <c r="B77" s="889">
        <v>63</v>
      </c>
      <c r="C77" s="3063"/>
      <c r="D77" s="1276">
        <v>5</v>
      </c>
      <c r="E77" s="2208" t="s">
        <v>133</v>
      </c>
      <c r="F77" s="950" t="s">
        <v>723</v>
      </c>
      <c r="G77" s="2508" t="s">
        <v>682</v>
      </c>
      <c r="H77" s="894">
        <v>630819</v>
      </c>
      <c r="I77" s="934" t="s">
        <v>183</v>
      </c>
      <c r="J77" s="895" t="s">
        <v>129</v>
      </c>
      <c r="K77" s="982" t="s">
        <v>3810</v>
      </c>
      <c r="L77" s="936">
        <v>43678</v>
      </c>
      <c r="M77" s="2105" t="s">
        <v>3811</v>
      </c>
      <c r="N77" s="2284">
        <v>43680</v>
      </c>
      <c r="O77" s="2279" t="s">
        <v>2444</v>
      </c>
    </row>
    <row r="78" spans="2:18" outlineLevel="1">
      <c r="B78" s="889">
        <v>64</v>
      </c>
      <c r="C78" s="3063"/>
      <c r="D78" s="1276">
        <v>6</v>
      </c>
      <c r="E78" s="2208" t="s">
        <v>133</v>
      </c>
      <c r="F78" s="892" t="s">
        <v>723</v>
      </c>
      <c r="G78" s="2508" t="s">
        <v>682</v>
      </c>
      <c r="H78" s="894">
        <v>640819</v>
      </c>
      <c r="I78" s="934" t="s">
        <v>183</v>
      </c>
      <c r="J78" s="895" t="s">
        <v>129</v>
      </c>
      <c r="K78" s="982" t="s">
        <v>3810</v>
      </c>
      <c r="L78" s="936">
        <v>43678</v>
      </c>
      <c r="M78" s="2105" t="s">
        <v>3811</v>
      </c>
      <c r="N78" s="2284">
        <v>43680</v>
      </c>
      <c r="O78" s="2279" t="s">
        <v>2444</v>
      </c>
    </row>
    <row r="79" spans="2:18" outlineLevel="1">
      <c r="B79" s="889">
        <v>65</v>
      </c>
      <c r="C79" s="3063"/>
      <c r="D79" s="1276">
        <v>7</v>
      </c>
      <c r="E79" s="2208" t="s">
        <v>133</v>
      </c>
      <c r="F79" s="892" t="s">
        <v>723</v>
      </c>
      <c r="G79" s="2508" t="s">
        <v>682</v>
      </c>
      <c r="H79" s="894">
        <v>650819</v>
      </c>
      <c r="I79" s="934" t="s">
        <v>183</v>
      </c>
      <c r="J79" s="895" t="s">
        <v>129</v>
      </c>
      <c r="K79" s="982" t="s">
        <v>3810</v>
      </c>
      <c r="L79" s="936">
        <v>43678</v>
      </c>
      <c r="M79" s="2105" t="s">
        <v>3811</v>
      </c>
      <c r="N79" s="2284">
        <v>43680</v>
      </c>
      <c r="O79" s="2279" t="s">
        <v>2444</v>
      </c>
    </row>
    <row r="80" spans="2:18" outlineLevel="1">
      <c r="B80" s="889">
        <v>66</v>
      </c>
      <c r="C80" s="3063"/>
      <c r="D80" s="1276">
        <v>8</v>
      </c>
      <c r="E80" s="2208" t="s">
        <v>133</v>
      </c>
      <c r="F80" s="892" t="s">
        <v>723</v>
      </c>
      <c r="G80" s="2508" t="s">
        <v>682</v>
      </c>
      <c r="H80" s="894">
        <v>660819</v>
      </c>
      <c r="I80" s="934" t="s">
        <v>183</v>
      </c>
      <c r="J80" s="895" t="s">
        <v>129</v>
      </c>
      <c r="K80" s="982" t="s">
        <v>3810</v>
      </c>
      <c r="L80" s="936">
        <v>43678</v>
      </c>
      <c r="M80" s="2105" t="s">
        <v>3811</v>
      </c>
      <c r="N80" s="2284">
        <v>43680</v>
      </c>
      <c r="O80" s="2279" t="s">
        <v>2444</v>
      </c>
    </row>
    <row r="81" spans="2:18" outlineLevel="1">
      <c r="B81" s="889">
        <v>67</v>
      </c>
      <c r="C81" s="3063"/>
      <c r="D81" s="1276">
        <v>9</v>
      </c>
      <c r="E81" s="2206" t="s">
        <v>133</v>
      </c>
      <c r="F81" s="950" t="s">
        <v>723</v>
      </c>
      <c r="G81" s="2508" t="s">
        <v>682</v>
      </c>
      <c r="H81" s="894">
        <v>670819</v>
      </c>
      <c r="I81" s="934" t="s">
        <v>183</v>
      </c>
      <c r="J81" s="952" t="s">
        <v>129</v>
      </c>
      <c r="K81" s="982" t="s">
        <v>3810</v>
      </c>
      <c r="L81" s="936">
        <v>43678</v>
      </c>
      <c r="M81" s="2105" t="s">
        <v>3811</v>
      </c>
      <c r="N81" s="2284">
        <v>43680</v>
      </c>
      <c r="O81" s="2278" t="s">
        <v>2444</v>
      </c>
    </row>
    <row r="82" spans="2:18" outlineLevel="1">
      <c r="B82" s="889">
        <v>68</v>
      </c>
      <c r="C82" s="3063"/>
      <c r="D82" s="1037">
        <v>10</v>
      </c>
      <c r="E82" s="2207" t="s">
        <v>133</v>
      </c>
      <c r="F82" s="959" t="s">
        <v>723</v>
      </c>
      <c r="G82" s="2508" t="s">
        <v>682</v>
      </c>
      <c r="H82" s="894">
        <v>680819</v>
      </c>
      <c r="I82" s="934" t="s">
        <v>183</v>
      </c>
      <c r="J82" s="934" t="s">
        <v>129</v>
      </c>
      <c r="K82" s="846" t="s">
        <v>3810</v>
      </c>
      <c r="L82" s="936">
        <v>43678</v>
      </c>
      <c r="M82" s="852" t="s">
        <v>3811</v>
      </c>
      <c r="N82" s="2283">
        <v>43680</v>
      </c>
      <c r="O82" s="2277" t="s">
        <v>2444</v>
      </c>
    </row>
    <row r="83" spans="2:18" ht="15.75" customHeight="1" outlineLevel="1">
      <c r="B83" s="889">
        <v>69</v>
      </c>
      <c r="C83" s="3462"/>
      <c r="D83" s="1078">
        <v>1</v>
      </c>
      <c r="E83" s="2291" t="s">
        <v>3351</v>
      </c>
      <c r="F83" s="940" t="s">
        <v>723</v>
      </c>
      <c r="G83" s="1381" t="s">
        <v>3350</v>
      </c>
      <c r="H83" s="942">
        <v>690819</v>
      </c>
      <c r="I83" s="922" t="s">
        <v>834</v>
      </c>
      <c r="J83" s="922" t="s">
        <v>129</v>
      </c>
      <c r="K83" s="982" t="s">
        <v>3720</v>
      </c>
      <c r="L83" s="936">
        <v>43678</v>
      </c>
      <c r="M83" s="2105" t="s">
        <v>3814</v>
      </c>
      <c r="N83" s="2286">
        <v>43683</v>
      </c>
      <c r="O83" s="1505" t="s">
        <v>2444</v>
      </c>
      <c r="P83" s="3460">
        <v>43683</v>
      </c>
      <c r="Q83" s="3461"/>
      <c r="R83" s="3461"/>
    </row>
    <row r="84" spans="2:18" outlineLevel="1">
      <c r="B84" s="889">
        <v>70</v>
      </c>
      <c r="C84" s="3462"/>
      <c r="D84" s="1037">
        <v>2</v>
      </c>
      <c r="E84" s="2205" t="s">
        <v>3351</v>
      </c>
      <c r="F84" s="940" t="s">
        <v>723</v>
      </c>
      <c r="G84" s="2508" t="s">
        <v>3350</v>
      </c>
      <c r="H84" s="942">
        <v>700819</v>
      </c>
      <c r="I84" s="934" t="s">
        <v>834</v>
      </c>
      <c r="J84" s="922" t="s">
        <v>129</v>
      </c>
      <c r="K84" s="982" t="s">
        <v>3720</v>
      </c>
      <c r="L84" s="936">
        <v>43678</v>
      </c>
      <c r="M84" s="2105" t="s">
        <v>3814</v>
      </c>
      <c r="N84" s="2286">
        <v>43683</v>
      </c>
      <c r="O84" s="2277" t="s">
        <v>2444</v>
      </c>
    </row>
    <row r="85" spans="2:18" outlineLevel="1">
      <c r="B85" s="889">
        <v>71</v>
      </c>
      <c r="C85" s="3462"/>
      <c r="D85" s="1276">
        <v>3</v>
      </c>
      <c r="E85" s="2206" t="s">
        <v>3351</v>
      </c>
      <c r="F85" s="950" t="s">
        <v>723</v>
      </c>
      <c r="G85" s="1382" t="s">
        <v>3350</v>
      </c>
      <c r="H85" s="942">
        <v>710819</v>
      </c>
      <c r="I85" s="934" t="s">
        <v>834</v>
      </c>
      <c r="J85" s="952" t="s">
        <v>129</v>
      </c>
      <c r="K85" s="982" t="s">
        <v>3720</v>
      </c>
      <c r="L85" s="936">
        <v>43678</v>
      </c>
      <c r="M85" s="2105" t="s">
        <v>3814</v>
      </c>
      <c r="N85" s="2286">
        <v>43683</v>
      </c>
      <c r="O85" s="2278" t="s">
        <v>2444</v>
      </c>
    </row>
    <row r="86" spans="2:18" outlineLevel="1">
      <c r="B86" s="889">
        <v>72</v>
      </c>
      <c r="C86" s="3462"/>
      <c r="D86" s="1037">
        <v>4</v>
      </c>
      <c r="E86" s="2207" t="s">
        <v>3351</v>
      </c>
      <c r="F86" s="959" t="s">
        <v>723</v>
      </c>
      <c r="G86" s="2508" t="s">
        <v>3350</v>
      </c>
      <c r="H86" s="942">
        <v>720819</v>
      </c>
      <c r="I86" s="934" t="s">
        <v>834</v>
      </c>
      <c r="J86" s="934" t="s">
        <v>129</v>
      </c>
      <c r="K86" s="982" t="s">
        <v>3720</v>
      </c>
      <c r="L86" s="936">
        <v>43678</v>
      </c>
      <c r="M86" s="2105" t="s">
        <v>3814</v>
      </c>
      <c r="N86" s="2286">
        <v>43683</v>
      </c>
      <c r="O86" s="2277" t="s">
        <v>2444</v>
      </c>
    </row>
    <row r="87" spans="2:18" outlineLevel="1">
      <c r="B87" s="889">
        <v>73</v>
      </c>
      <c r="C87" s="3462"/>
      <c r="D87" s="1278">
        <v>5</v>
      </c>
      <c r="E87" s="2208" t="s">
        <v>3351</v>
      </c>
      <c r="F87" s="950" t="s">
        <v>723</v>
      </c>
      <c r="G87" s="2509" t="s">
        <v>3350</v>
      </c>
      <c r="H87" s="942">
        <v>730819</v>
      </c>
      <c r="I87" s="934" t="s">
        <v>834</v>
      </c>
      <c r="J87" s="895" t="s">
        <v>129</v>
      </c>
      <c r="K87" s="982" t="s">
        <v>3720</v>
      </c>
      <c r="L87" s="936">
        <v>43678</v>
      </c>
      <c r="M87" s="2105" t="s">
        <v>3814</v>
      </c>
      <c r="N87" s="2286">
        <v>43683</v>
      </c>
      <c r="O87" s="2279" t="s">
        <v>2444</v>
      </c>
    </row>
    <row r="88" spans="2:18" outlineLevel="1">
      <c r="B88" s="889">
        <v>74</v>
      </c>
      <c r="C88" s="3462"/>
      <c r="D88" s="1278">
        <v>6</v>
      </c>
      <c r="E88" s="2208" t="s">
        <v>3351</v>
      </c>
      <c r="F88" s="892" t="s">
        <v>723</v>
      </c>
      <c r="G88" s="2509" t="s">
        <v>3350</v>
      </c>
      <c r="H88" s="942">
        <v>740819</v>
      </c>
      <c r="I88" s="934" t="s">
        <v>834</v>
      </c>
      <c r="J88" s="895" t="s">
        <v>129</v>
      </c>
      <c r="K88" s="982" t="s">
        <v>3720</v>
      </c>
      <c r="L88" s="936">
        <v>43678</v>
      </c>
      <c r="M88" s="2105" t="s">
        <v>3814</v>
      </c>
      <c r="N88" s="2286">
        <v>43683</v>
      </c>
      <c r="O88" s="2279" t="s">
        <v>2444</v>
      </c>
    </row>
    <row r="89" spans="2:18" outlineLevel="1">
      <c r="B89" s="889">
        <v>75</v>
      </c>
      <c r="C89" s="3462"/>
      <c r="D89" s="1278">
        <v>7</v>
      </c>
      <c r="E89" s="2208" t="s">
        <v>3351</v>
      </c>
      <c r="F89" s="892" t="s">
        <v>723</v>
      </c>
      <c r="G89" s="2509" t="s">
        <v>3350</v>
      </c>
      <c r="H89" s="942">
        <v>750819</v>
      </c>
      <c r="I89" s="934" t="s">
        <v>834</v>
      </c>
      <c r="J89" s="895" t="s">
        <v>129</v>
      </c>
      <c r="K89" s="982" t="s">
        <v>3720</v>
      </c>
      <c r="L89" s="936">
        <v>43678</v>
      </c>
      <c r="M89" s="2105" t="s">
        <v>3814</v>
      </c>
      <c r="N89" s="2286">
        <v>43683</v>
      </c>
      <c r="O89" s="2279" t="s">
        <v>2444</v>
      </c>
    </row>
    <row r="90" spans="2:18" outlineLevel="1">
      <c r="B90" s="889">
        <v>76</v>
      </c>
      <c r="C90" s="3462"/>
      <c r="D90" s="1278">
        <v>8</v>
      </c>
      <c r="E90" s="2208" t="s">
        <v>3351</v>
      </c>
      <c r="F90" s="892" t="s">
        <v>723</v>
      </c>
      <c r="G90" s="2509" t="s">
        <v>3350</v>
      </c>
      <c r="H90" s="942">
        <v>760819</v>
      </c>
      <c r="I90" s="934" t="s">
        <v>834</v>
      </c>
      <c r="J90" s="895" t="s">
        <v>129</v>
      </c>
      <c r="K90" s="982" t="s">
        <v>3720</v>
      </c>
      <c r="L90" s="936">
        <v>43678</v>
      </c>
      <c r="M90" s="2105" t="s">
        <v>3814</v>
      </c>
      <c r="N90" s="2286">
        <v>43683</v>
      </c>
      <c r="O90" s="2279" t="s">
        <v>2444</v>
      </c>
    </row>
    <row r="91" spans="2:18" outlineLevel="1">
      <c r="B91" s="889">
        <v>77</v>
      </c>
      <c r="C91" s="3462"/>
      <c r="D91" s="1276">
        <v>9</v>
      </c>
      <c r="E91" s="2206" t="s">
        <v>3351</v>
      </c>
      <c r="F91" s="950" t="s">
        <v>723</v>
      </c>
      <c r="G91" s="1382" t="s">
        <v>3350</v>
      </c>
      <c r="H91" s="942">
        <v>770819</v>
      </c>
      <c r="I91" s="934" t="s">
        <v>834</v>
      </c>
      <c r="J91" s="952" t="s">
        <v>129</v>
      </c>
      <c r="K91" s="982" t="s">
        <v>3720</v>
      </c>
      <c r="L91" s="936">
        <v>43678</v>
      </c>
      <c r="M91" s="2105" t="s">
        <v>3814</v>
      </c>
      <c r="N91" s="2286">
        <v>43683</v>
      </c>
      <c r="O91" s="2278" t="s">
        <v>2444</v>
      </c>
    </row>
    <row r="92" spans="2:18" outlineLevel="1">
      <c r="B92" s="889">
        <v>78</v>
      </c>
      <c r="C92" s="3462"/>
      <c r="D92" s="1037">
        <v>10</v>
      </c>
      <c r="E92" s="2207" t="s">
        <v>3351</v>
      </c>
      <c r="F92" s="959" t="s">
        <v>723</v>
      </c>
      <c r="G92" s="2508" t="s">
        <v>3350</v>
      </c>
      <c r="H92" s="942">
        <v>780819</v>
      </c>
      <c r="I92" s="934" t="s">
        <v>834</v>
      </c>
      <c r="J92" s="934" t="s">
        <v>129</v>
      </c>
      <c r="K92" s="982" t="s">
        <v>3720</v>
      </c>
      <c r="L92" s="936">
        <v>43678</v>
      </c>
      <c r="M92" s="2105" t="s">
        <v>3814</v>
      </c>
      <c r="N92" s="2286">
        <v>43683</v>
      </c>
      <c r="O92" s="2277" t="s">
        <v>2444</v>
      </c>
    </row>
    <row r="93" spans="2:18" outlineLevel="1">
      <c r="B93" s="889">
        <v>79</v>
      </c>
      <c r="C93" s="3462"/>
      <c r="D93" s="1078">
        <v>11</v>
      </c>
      <c r="E93" s="2205" t="s">
        <v>3351</v>
      </c>
      <c r="F93" s="940" t="s">
        <v>723</v>
      </c>
      <c r="G93" s="1381" t="s">
        <v>3350</v>
      </c>
      <c r="H93" s="942">
        <v>790819</v>
      </c>
      <c r="I93" s="934" t="s">
        <v>834</v>
      </c>
      <c r="J93" s="922" t="s">
        <v>129</v>
      </c>
      <c r="K93" s="982" t="s">
        <v>3720</v>
      </c>
      <c r="L93" s="936">
        <v>43678</v>
      </c>
      <c r="M93" s="2105" t="s">
        <v>3814</v>
      </c>
      <c r="N93" s="2286">
        <v>43683</v>
      </c>
      <c r="O93" s="3117" t="s">
        <v>2444</v>
      </c>
    </row>
    <row r="94" spans="2:18" outlineLevel="1">
      <c r="B94" s="889">
        <v>80</v>
      </c>
      <c r="C94" s="3462"/>
      <c r="D94" s="1037">
        <v>12</v>
      </c>
      <c r="E94" s="2477" t="s">
        <v>3351</v>
      </c>
      <c r="F94" s="2478" t="s">
        <v>723</v>
      </c>
      <c r="G94" s="2508" t="s">
        <v>3350</v>
      </c>
      <c r="H94" s="942">
        <v>800819</v>
      </c>
      <c r="I94" s="934" t="s">
        <v>834</v>
      </c>
      <c r="J94" s="934" t="s">
        <v>129</v>
      </c>
      <c r="K94" s="982" t="s">
        <v>3720</v>
      </c>
      <c r="L94" s="936">
        <v>43678</v>
      </c>
      <c r="M94" s="2105" t="s">
        <v>3814</v>
      </c>
      <c r="N94" s="2286">
        <v>43683</v>
      </c>
      <c r="O94" s="3116" t="s">
        <v>2444</v>
      </c>
    </row>
    <row r="95" spans="2:18" ht="6.95" customHeight="1" outlineLevel="1">
      <c r="B95" s="2158"/>
      <c r="C95" s="3063"/>
      <c r="D95" s="2453"/>
      <c r="E95" s="2454"/>
      <c r="F95" s="2455"/>
      <c r="G95" s="2520"/>
      <c r="H95" s="2163"/>
      <c r="I95" s="2456"/>
      <c r="J95" s="2456"/>
      <c r="K95" s="2305"/>
      <c r="L95" s="2457"/>
      <c r="M95" s="2166"/>
      <c r="N95" s="2458"/>
      <c r="O95" s="1515"/>
    </row>
    <row r="96" spans="2:18" ht="15.75" customHeight="1" outlineLevel="1">
      <c r="B96" s="889">
        <f>1+B94</f>
        <v>81</v>
      </c>
      <c r="C96" s="3063"/>
      <c r="D96" s="1037">
        <v>1</v>
      </c>
      <c r="E96" s="2477" t="s">
        <v>133</v>
      </c>
      <c r="F96" s="2478" t="s">
        <v>723</v>
      </c>
      <c r="G96" s="2508" t="s">
        <v>253</v>
      </c>
      <c r="H96" s="894">
        <v>810919</v>
      </c>
      <c r="I96" s="934" t="s">
        <v>179</v>
      </c>
      <c r="J96" s="934" t="s">
        <v>129</v>
      </c>
      <c r="K96" s="846" t="s">
        <v>3884</v>
      </c>
      <c r="L96" s="936">
        <v>43731</v>
      </c>
      <c r="M96" s="852" t="s">
        <v>137</v>
      </c>
      <c r="N96" s="2283">
        <v>43736</v>
      </c>
      <c r="O96" s="2277" t="s">
        <v>2444</v>
      </c>
      <c r="P96" s="3460">
        <v>43733</v>
      </c>
      <c r="Q96" s="3461"/>
      <c r="R96" s="3461"/>
    </row>
    <row r="97" spans="2:18" ht="15.75" outlineLevel="1" thickBot="1">
      <c r="B97" s="889">
        <v>82</v>
      </c>
      <c r="C97" s="3063"/>
      <c r="D97" s="2068">
        <v>2</v>
      </c>
      <c r="E97" s="3194" t="s">
        <v>133</v>
      </c>
      <c r="F97" s="3195" t="s">
        <v>723</v>
      </c>
      <c r="G97" s="2523" t="s">
        <v>253</v>
      </c>
      <c r="H97" s="2747">
        <v>820919</v>
      </c>
      <c r="I97" s="2072" t="s">
        <v>179</v>
      </c>
      <c r="J97" s="2072" t="s">
        <v>129</v>
      </c>
      <c r="K97" s="2075" t="s">
        <v>3884</v>
      </c>
      <c r="L97" s="2074">
        <v>43731</v>
      </c>
      <c r="M97" s="2749" t="s">
        <v>137</v>
      </c>
      <c r="N97" s="3196">
        <v>43736</v>
      </c>
      <c r="O97" s="3197" t="s">
        <v>2444</v>
      </c>
    </row>
    <row r="98" spans="2:18" ht="15.75" outlineLevel="1" thickTop="1">
      <c r="B98" s="889">
        <v>83</v>
      </c>
      <c r="C98" s="3063"/>
      <c r="D98" s="1078">
        <v>1</v>
      </c>
      <c r="E98" s="2205" t="s">
        <v>133</v>
      </c>
      <c r="F98" s="940" t="s">
        <v>723</v>
      </c>
      <c r="G98" s="1381" t="s">
        <v>253</v>
      </c>
      <c r="H98" s="942">
        <v>830919</v>
      </c>
      <c r="I98" s="922" t="s">
        <v>179</v>
      </c>
      <c r="J98" s="922" t="s">
        <v>129</v>
      </c>
      <c r="K98" s="982" t="s">
        <v>3884</v>
      </c>
      <c r="L98" s="944">
        <v>43731</v>
      </c>
      <c r="M98" s="2105" t="s">
        <v>141</v>
      </c>
      <c r="N98" s="2286">
        <v>43780</v>
      </c>
      <c r="O98" s="1505" t="s">
        <v>4064</v>
      </c>
      <c r="P98" s="3460"/>
      <c r="Q98" s="3461"/>
      <c r="R98" s="3461"/>
    </row>
    <row r="99" spans="2:18" ht="15.75" outlineLevel="1" thickBot="1">
      <c r="B99" s="889">
        <v>84</v>
      </c>
      <c r="C99" s="3063"/>
      <c r="D99" s="2068">
        <v>2</v>
      </c>
      <c r="E99" s="3198" t="s">
        <v>133</v>
      </c>
      <c r="F99" s="3199" t="s">
        <v>723</v>
      </c>
      <c r="G99" s="2523" t="s">
        <v>253</v>
      </c>
      <c r="H99" s="2747">
        <v>840919</v>
      </c>
      <c r="I99" s="2072" t="s">
        <v>179</v>
      </c>
      <c r="J99" s="2072" t="s">
        <v>129</v>
      </c>
      <c r="K99" s="2075" t="s">
        <v>3884</v>
      </c>
      <c r="L99" s="2074">
        <v>43731</v>
      </c>
      <c r="M99" s="2749" t="s">
        <v>141</v>
      </c>
      <c r="N99" s="3196">
        <v>43780</v>
      </c>
      <c r="O99" s="3197" t="s">
        <v>4064</v>
      </c>
    </row>
    <row r="100" spans="2:18" ht="15.75" customHeight="1" outlineLevel="1" thickTop="1">
      <c r="B100" s="889">
        <v>85</v>
      </c>
      <c r="C100" s="3063"/>
      <c r="D100" s="1078">
        <v>1</v>
      </c>
      <c r="E100" s="2205" t="s">
        <v>133</v>
      </c>
      <c r="F100" s="940" t="s">
        <v>723</v>
      </c>
      <c r="G100" s="1381" t="s">
        <v>253</v>
      </c>
      <c r="H100" s="942">
        <v>851019</v>
      </c>
      <c r="I100" s="922" t="s">
        <v>179</v>
      </c>
      <c r="J100" s="922" t="s">
        <v>129</v>
      </c>
      <c r="K100" s="982" t="s">
        <v>3884</v>
      </c>
      <c r="L100" s="944">
        <v>43731</v>
      </c>
      <c r="M100" s="2105" t="s">
        <v>3883</v>
      </c>
      <c r="N100" s="2286">
        <v>43745</v>
      </c>
      <c r="O100" s="1505" t="s">
        <v>3885</v>
      </c>
      <c r="P100" s="3460">
        <v>43745</v>
      </c>
      <c r="Q100" s="3461"/>
      <c r="R100" s="3461"/>
    </row>
    <row r="101" spans="2:18" outlineLevel="1">
      <c r="B101" s="889">
        <v>86</v>
      </c>
      <c r="C101" s="3063"/>
      <c r="D101" s="1037">
        <v>2</v>
      </c>
      <c r="E101" s="2205" t="s">
        <v>133</v>
      </c>
      <c r="F101" s="940" t="s">
        <v>723</v>
      </c>
      <c r="G101" s="2508" t="s">
        <v>253</v>
      </c>
      <c r="H101" s="894">
        <v>861019</v>
      </c>
      <c r="I101" s="934" t="s">
        <v>179</v>
      </c>
      <c r="J101" s="922" t="s">
        <v>129</v>
      </c>
      <c r="K101" s="846" t="s">
        <v>3884</v>
      </c>
      <c r="L101" s="936">
        <v>43731</v>
      </c>
      <c r="M101" s="2105" t="s">
        <v>3883</v>
      </c>
      <c r="N101" s="2283">
        <v>43745</v>
      </c>
      <c r="O101" s="2277" t="s">
        <v>3885</v>
      </c>
    </row>
    <row r="102" spans="2:18" outlineLevel="1">
      <c r="B102" s="889">
        <v>87</v>
      </c>
      <c r="C102" s="3063"/>
      <c r="D102" s="1037">
        <v>3</v>
      </c>
      <c r="E102" s="2477" t="s">
        <v>133</v>
      </c>
      <c r="F102" s="2478" t="s">
        <v>723</v>
      </c>
      <c r="G102" s="2508" t="s">
        <v>682</v>
      </c>
      <c r="H102" s="894">
        <v>871019</v>
      </c>
      <c r="I102" s="934" t="s">
        <v>183</v>
      </c>
      <c r="J102" s="934" t="s">
        <v>129</v>
      </c>
      <c r="K102" s="846" t="s">
        <v>3884</v>
      </c>
      <c r="L102" s="936">
        <v>43731</v>
      </c>
      <c r="M102" s="852" t="s">
        <v>3883</v>
      </c>
      <c r="N102" s="2283">
        <v>43745</v>
      </c>
      <c r="O102" s="2277" t="s">
        <v>3885</v>
      </c>
      <c r="P102" s="3460"/>
      <c r="Q102" s="3461"/>
      <c r="R102" s="3461"/>
    </row>
    <row r="103" spans="2:18" outlineLevel="1">
      <c r="B103" s="889">
        <v>88</v>
      </c>
      <c r="C103" s="3063"/>
      <c r="D103" s="1276">
        <v>4</v>
      </c>
      <c r="E103" s="2207" t="s">
        <v>133</v>
      </c>
      <c r="F103" s="959" t="s">
        <v>723</v>
      </c>
      <c r="G103" s="2508" t="s">
        <v>682</v>
      </c>
      <c r="H103" s="894">
        <v>881019</v>
      </c>
      <c r="I103" s="934" t="s">
        <v>183</v>
      </c>
      <c r="J103" s="934" t="s">
        <v>129</v>
      </c>
      <c r="K103" s="846" t="s">
        <v>3884</v>
      </c>
      <c r="L103" s="936">
        <v>43731</v>
      </c>
      <c r="M103" s="2105" t="s">
        <v>3883</v>
      </c>
      <c r="N103" s="2284">
        <v>43745</v>
      </c>
      <c r="O103" s="2277" t="s">
        <v>3885</v>
      </c>
    </row>
    <row r="104" spans="2:18" outlineLevel="1">
      <c r="B104" s="889">
        <v>89</v>
      </c>
      <c r="C104" s="3063"/>
      <c r="D104" s="1276">
        <v>5</v>
      </c>
      <c r="E104" s="2208" t="s">
        <v>133</v>
      </c>
      <c r="F104" s="950" t="s">
        <v>723</v>
      </c>
      <c r="G104" s="2508" t="s">
        <v>682</v>
      </c>
      <c r="H104" s="894">
        <v>891019</v>
      </c>
      <c r="I104" s="934" t="s">
        <v>183</v>
      </c>
      <c r="J104" s="895" t="s">
        <v>129</v>
      </c>
      <c r="K104" s="846" t="s">
        <v>3884</v>
      </c>
      <c r="L104" s="936">
        <v>43731</v>
      </c>
      <c r="M104" s="2105" t="s">
        <v>3883</v>
      </c>
      <c r="N104" s="2284">
        <v>43745</v>
      </c>
      <c r="O104" s="2277" t="s">
        <v>3885</v>
      </c>
    </row>
    <row r="105" spans="2:18" outlineLevel="1">
      <c r="B105" s="889">
        <v>90</v>
      </c>
      <c r="C105" s="3063"/>
      <c r="D105" s="1276">
        <v>6</v>
      </c>
      <c r="E105" s="2208" t="s">
        <v>133</v>
      </c>
      <c r="F105" s="892" t="s">
        <v>723</v>
      </c>
      <c r="G105" s="2508" t="s">
        <v>682</v>
      </c>
      <c r="H105" s="894">
        <v>901019</v>
      </c>
      <c r="I105" s="934" t="s">
        <v>183</v>
      </c>
      <c r="J105" s="895" t="s">
        <v>129</v>
      </c>
      <c r="K105" s="846" t="s">
        <v>3884</v>
      </c>
      <c r="L105" s="936">
        <v>43731</v>
      </c>
      <c r="M105" s="2105" t="s">
        <v>3883</v>
      </c>
      <c r="N105" s="2284">
        <v>43745</v>
      </c>
      <c r="O105" s="2277" t="s">
        <v>3885</v>
      </c>
    </row>
    <row r="106" spans="2:18" outlineLevel="1">
      <c r="B106" s="889">
        <v>91</v>
      </c>
      <c r="C106" s="3063"/>
      <c r="D106" s="1276">
        <v>7</v>
      </c>
      <c r="E106" s="2208" t="s">
        <v>133</v>
      </c>
      <c r="F106" s="892" t="s">
        <v>723</v>
      </c>
      <c r="G106" s="2508" t="s">
        <v>682</v>
      </c>
      <c r="H106" s="894">
        <v>911019</v>
      </c>
      <c r="I106" s="934" t="s">
        <v>183</v>
      </c>
      <c r="J106" s="895" t="s">
        <v>129</v>
      </c>
      <c r="K106" s="846" t="s">
        <v>3884</v>
      </c>
      <c r="L106" s="936">
        <v>43731</v>
      </c>
      <c r="M106" s="2105" t="s">
        <v>3883</v>
      </c>
      <c r="N106" s="2284">
        <v>43745</v>
      </c>
      <c r="O106" s="2277" t="s">
        <v>3885</v>
      </c>
    </row>
    <row r="107" spans="2:18" outlineLevel="1">
      <c r="B107" s="889">
        <v>92</v>
      </c>
      <c r="C107" s="3063"/>
      <c r="D107" s="1276">
        <v>8</v>
      </c>
      <c r="E107" s="2208" t="s">
        <v>133</v>
      </c>
      <c r="F107" s="892" t="s">
        <v>723</v>
      </c>
      <c r="G107" s="2508" t="s">
        <v>682</v>
      </c>
      <c r="H107" s="894">
        <v>921019</v>
      </c>
      <c r="I107" s="934" t="s">
        <v>183</v>
      </c>
      <c r="J107" s="895" t="s">
        <v>129</v>
      </c>
      <c r="K107" s="846" t="s">
        <v>3884</v>
      </c>
      <c r="L107" s="936">
        <v>43731</v>
      </c>
      <c r="M107" s="2105" t="s">
        <v>3883</v>
      </c>
      <c r="N107" s="2284">
        <v>43745</v>
      </c>
      <c r="O107" s="2277" t="s">
        <v>3885</v>
      </c>
    </row>
    <row r="108" spans="2:18" outlineLevel="1">
      <c r="B108" s="889">
        <v>93</v>
      </c>
      <c r="C108" s="3063"/>
      <c r="D108" s="1276">
        <v>9</v>
      </c>
      <c r="E108" s="2206" t="s">
        <v>133</v>
      </c>
      <c r="F108" s="950" t="s">
        <v>723</v>
      </c>
      <c r="G108" s="2508" t="s">
        <v>682</v>
      </c>
      <c r="H108" s="894">
        <v>931019</v>
      </c>
      <c r="I108" s="934" t="s">
        <v>183</v>
      </c>
      <c r="J108" s="952" t="s">
        <v>129</v>
      </c>
      <c r="K108" s="846" t="s">
        <v>3884</v>
      </c>
      <c r="L108" s="936">
        <v>43731</v>
      </c>
      <c r="M108" s="2105" t="s">
        <v>3883</v>
      </c>
      <c r="N108" s="2284">
        <v>43745</v>
      </c>
      <c r="O108" s="2277" t="s">
        <v>3885</v>
      </c>
    </row>
    <row r="109" spans="2:18" ht="15.75" outlineLevel="1" thickBot="1">
      <c r="B109" s="889">
        <v>94</v>
      </c>
      <c r="C109" s="3063"/>
      <c r="D109" s="2068">
        <v>10</v>
      </c>
      <c r="E109" s="3198" t="s">
        <v>133</v>
      </c>
      <c r="F109" s="3199" t="s">
        <v>723</v>
      </c>
      <c r="G109" s="2523" t="s">
        <v>682</v>
      </c>
      <c r="H109" s="2747">
        <v>941019</v>
      </c>
      <c r="I109" s="2072" t="s">
        <v>183</v>
      </c>
      <c r="J109" s="2072" t="s">
        <v>129</v>
      </c>
      <c r="K109" s="2075" t="s">
        <v>3884</v>
      </c>
      <c r="L109" s="2074">
        <v>43731</v>
      </c>
      <c r="M109" s="2749" t="s">
        <v>3883</v>
      </c>
      <c r="N109" s="3196">
        <v>43745</v>
      </c>
      <c r="O109" s="3197" t="s">
        <v>3885</v>
      </c>
    </row>
    <row r="110" spans="2:18" ht="15.75" customHeight="1" outlineLevel="1" thickTop="1">
      <c r="B110" s="977">
        <v>95</v>
      </c>
      <c r="C110" s="3063"/>
      <c r="D110" s="1078">
        <v>3</v>
      </c>
      <c r="E110" s="2207" t="s">
        <v>133</v>
      </c>
      <c r="F110" s="940" t="s">
        <v>723</v>
      </c>
      <c r="G110" s="1381" t="s">
        <v>1859</v>
      </c>
      <c r="H110" s="894">
        <v>951119</v>
      </c>
      <c r="I110" s="3216" t="s">
        <v>1860</v>
      </c>
      <c r="J110" s="922" t="s">
        <v>129</v>
      </c>
      <c r="K110" s="982" t="s">
        <v>3972</v>
      </c>
      <c r="L110" s="944">
        <v>43773</v>
      </c>
      <c r="M110" s="2105" t="s">
        <v>1799</v>
      </c>
      <c r="N110" s="2286">
        <v>43777</v>
      </c>
      <c r="O110" s="1505" t="s">
        <v>3971</v>
      </c>
      <c r="P110" s="3460">
        <v>43778</v>
      </c>
      <c r="Q110" s="3461"/>
      <c r="R110" s="3461"/>
    </row>
    <row r="111" spans="2:18" outlineLevel="1">
      <c r="B111" s="889">
        <v>96</v>
      </c>
      <c r="C111" s="3063"/>
      <c r="D111" s="1037">
        <v>4</v>
      </c>
      <c r="E111" s="2207" t="s">
        <v>133</v>
      </c>
      <c r="F111" s="940" t="s">
        <v>723</v>
      </c>
      <c r="G111" s="1381" t="s">
        <v>1859</v>
      </c>
      <c r="H111" s="894">
        <v>961119</v>
      </c>
      <c r="I111" s="3216" t="s">
        <v>1860</v>
      </c>
      <c r="J111" s="922" t="s">
        <v>129</v>
      </c>
      <c r="K111" s="982" t="s">
        <v>3972</v>
      </c>
      <c r="L111" s="944">
        <v>43773</v>
      </c>
      <c r="M111" s="2105" t="s">
        <v>1799</v>
      </c>
      <c r="N111" s="2286">
        <v>43777</v>
      </c>
      <c r="O111" s="1505" t="s">
        <v>3971</v>
      </c>
    </row>
    <row r="112" spans="2:18" outlineLevel="1">
      <c r="B112" s="889">
        <v>97</v>
      </c>
      <c r="C112" s="3063"/>
      <c r="D112" s="1276">
        <v>5</v>
      </c>
      <c r="E112" s="2207" t="s">
        <v>133</v>
      </c>
      <c r="F112" s="950" t="s">
        <v>723</v>
      </c>
      <c r="G112" s="1381" t="s">
        <v>1859</v>
      </c>
      <c r="H112" s="894">
        <v>971119</v>
      </c>
      <c r="I112" s="3216" t="s">
        <v>1860</v>
      </c>
      <c r="J112" s="952" t="s">
        <v>129</v>
      </c>
      <c r="K112" s="982" t="s">
        <v>3972</v>
      </c>
      <c r="L112" s="944">
        <v>43773</v>
      </c>
      <c r="M112" s="2105" t="s">
        <v>1799</v>
      </c>
      <c r="N112" s="2286">
        <v>43777</v>
      </c>
      <c r="O112" s="1505" t="s">
        <v>3971</v>
      </c>
    </row>
    <row r="113" spans="2:18" ht="15.75" outlineLevel="1" thickBot="1">
      <c r="B113" s="889">
        <v>98</v>
      </c>
      <c r="C113" s="3063"/>
      <c r="D113" s="2068">
        <v>6</v>
      </c>
      <c r="E113" s="3198" t="s">
        <v>133</v>
      </c>
      <c r="F113" s="3199" t="s">
        <v>723</v>
      </c>
      <c r="G113" s="2523" t="s">
        <v>1859</v>
      </c>
      <c r="H113" s="2747">
        <v>981119</v>
      </c>
      <c r="I113" s="3232" t="s">
        <v>1860</v>
      </c>
      <c r="J113" s="2072" t="s">
        <v>129</v>
      </c>
      <c r="K113" s="2075" t="s">
        <v>3972</v>
      </c>
      <c r="L113" s="2074">
        <v>43773</v>
      </c>
      <c r="M113" s="2749" t="s">
        <v>1799</v>
      </c>
      <c r="N113" s="3196">
        <v>43777</v>
      </c>
      <c r="O113" s="3197" t="s">
        <v>3971</v>
      </c>
    </row>
    <row r="114" spans="2:18" ht="15.75" customHeight="1" outlineLevel="1" thickTop="1">
      <c r="B114" s="889">
        <v>85</v>
      </c>
      <c r="C114" s="3063"/>
      <c r="D114" s="1078">
        <v>1</v>
      </c>
      <c r="E114" s="2205" t="s">
        <v>133</v>
      </c>
      <c r="F114" s="940" t="s">
        <v>723</v>
      </c>
      <c r="G114" s="1381" t="s">
        <v>253</v>
      </c>
      <c r="H114" s="942">
        <v>10120</v>
      </c>
      <c r="I114" s="922" t="s">
        <v>179</v>
      </c>
      <c r="J114" s="922" t="s">
        <v>129</v>
      </c>
      <c r="K114" s="982" t="s">
        <v>4065</v>
      </c>
      <c r="L114" s="944">
        <v>44195</v>
      </c>
      <c r="M114" s="2105" t="s">
        <v>172</v>
      </c>
      <c r="N114" s="2286">
        <v>43830</v>
      </c>
      <c r="O114" s="1505" t="s">
        <v>4063</v>
      </c>
      <c r="P114" s="3460"/>
      <c r="Q114" s="3461"/>
      <c r="R114" s="3461"/>
    </row>
    <row r="115" spans="2:18" outlineLevel="1">
      <c r="B115" s="889">
        <v>86</v>
      </c>
      <c r="C115" s="3063"/>
      <c r="D115" s="1037">
        <v>2</v>
      </c>
      <c r="E115" s="2205" t="s">
        <v>133</v>
      </c>
      <c r="F115" s="940" t="s">
        <v>723</v>
      </c>
      <c r="G115" s="2508" t="s">
        <v>253</v>
      </c>
      <c r="H115" s="894">
        <v>20120</v>
      </c>
      <c r="I115" s="934" t="s">
        <v>179</v>
      </c>
      <c r="J115" s="922" t="s">
        <v>129</v>
      </c>
      <c r="K115" s="846" t="s">
        <v>4065</v>
      </c>
      <c r="L115" s="936">
        <v>44195</v>
      </c>
      <c r="M115" s="2105" t="s">
        <v>172</v>
      </c>
      <c r="N115" s="2283">
        <v>43830</v>
      </c>
      <c r="O115" s="1505" t="s">
        <v>4063</v>
      </c>
    </row>
    <row r="116" spans="2:18" outlineLevel="1">
      <c r="B116" s="889">
        <v>87</v>
      </c>
      <c r="C116" s="3063"/>
      <c r="D116" s="1037">
        <v>3</v>
      </c>
      <c r="E116" s="2477" t="s">
        <v>133</v>
      </c>
      <c r="F116" s="2478" t="s">
        <v>723</v>
      </c>
      <c r="G116" s="2508" t="s">
        <v>682</v>
      </c>
      <c r="H116" s="894">
        <v>30120</v>
      </c>
      <c r="I116" s="934" t="s">
        <v>183</v>
      </c>
      <c r="J116" s="934" t="s">
        <v>129</v>
      </c>
      <c r="K116" s="846" t="s">
        <v>4065</v>
      </c>
      <c r="L116" s="936">
        <v>44195</v>
      </c>
      <c r="M116" s="852" t="s">
        <v>172</v>
      </c>
      <c r="N116" s="2283">
        <v>43830</v>
      </c>
      <c r="O116" s="1505" t="s">
        <v>4066</v>
      </c>
      <c r="P116" s="3460"/>
      <c r="Q116" s="3461"/>
      <c r="R116" s="3461"/>
    </row>
    <row r="117" spans="2:18" outlineLevel="1">
      <c r="B117" s="889">
        <v>88</v>
      </c>
      <c r="C117" s="3063"/>
      <c r="D117" s="1276">
        <v>4</v>
      </c>
      <c r="E117" s="2207" t="s">
        <v>133</v>
      </c>
      <c r="F117" s="959" t="s">
        <v>723</v>
      </c>
      <c r="G117" s="2508" t="s">
        <v>682</v>
      </c>
      <c r="H117" s="894">
        <v>40120</v>
      </c>
      <c r="I117" s="934" t="s">
        <v>183</v>
      </c>
      <c r="J117" s="934" t="s">
        <v>129</v>
      </c>
      <c r="K117" s="846" t="s">
        <v>4065</v>
      </c>
      <c r="L117" s="936">
        <v>44195</v>
      </c>
      <c r="M117" s="2105" t="s">
        <v>172</v>
      </c>
      <c r="N117" s="2284">
        <v>43830</v>
      </c>
      <c r="O117" s="1505" t="s">
        <v>4066</v>
      </c>
    </row>
    <row r="118" spans="2:18" outlineLevel="1">
      <c r="B118" s="889">
        <v>89</v>
      </c>
      <c r="C118" s="3063"/>
      <c r="D118" s="1276">
        <v>5</v>
      </c>
      <c r="E118" s="2208" t="s">
        <v>133</v>
      </c>
      <c r="F118" s="950" t="s">
        <v>723</v>
      </c>
      <c r="G118" s="2508" t="s">
        <v>682</v>
      </c>
      <c r="H118" s="894">
        <v>50120</v>
      </c>
      <c r="I118" s="934" t="s">
        <v>183</v>
      </c>
      <c r="J118" s="895" t="s">
        <v>129</v>
      </c>
      <c r="K118" s="846" t="s">
        <v>4065</v>
      </c>
      <c r="L118" s="936">
        <v>44195</v>
      </c>
      <c r="M118" s="2105" t="s">
        <v>172</v>
      </c>
      <c r="N118" s="2284">
        <v>43830</v>
      </c>
      <c r="O118" s="1505" t="s">
        <v>4066</v>
      </c>
    </row>
    <row r="119" spans="2:18" outlineLevel="1">
      <c r="B119" s="889">
        <v>90</v>
      </c>
      <c r="C119" s="3063"/>
      <c r="D119" s="1276">
        <v>6</v>
      </c>
      <c r="E119" s="2208" t="s">
        <v>133</v>
      </c>
      <c r="F119" s="892" t="s">
        <v>723</v>
      </c>
      <c r="G119" s="2508" t="s">
        <v>682</v>
      </c>
      <c r="H119" s="894">
        <v>60120</v>
      </c>
      <c r="I119" s="934" t="s">
        <v>183</v>
      </c>
      <c r="J119" s="895" t="s">
        <v>129</v>
      </c>
      <c r="K119" s="846" t="s">
        <v>4065</v>
      </c>
      <c r="L119" s="936">
        <v>44195</v>
      </c>
      <c r="M119" s="2105" t="s">
        <v>172</v>
      </c>
      <c r="N119" s="2284">
        <v>43830</v>
      </c>
      <c r="O119" s="1505" t="s">
        <v>4066</v>
      </c>
    </row>
    <row r="120" spans="2:18" outlineLevel="1">
      <c r="B120" s="889">
        <v>91</v>
      </c>
      <c r="C120" s="3063"/>
      <c r="D120" s="1276">
        <v>7</v>
      </c>
      <c r="E120" s="2208" t="s">
        <v>133</v>
      </c>
      <c r="F120" s="892" t="s">
        <v>723</v>
      </c>
      <c r="G120" s="2508" t="s">
        <v>682</v>
      </c>
      <c r="H120" s="894">
        <v>70120</v>
      </c>
      <c r="I120" s="934" t="s">
        <v>183</v>
      </c>
      <c r="J120" s="895" t="s">
        <v>129</v>
      </c>
      <c r="K120" s="846" t="s">
        <v>4065</v>
      </c>
      <c r="L120" s="936">
        <v>44195</v>
      </c>
      <c r="M120" s="2105" t="s">
        <v>172</v>
      </c>
      <c r="N120" s="2284">
        <v>43830</v>
      </c>
      <c r="O120" s="1505" t="s">
        <v>4066</v>
      </c>
    </row>
    <row r="121" spans="2:18" outlineLevel="1">
      <c r="B121" s="889">
        <v>92</v>
      </c>
      <c r="C121" s="3063"/>
      <c r="D121" s="1276">
        <v>8</v>
      </c>
      <c r="E121" s="2208" t="s">
        <v>133</v>
      </c>
      <c r="F121" s="892" t="s">
        <v>723</v>
      </c>
      <c r="G121" s="2508" t="s">
        <v>682</v>
      </c>
      <c r="H121" s="894">
        <v>80120</v>
      </c>
      <c r="I121" s="934" t="s">
        <v>183</v>
      </c>
      <c r="J121" s="895" t="s">
        <v>129</v>
      </c>
      <c r="K121" s="846" t="s">
        <v>4065</v>
      </c>
      <c r="L121" s="936">
        <v>44195</v>
      </c>
      <c r="M121" s="2105" t="s">
        <v>172</v>
      </c>
      <c r="N121" s="2284">
        <v>43830</v>
      </c>
      <c r="O121" s="1505" t="s">
        <v>4066</v>
      </c>
    </row>
    <row r="122" spans="2:18" outlineLevel="1">
      <c r="B122" s="889">
        <v>93</v>
      </c>
      <c r="C122" s="3063"/>
      <c r="D122" s="1276">
        <v>9</v>
      </c>
      <c r="E122" s="2206" t="s">
        <v>133</v>
      </c>
      <c r="F122" s="950" t="s">
        <v>723</v>
      </c>
      <c r="G122" s="2508" t="s">
        <v>682</v>
      </c>
      <c r="H122" s="894">
        <v>90120</v>
      </c>
      <c r="I122" s="934" t="s">
        <v>183</v>
      </c>
      <c r="J122" s="952" t="s">
        <v>129</v>
      </c>
      <c r="K122" s="846" t="s">
        <v>4065</v>
      </c>
      <c r="L122" s="936">
        <v>44195</v>
      </c>
      <c r="M122" s="2105" t="s">
        <v>172</v>
      </c>
      <c r="N122" s="2284">
        <v>43830</v>
      </c>
      <c r="O122" s="1505" t="s">
        <v>4066</v>
      </c>
    </row>
    <row r="123" spans="2:18" outlineLevel="1">
      <c r="B123" s="889">
        <v>94</v>
      </c>
      <c r="C123" s="3063"/>
      <c r="D123" s="1037">
        <v>10</v>
      </c>
      <c r="E123" s="2207" t="s">
        <v>133</v>
      </c>
      <c r="F123" s="959" t="s">
        <v>723</v>
      </c>
      <c r="G123" s="2508" t="s">
        <v>682</v>
      </c>
      <c r="H123" s="894">
        <v>100120</v>
      </c>
      <c r="I123" s="934" t="s">
        <v>183</v>
      </c>
      <c r="J123" s="934" t="s">
        <v>129</v>
      </c>
      <c r="K123" s="846" t="s">
        <v>4065</v>
      </c>
      <c r="L123" s="936">
        <v>44195</v>
      </c>
      <c r="M123" s="852" t="s">
        <v>172</v>
      </c>
      <c r="N123" s="2283">
        <v>43830</v>
      </c>
      <c r="O123" s="1505" t="s">
        <v>4066</v>
      </c>
    </row>
    <row r="124" spans="2:18" ht="8.1" customHeight="1">
      <c r="C124" s="822"/>
      <c r="D124" s="822"/>
      <c r="E124" s="822"/>
      <c r="F124" s="822"/>
      <c r="G124" s="822"/>
      <c r="H124" s="822"/>
      <c r="I124" s="822"/>
      <c r="J124" s="822"/>
      <c r="K124" s="822"/>
      <c r="M124" s="822"/>
      <c r="N124" s="822"/>
      <c r="O124" s="822"/>
    </row>
    <row r="126" spans="2:18" ht="21" thickBot="1">
      <c r="D126" s="867" t="s">
        <v>2914</v>
      </c>
    </row>
    <row r="127" spans="2:18" ht="13.5" thickBot="1">
      <c r="H127" s="2755">
        <v>43389</v>
      </c>
      <c r="M127" s="3475" t="s">
        <v>175</v>
      </c>
      <c r="N127" s="3476"/>
      <c r="O127" s="2356"/>
    </row>
    <row r="128" spans="2:18" s="463" customFormat="1" ht="20.100000000000001" customHeight="1" thickBot="1">
      <c r="B128" s="874" t="s">
        <v>704</v>
      </c>
      <c r="C128" s="875" t="s">
        <v>113</v>
      </c>
      <c r="D128" s="876" t="s">
        <v>176</v>
      </c>
      <c r="E128" s="877" t="s">
        <v>114</v>
      </c>
      <c r="F128" s="878" t="s">
        <v>705</v>
      </c>
      <c r="G128" s="2507" t="s">
        <v>115</v>
      </c>
      <c r="H128" s="880" t="s">
        <v>116</v>
      </c>
      <c r="I128" s="2554" t="s">
        <v>117</v>
      </c>
      <c r="J128" s="882" t="s">
        <v>118</v>
      </c>
      <c r="K128" s="883" t="s">
        <v>119</v>
      </c>
      <c r="L128" s="884" t="s">
        <v>713</v>
      </c>
      <c r="M128" s="885" t="s">
        <v>120</v>
      </c>
      <c r="N128" s="886" t="s">
        <v>121</v>
      </c>
      <c r="O128" s="887" t="s">
        <v>719</v>
      </c>
    </row>
    <row r="129" spans="2:18" ht="8.1" customHeight="1" thickTop="1"/>
    <row r="130" spans="2:18" s="463" customFormat="1" ht="20.100000000000001" hidden="1" customHeight="1" outlineLevel="1" thickBot="1">
      <c r="B130" s="874" t="s">
        <v>704</v>
      </c>
      <c r="C130" s="875" t="s">
        <v>113</v>
      </c>
      <c r="D130" s="876" t="s">
        <v>176</v>
      </c>
      <c r="E130" s="877" t="s">
        <v>114</v>
      </c>
      <c r="F130" s="878" t="s">
        <v>705</v>
      </c>
      <c r="G130" s="2507" t="s">
        <v>115</v>
      </c>
      <c r="H130" s="880" t="s">
        <v>116</v>
      </c>
      <c r="I130" s="2554" t="s">
        <v>117</v>
      </c>
      <c r="J130" s="882" t="s">
        <v>118</v>
      </c>
      <c r="K130" s="883" t="s">
        <v>119</v>
      </c>
      <c r="L130" s="884" t="s">
        <v>713</v>
      </c>
      <c r="M130" s="885" t="s">
        <v>120</v>
      </c>
      <c r="N130" s="886" t="s">
        <v>121</v>
      </c>
      <c r="O130" s="887" t="s">
        <v>719</v>
      </c>
    </row>
    <row r="131" spans="2:18" ht="15.75" hidden="1" customHeight="1" outlineLevel="1" thickTop="1">
      <c r="B131" s="889">
        <v>1</v>
      </c>
      <c r="C131" s="3467" t="s">
        <v>504</v>
      </c>
      <c r="D131" s="1078">
        <v>1</v>
      </c>
      <c r="E131" s="2291" t="s">
        <v>133</v>
      </c>
      <c r="F131" s="940" t="s">
        <v>723</v>
      </c>
      <c r="G131" s="2706" t="s">
        <v>2846</v>
      </c>
      <c r="H131" s="2704">
        <v>10118</v>
      </c>
      <c r="I131" s="922" t="s">
        <v>834</v>
      </c>
      <c r="J131" s="922" t="s">
        <v>129</v>
      </c>
      <c r="K131" s="982" t="s">
        <v>2847</v>
      </c>
      <c r="L131" s="944">
        <v>43083</v>
      </c>
      <c r="M131" s="2105" t="s">
        <v>2848</v>
      </c>
      <c r="N131" s="2282">
        <v>43108</v>
      </c>
      <c r="O131" s="1505" t="s">
        <v>2444</v>
      </c>
    </row>
    <row r="132" spans="2:18" ht="15.75" hidden="1" customHeight="1" outlineLevel="1" thickBot="1">
      <c r="B132" s="900">
        <v>2</v>
      </c>
      <c r="C132" s="3462"/>
      <c r="D132" s="1098">
        <v>2</v>
      </c>
      <c r="E132" s="2292" t="s">
        <v>133</v>
      </c>
      <c r="F132" s="2169" t="s">
        <v>723</v>
      </c>
      <c r="G132" s="2707" t="s">
        <v>2846</v>
      </c>
      <c r="H132" s="2705">
        <v>20118</v>
      </c>
      <c r="I132" s="1295" t="s">
        <v>834</v>
      </c>
      <c r="J132" s="1295" t="s">
        <v>129</v>
      </c>
      <c r="K132" s="1299" t="s">
        <v>2847</v>
      </c>
      <c r="L132" s="1163">
        <v>43083</v>
      </c>
      <c r="M132" s="911" t="s">
        <v>2848</v>
      </c>
      <c r="N132" s="2287">
        <v>43108</v>
      </c>
      <c r="O132" s="2281" t="s">
        <v>2444</v>
      </c>
    </row>
    <row r="133" spans="2:18" ht="15.75" hidden="1" customHeight="1" outlineLevel="1">
      <c r="B133" s="977">
        <v>3</v>
      </c>
      <c r="C133" s="3462"/>
      <c r="D133" s="1078">
        <v>1</v>
      </c>
      <c r="E133" s="2205" t="s">
        <v>376</v>
      </c>
      <c r="F133" s="940" t="s">
        <v>723</v>
      </c>
      <c r="G133" s="1381" t="s">
        <v>2287</v>
      </c>
      <c r="H133" s="942">
        <v>10118</v>
      </c>
      <c r="I133" s="922" t="s">
        <v>834</v>
      </c>
      <c r="J133" s="922" t="s">
        <v>129</v>
      </c>
      <c r="K133" s="982" t="s">
        <v>2804</v>
      </c>
      <c r="L133" s="944">
        <v>43110</v>
      </c>
      <c r="M133" s="2105" t="s">
        <v>2849</v>
      </c>
      <c r="N133" s="2286">
        <v>43123</v>
      </c>
      <c r="O133" s="1505" t="s">
        <v>2444</v>
      </c>
      <c r="P133" s="3460">
        <v>43123</v>
      </c>
      <c r="Q133" s="3505"/>
      <c r="R133" s="3505"/>
    </row>
    <row r="134" spans="2:18" ht="15" hidden="1" customHeight="1" outlineLevel="1">
      <c r="B134" s="889">
        <v>4</v>
      </c>
      <c r="C134" s="3462"/>
      <c r="D134" s="1037">
        <v>2</v>
      </c>
      <c r="E134" s="2205" t="s">
        <v>376</v>
      </c>
      <c r="F134" s="940" t="s">
        <v>723</v>
      </c>
      <c r="G134" s="2508" t="s">
        <v>2287</v>
      </c>
      <c r="H134" s="894">
        <v>20118</v>
      </c>
      <c r="I134" s="922" t="s">
        <v>834</v>
      </c>
      <c r="J134" s="922" t="s">
        <v>129</v>
      </c>
      <c r="K134" s="943" t="s">
        <v>2804</v>
      </c>
      <c r="L134" s="936">
        <v>43110</v>
      </c>
      <c r="M134" s="2276" t="s">
        <v>2849</v>
      </c>
      <c r="N134" s="2283">
        <v>43123</v>
      </c>
      <c r="O134" s="2277" t="s">
        <v>2444</v>
      </c>
    </row>
    <row r="135" spans="2:18" hidden="1" outlineLevel="1">
      <c r="B135" s="889">
        <v>5</v>
      </c>
      <c r="C135" s="3462"/>
      <c r="D135" s="1276">
        <v>3</v>
      </c>
      <c r="E135" s="2206" t="s">
        <v>376</v>
      </c>
      <c r="F135" s="950" t="s">
        <v>723</v>
      </c>
      <c r="G135" s="1382" t="s">
        <v>2287</v>
      </c>
      <c r="H135" s="894">
        <v>30118</v>
      </c>
      <c r="I135" s="922" t="s">
        <v>834</v>
      </c>
      <c r="J135" s="952" t="s">
        <v>129</v>
      </c>
      <c r="K135" s="953" t="s">
        <v>2804</v>
      </c>
      <c r="L135" s="954">
        <v>43110</v>
      </c>
      <c r="M135" s="2276" t="s">
        <v>2849</v>
      </c>
      <c r="N135" s="2284">
        <v>43123</v>
      </c>
      <c r="O135" s="2278" t="s">
        <v>2444</v>
      </c>
    </row>
    <row r="136" spans="2:18" hidden="1" outlineLevel="1">
      <c r="B136" s="889">
        <v>6</v>
      </c>
      <c r="C136" s="3462"/>
      <c r="D136" s="1037">
        <v>4</v>
      </c>
      <c r="E136" s="2207" t="s">
        <v>376</v>
      </c>
      <c r="F136" s="959" t="s">
        <v>723</v>
      </c>
      <c r="G136" s="2508" t="s">
        <v>2287</v>
      </c>
      <c r="H136" s="894">
        <v>40118</v>
      </c>
      <c r="I136" s="922" t="s">
        <v>834</v>
      </c>
      <c r="J136" s="934" t="s">
        <v>129</v>
      </c>
      <c r="K136" s="935" t="s">
        <v>2804</v>
      </c>
      <c r="L136" s="936">
        <v>43110</v>
      </c>
      <c r="M136" s="2276" t="s">
        <v>2849</v>
      </c>
      <c r="N136" s="2283">
        <v>43123</v>
      </c>
      <c r="O136" s="2277" t="s">
        <v>2444</v>
      </c>
    </row>
    <row r="137" spans="2:18" hidden="1" outlineLevel="1">
      <c r="B137" s="889">
        <v>7</v>
      </c>
      <c r="C137" s="3462"/>
      <c r="D137" s="1278">
        <v>5</v>
      </c>
      <c r="E137" s="2208" t="s">
        <v>376</v>
      </c>
      <c r="F137" s="950" t="s">
        <v>723</v>
      </c>
      <c r="G137" s="2509" t="s">
        <v>2287</v>
      </c>
      <c r="H137" s="894">
        <v>50118</v>
      </c>
      <c r="I137" s="922" t="s">
        <v>834</v>
      </c>
      <c r="J137" s="895" t="s">
        <v>129</v>
      </c>
      <c r="K137" s="896" t="s">
        <v>2804</v>
      </c>
      <c r="L137" s="897">
        <v>43110</v>
      </c>
      <c r="M137" s="2276" t="s">
        <v>2849</v>
      </c>
      <c r="N137" s="2285">
        <v>43123</v>
      </c>
      <c r="O137" s="2279" t="s">
        <v>2444</v>
      </c>
    </row>
    <row r="138" spans="2:18" hidden="1" outlineLevel="1">
      <c r="B138" s="889">
        <v>8</v>
      </c>
      <c r="C138" s="3462"/>
      <c r="D138" s="1278">
        <v>6</v>
      </c>
      <c r="E138" s="2208" t="s">
        <v>376</v>
      </c>
      <c r="F138" s="892" t="s">
        <v>723</v>
      </c>
      <c r="G138" s="2509" t="s">
        <v>2287</v>
      </c>
      <c r="H138" s="894">
        <v>60118</v>
      </c>
      <c r="I138" s="922" t="s">
        <v>834</v>
      </c>
      <c r="J138" s="895" t="s">
        <v>129</v>
      </c>
      <c r="K138" s="896" t="s">
        <v>2804</v>
      </c>
      <c r="L138" s="897">
        <v>43110</v>
      </c>
      <c r="M138" s="2276" t="s">
        <v>2849</v>
      </c>
      <c r="N138" s="2285">
        <v>43123</v>
      </c>
      <c r="O138" s="2279" t="s">
        <v>2444</v>
      </c>
    </row>
    <row r="139" spans="2:18" hidden="1" outlineLevel="1">
      <c r="B139" s="889">
        <v>9</v>
      </c>
      <c r="C139" s="3462"/>
      <c r="D139" s="1278">
        <v>7</v>
      </c>
      <c r="E139" s="2208" t="s">
        <v>376</v>
      </c>
      <c r="F139" s="892" t="s">
        <v>723</v>
      </c>
      <c r="G139" s="2509" t="s">
        <v>2287</v>
      </c>
      <c r="H139" s="894">
        <v>70118</v>
      </c>
      <c r="I139" s="922" t="s">
        <v>834</v>
      </c>
      <c r="J139" s="895" t="s">
        <v>129</v>
      </c>
      <c r="K139" s="896" t="s">
        <v>2804</v>
      </c>
      <c r="L139" s="897">
        <v>43110</v>
      </c>
      <c r="M139" s="2276" t="s">
        <v>2849</v>
      </c>
      <c r="N139" s="2285">
        <v>43123</v>
      </c>
      <c r="O139" s="2279" t="s">
        <v>2444</v>
      </c>
    </row>
    <row r="140" spans="2:18" hidden="1" outlineLevel="1">
      <c r="B140" s="889">
        <v>10</v>
      </c>
      <c r="C140" s="3462"/>
      <c r="D140" s="1278">
        <v>8</v>
      </c>
      <c r="E140" s="2208" t="s">
        <v>376</v>
      </c>
      <c r="F140" s="892" t="s">
        <v>723</v>
      </c>
      <c r="G140" s="2509" t="s">
        <v>2287</v>
      </c>
      <c r="H140" s="894">
        <v>80118</v>
      </c>
      <c r="I140" s="934" t="s">
        <v>834</v>
      </c>
      <c r="J140" s="895" t="s">
        <v>129</v>
      </c>
      <c r="K140" s="896" t="s">
        <v>2804</v>
      </c>
      <c r="L140" s="897">
        <v>43110</v>
      </c>
      <c r="M140" s="2276" t="s">
        <v>2849</v>
      </c>
      <c r="N140" s="2285">
        <v>43123</v>
      </c>
      <c r="O140" s="2279" t="s">
        <v>2444</v>
      </c>
    </row>
    <row r="141" spans="2:18" hidden="1" outlineLevel="1">
      <c r="B141" s="889">
        <v>11</v>
      </c>
      <c r="C141" s="3462"/>
      <c r="D141" s="1276">
        <v>9</v>
      </c>
      <c r="E141" s="2206" t="s">
        <v>376</v>
      </c>
      <c r="F141" s="950" t="s">
        <v>723</v>
      </c>
      <c r="G141" s="1382" t="s">
        <v>2287</v>
      </c>
      <c r="H141" s="894">
        <v>90118</v>
      </c>
      <c r="I141" s="922" t="s">
        <v>834</v>
      </c>
      <c r="J141" s="952" t="s">
        <v>129</v>
      </c>
      <c r="K141" s="953" t="s">
        <v>2804</v>
      </c>
      <c r="L141" s="954">
        <v>43110</v>
      </c>
      <c r="M141" s="2276" t="s">
        <v>2849</v>
      </c>
      <c r="N141" s="2284">
        <v>43123</v>
      </c>
      <c r="O141" s="2278" t="s">
        <v>2444</v>
      </c>
    </row>
    <row r="142" spans="2:18" hidden="1" outlineLevel="1">
      <c r="B142" s="889">
        <v>12</v>
      </c>
      <c r="C142" s="3462"/>
      <c r="D142" s="1037">
        <v>10</v>
      </c>
      <c r="E142" s="2207" t="s">
        <v>376</v>
      </c>
      <c r="F142" s="959" t="s">
        <v>723</v>
      </c>
      <c r="G142" s="2508" t="s">
        <v>2287</v>
      </c>
      <c r="H142" s="894">
        <v>100118</v>
      </c>
      <c r="I142" s="922" t="s">
        <v>834</v>
      </c>
      <c r="J142" s="934" t="s">
        <v>129</v>
      </c>
      <c r="K142" s="935" t="s">
        <v>2804</v>
      </c>
      <c r="L142" s="936">
        <v>43110</v>
      </c>
      <c r="M142" s="2276" t="s">
        <v>2849</v>
      </c>
      <c r="N142" s="2283">
        <v>43123</v>
      </c>
      <c r="O142" s="2277" t="s">
        <v>2444</v>
      </c>
    </row>
    <row r="143" spans="2:18" hidden="1" outlineLevel="1">
      <c r="B143" s="889">
        <v>13</v>
      </c>
      <c r="C143" s="3462"/>
      <c r="D143" s="1078">
        <v>11</v>
      </c>
      <c r="E143" s="2205" t="s">
        <v>376</v>
      </c>
      <c r="F143" s="940" t="s">
        <v>723</v>
      </c>
      <c r="G143" s="1381" t="s">
        <v>2287</v>
      </c>
      <c r="H143" s="942">
        <v>110118</v>
      </c>
      <c r="I143" s="922" t="s">
        <v>834</v>
      </c>
      <c r="J143" s="922" t="s">
        <v>129</v>
      </c>
      <c r="K143" s="943" t="s">
        <v>2804</v>
      </c>
      <c r="L143" s="944">
        <v>43110</v>
      </c>
      <c r="M143" s="2276" t="s">
        <v>2849</v>
      </c>
      <c r="N143" s="2286">
        <v>43123</v>
      </c>
      <c r="O143" s="2280" t="s">
        <v>2444</v>
      </c>
    </row>
    <row r="144" spans="2:18" ht="15.75" hidden="1" outlineLevel="1" thickBot="1">
      <c r="B144" s="889">
        <v>14</v>
      </c>
      <c r="C144" s="3462"/>
      <c r="D144" s="1098">
        <v>12</v>
      </c>
      <c r="E144" s="2209" t="s">
        <v>376</v>
      </c>
      <c r="F144" s="2169" t="s">
        <v>723</v>
      </c>
      <c r="G144" s="1385" t="s">
        <v>2287</v>
      </c>
      <c r="H144" s="906">
        <v>120118</v>
      </c>
      <c r="I144" s="1295" t="s">
        <v>834</v>
      </c>
      <c r="J144" s="1295" t="s">
        <v>129</v>
      </c>
      <c r="K144" s="1256" t="s">
        <v>2804</v>
      </c>
      <c r="L144" s="1163">
        <v>43110</v>
      </c>
      <c r="M144" s="909" t="s">
        <v>2849</v>
      </c>
      <c r="N144" s="2287">
        <v>43123</v>
      </c>
      <c r="O144" s="2281" t="s">
        <v>2444</v>
      </c>
    </row>
    <row r="145" spans="2:18" ht="8.1" customHeight="1" collapsed="1">
      <c r="C145" s="822"/>
      <c r="D145" s="822"/>
      <c r="E145" s="822"/>
      <c r="F145" s="822"/>
      <c r="G145" s="822"/>
      <c r="H145" s="822"/>
      <c r="I145" s="822"/>
      <c r="J145" s="822"/>
      <c r="K145" s="822"/>
      <c r="M145" s="822"/>
      <c r="N145" s="822"/>
      <c r="O145" s="822"/>
    </row>
    <row r="146" spans="2:18" s="463" customFormat="1" ht="20.100000000000001" hidden="1" customHeight="1" outlineLevel="1" thickBot="1">
      <c r="B146" s="874" t="s">
        <v>704</v>
      </c>
      <c r="C146" s="875" t="s">
        <v>113</v>
      </c>
      <c r="D146" s="876" t="s">
        <v>176</v>
      </c>
      <c r="E146" s="877" t="s">
        <v>114</v>
      </c>
      <c r="F146" s="878" t="s">
        <v>705</v>
      </c>
      <c r="G146" s="2507" t="s">
        <v>115</v>
      </c>
      <c r="H146" s="880" t="s">
        <v>116</v>
      </c>
      <c r="I146" s="2554" t="s">
        <v>117</v>
      </c>
      <c r="J146" s="882" t="s">
        <v>118</v>
      </c>
      <c r="K146" s="883" t="s">
        <v>119</v>
      </c>
      <c r="L146" s="884" t="s">
        <v>713</v>
      </c>
      <c r="M146" s="885" t="s">
        <v>120</v>
      </c>
      <c r="N146" s="886" t="s">
        <v>121</v>
      </c>
      <c r="O146" s="887" t="s">
        <v>719</v>
      </c>
    </row>
    <row r="147" spans="2:18" ht="15.75" hidden="1" customHeight="1" outlineLevel="1" thickTop="1">
      <c r="B147" s="977">
        <f>1+B144</f>
        <v>15</v>
      </c>
      <c r="C147" s="822"/>
      <c r="D147" s="1078">
        <v>1</v>
      </c>
      <c r="E147" s="2205" t="s">
        <v>133</v>
      </c>
      <c r="F147" s="940" t="s">
        <v>723</v>
      </c>
      <c r="G147" s="1381" t="s">
        <v>253</v>
      </c>
      <c r="H147" s="942">
        <v>130218</v>
      </c>
      <c r="I147" s="922" t="s">
        <v>179</v>
      </c>
      <c r="J147" s="922" t="s">
        <v>129</v>
      </c>
      <c r="K147" s="982" t="s">
        <v>2865</v>
      </c>
      <c r="L147" s="944">
        <v>43139</v>
      </c>
      <c r="M147" s="2105" t="s">
        <v>193</v>
      </c>
      <c r="N147" s="2286">
        <v>43140</v>
      </c>
      <c r="O147" s="1505" t="s">
        <v>2444</v>
      </c>
      <c r="P147" s="3460"/>
      <c r="Q147" s="3461"/>
      <c r="R147" s="3461"/>
    </row>
    <row r="148" spans="2:18" ht="15.75" hidden="1" outlineLevel="1" thickBot="1">
      <c r="B148" s="889">
        <f>1+B147</f>
        <v>16</v>
      </c>
      <c r="C148" s="822"/>
      <c r="D148" s="1098">
        <v>2</v>
      </c>
      <c r="E148" s="2209" t="s">
        <v>133</v>
      </c>
      <c r="F148" s="2169" t="s">
        <v>723</v>
      </c>
      <c r="G148" s="1385" t="s">
        <v>253</v>
      </c>
      <c r="H148" s="906">
        <v>140218</v>
      </c>
      <c r="I148" s="1295" t="s">
        <v>179</v>
      </c>
      <c r="J148" s="1295" t="s">
        <v>129</v>
      </c>
      <c r="K148" s="1256" t="s">
        <v>2865</v>
      </c>
      <c r="L148" s="1163">
        <v>43139</v>
      </c>
      <c r="M148" s="911" t="s">
        <v>193</v>
      </c>
      <c r="N148" s="2287">
        <v>43140</v>
      </c>
      <c r="O148" s="2281" t="s">
        <v>2444</v>
      </c>
    </row>
    <row r="149" spans="2:18" hidden="1" outlineLevel="1">
      <c r="B149" s="889">
        <f t="shared" ref="B149:B154" si="0">1+B148</f>
        <v>17</v>
      </c>
      <c r="C149" s="822"/>
      <c r="D149" s="1315">
        <v>3</v>
      </c>
      <c r="E149" s="2206" t="s">
        <v>133</v>
      </c>
      <c r="F149" s="950" t="s">
        <v>723</v>
      </c>
      <c r="G149" s="2530" t="s">
        <v>253</v>
      </c>
      <c r="H149" s="942">
        <v>150218</v>
      </c>
      <c r="I149" s="922" t="s">
        <v>179</v>
      </c>
      <c r="J149" s="952" t="s">
        <v>129</v>
      </c>
      <c r="K149" s="953" t="s">
        <v>2865</v>
      </c>
      <c r="L149" s="1308">
        <v>43139</v>
      </c>
      <c r="M149" s="2105" t="s">
        <v>284</v>
      </c>
      <c r="N149" s="2573">
        <v>43147</v>
      </c>
      <c r="O149" s="2280" t="s">
        <v>2444</v>
      </c>
    </row>
    <row r="150" spans="2:18" ht="15.75" hidden="1" outlineLevel="1" thickBot="1">
      <c r="B150" s="889">
        <f t="shared" si="0"/>
        <v>18</v>
      </c>
      <c r="C150" s="822"/>
      <c r="D150" s="1098">
        <v>4</v>
      </c>
      <c r="E150" s="2712" t="s">
        <v>133</v>
      </c>
      <c r="F150" s="2713" t="s">
        <v>723</v>
      </c>
      <c r="G150" s="1385" t="s">
        <v>253</v>
      </c>
      <c r="H150" s="906">
        <v>160218</v>
      </c>
      <c r="I150" s="1295" t="s">
        <v>179</v>
      </c>
      <c r="J150" s="1295" t="s">
        <v>129</v>
      </c>
      <c r="K150" s="1256" t="s">
        <v>2865</v>
      </c>
      <c r="L150" s="1163">
        <v>43139</v>
      </c>
      <c r="M150" s="911" t="s">
        <v>284</v>
      </c>
      <c r="N150" s="2287">
        <v>43147</v>
      </c>
      <c r="O150" s="2281" t="s">
        <v>2444</v>
      </c>
    </row>
    <row r="151" spans="2:18" hidden="1" outlineLevel="1">
      <c r="B151" s="889">
        <f t="shared" si="0"/>
        <v>19</v>
      </c>
      <c r="C151" s="822"/>
      <c r="D151" s="2710">
        <v>5</v>
      </c>
      <c r="E151" s="2619" t="s">
        <v>133</v>
      </c>
      <c r="F151" s="950" t="s">
        <v>723</v>
      </c>
      <c r="G151" s="2621" t="s">
        <v>253</v>
      </c>
      <c r="H151" s="942">
        <v>170218</v>
      </c>
      <c r="I151" s="922" t="s">
        <v>179</v>
      </c>
      <c r="J151" s="2622" t="s">
        <v>129</v>
      </c>
      <c r="K151" s="2276" t="s">
        <v>2865</v>
      </c>
      <c r="L151" s="2623">
        <v>43139</v>
      </c>
      <c r="M151" s="2105" t="s">
        <v>165</v>
      </c>
      <c r="N151" s="2624">
        <v>43151</v>
      </c>
      <c r="O151" s="2711" t="s">
        <v>2444</v>
      </c>
    </row>
    <row r="152" spans="2:18" ht="15.75" hidden="1" outlineLevel="1" thickBot="1">
      <c r="B152" s="889">
        <f t="shared" si="0"/>
        <v>20</v>
      </c>
      <c r="C152" s="822"/>
      <c r="D152" s="1280">
        <v>6</v>
      </c>
      <c r="E152" s="2714" t="s">
        <v>133</v>
      </c>
      <c r="F152" s="904" t="s">
        <v>723</v>
      </c>
      <c r="G152" s="2516" t="s">
        <v>253</v>
      </c>
      <c r="H152" s="906">
        <v>180218</v>
      </c>
      <c r="I152" s="1295" t="s">
        <v>179</v>
      </c>
      <c r="J152" s="908" t="s">
        <v>129</v>
      </c>
      <c r="K152" s="909" t="s">
        <v>2865</v>
      </c>
      <c r="L152" s="910">
        <v>43139</v>
      </c>
      <c r="M152" s="911" t="s">
        <v>165</v>
      </c>
      <c r="N152" s="2715">
        <v>43151</v>
      </c>
      <c r="O152" s="2572" t="s">
        <v>2444</v>
      </c>
    </row>
    <row r="153" spans="2:18" hidden="1" outlineLevel="1">
      <c r="B153" s="889">
        <f t="shared" si="0"/>
        <v>21</v>
      </c>
      <c r="C153" s="822"/>
      <c r="D153" s="2710">
        <v>7</v>
      </c>
      <c r="E153" s="2619" t="s">
        <v>133</v>
      </c>
      <c r="F153" s="2620" t="s">
        <v>723</v>
      </c>
      <c r="G153" s="2621" t="s">
        <v>253</v>
      </c>
      <c r="H153" s="942">
        <v>190218</v>
      </c>
      <c r="I153" s="922" t="s">
        <v>179</v>
      </c>
      <c r="J153" s="2622" t="s">
        <v>129</v>
      </c>
      <c r="K153" s="2276" t="s">
        <v>2865</v>
      </c>
      <c r="L153" s="2623">
        <v>43139</v>
      </c>
      <c r="M153" s="2105" t="s">
        <v>168</v>
      </c>
      <c r="N153" s="2624">
        <v>43155</v>
      </c>
      <c r="O153" s="2711" t="s">
        <v>2444</v>
      </c>
    </row>
    <row r="154" spans="2:18" hidden="1" outlineLevel="1">
      <c r="B154" s="889">
        <f t="shared" si="0"/>
        <v>22</v>
      </c>
      <c r="C154" s="822"/>
      <c r="D154" s="1278">
        <v>8</v>
      </c>
      <c r="E154" s="2208" t="s">
        <v>133</v>
      </c>
      <c r="F154" s="892" t="s">
        <v>723</v>
      </c>
      <c r="G154" s="2509" t="s">
        <v>253</v>
      </c>
      <c r="H154" s="894">
        <v>200218</v>
      </c>
      <c r="I154" s="934" t="s">
        <v>179</v>
      </c>
      <c r="J154" s="895" t="s">
        <v>129</v>
      </c>
      <c r="K154" s="896" t="s">
        <v>2865</v>
      </c>
      <c r="L154" s="897">
        <v>43139</v>
      </c>
      <c r="M154" s="2105" t="s">
        <v>168</v>
      </c>
      <c r="N154" s="2285">
        <v>43155</v>
      </c>
      <c r="O154" s="2279" t="s">
        <v>2444</v>
      </c>
    </row>
    <row r="155" spans="2:18" ht="8.1" customHeight="1" collapsed="1"/>
    <row r="156" spans="2:18" ht="8.1" customHeight="1">
      <c r="C156" s="822"/>
      <c r="D156" s="822"/>
      <c r="E156" s="822"/>
      <c r="F156" s="822"/>
      <c r="G156" s="822"/>
      <c r="H156" s="822"/>
      <c r="I156" s="822"/>
      <c r="J156" s="822"/>
      <c r="K156" s="822"/>
      <c r="M156" s="822"/>
      <c r="N156" s="822"/>
      <c r="O156" s="822"/>
    </row>
    <row r="157" spans="2:18" s="463" customFormat="1" ht="20.100000000000001" hidden="1" customHeight="1" outlineLevel="1" thickBot="1">
      <c r="B157" s="874" t="s">
        <v>704</v>
      </c>
      <c r="C157" s="875" t="s">
        <v>113</v>
      </c>
      <c r="D157" s="876" t="s">
        <v>176</v>
      </c>
      <c r="E157" s="877" t="s">
        <v>114</v>
      </c>
      <c r="F157" s="878" t="s">
        <v>705</v>
      </c>
      <c r="G157" s="2507" t="s">
        <v>115</v>
      </c>
      <c r="H157" s="880" t="s">
        <v>116</v>
      </c>
      <c r="I157" s="2554" t="s">
        <v>117</v>
      </c>
      <c r="J157" s="882" t="s">
        <v>118</v>
      </c>
      <c r="K157" s="883" t="s">
        <v>119</v>
      </c>
      <c r="L157" s="884" t="s">
        <v>713</v>
      </c>
      <c r="M157" s="885" t="s">
        <v>120</v>
      </c>
      <c r="N157" s="886" t="s">
        <v>121</v>
      </c>
      <c r="O157" s="887" t="s">
        <v>719</v>
      </c>
    </row>
    <row r="158" spans="2:18" ht="15.75" hidden="1" customHeight="1" outlineLevel="1" thickTop="1">
      <c r="B158" s="977">
        <f>1+B155</f>
        <v>1</v>
      </c>
      <c r="C158" s="822"/>
      <c r="D158" s="1078">
        <v>1</v>
      </c>
      <c r="E158" s="2205" t="s">
        <v>376</v>
      </c>
      <c r="F158" s="940" t="s">
        <v>723</v>
      </c>
      <c r="G158" s="1381" t="s">
        <v>2287</v>
      </c>
      <c r="H158" s="942">
        <v>210318</v>
      </c>
      <c r="I158" s="922" t="s">
        <v>834</v>
      </c>
      <c r="J158" s="922" t="s">
        <v>129</v>
      </c>
      <c r="K158" s="982" t="s">
        <v>2865</v>
      </c>
      <c r="L158" s="944">
        <v>43183</v>
      </c>
      <c r="M158" s="2105" t="s">
        <v>2968</v>
      </c>
      <c r="N158" s="2286">
        <v>43185</v>
      </c>
      <c r="O158" s="1505" t="s">
        <v>2969</v>
      </c>
      <c r="P158" s="3460"/>
      <c r="Q158" s="3461"/>
      <c r="R158" s="3461"/>
    </row>
    <row r="159" spans="2:18" hidden="1" outlineLevel="1">
      <c r="B159" s="889">
        <f>1+B158</f>
        <v>2</v>
      </c>
      <c r="C159" s="822"/>
      <c r="D159" s="1037">
        <v>2</v>
      </c>
      <c r="E159" s="2477" t="s">
        <v>376</v>
      </c>
      <c r="F159" s="2478" t="s">
        <v>723</v>
      </c>
      <c r="G159" s="2508" t="s">
        <v>2287</v>
      </c>
      <c r="H159" s="894">
        <v>220318</v>
      </c>
      <c r="I159" s="934" t="s">
        <v>834</v>
      </c>
      <c r="J159" s="934" t="s">
        <v>129</v>
      </c>
      <c r="K159" s="935" t="s">
        <v>2865</v>
      </c>
      <c r="L159" s="936">
        <v>43183</v>
      </c>
      <c r="M159" s="852" t="s">
        <v>2968</v>
      </c>
      <c r="N159" s="2283">
        <v>43185</v>
      </c>
      <c r="O159" s="2277" t="s">
        <v>2969</v>
      </c>
    </row>
    <row r="160" spans="2:18" hidden="1" outlineLevel="1">
      <c r="B160" s="889">
        <f t="shared" ref="B160:B162" si="1">1+B159</f>
        <v>3</v>
      </c>
      <c r="C160" s="822"/>
      <c r="D160" s="1037">
        <v>3</v>
      </c>
      <c r="E160" s="2477" t="s">
        <v>376</v>
      </c>
      <c r="F160" s="2478" t="s">
        <v>723</v>
      </c>
      <c r="G160" s="2508" t="s">
        <v>2287</v>
      </c>
      <c r="H160" s="894">
        <v>230318</v>
      </c>
      <c r="I160" s="934" t="s">
        <v>834</v>
      </c>
      <c r="J160" s="934" t="s">
        <v>129</v>
      </c>
      <c r="K160" s="935" t="s">
        <v>2865</v>
      </c>
      <c r="L160" s="936">
        <v>43183</v>
      </c>
      <c r="M160" s="852" t="s">
        <v>2968</v>
      </c>
      <c r="N160" s="2283">
        <v>43185</v>
      </c>
      <c r="O160" s="2277" t="s">
        <v>2969</v>
      </c>
    </row>
    <row r="161" spans="2:15" hidden="1" outlineLevel="1">
      <c r="B161" s="889">
        <f t="shared" si="1"/>
        <v>4</v>
      </c>
      <c r="C161" s="822"/>
      <c r="D161" s="1037">
        <v>4</v>
      </c>
      <c r="E161" s="2207" t="s">
        <v>376</v>
      </c>
      <c r="F161" s="959" t="s">
        <v>723</v>
      </c>
      <c r="G161" s="2508" t="s">
        <v>2287</v>
      </c>
      <c r="H161" s="894">
        <v>240318</v>
      </c>
      <c r="I161" s="934" t="s">
        <v>834</v>
      </c>
      <c r="J161" s="934" t="s">
        <v>129</v>
      </c>
      <c r="K161" s="935" t="s">
        <v>2865</v>
      </c>
      <c r="L161" s="936">
        <v>43183</v>
      </c>
      <c r="M161" s="852" t="s">
        <v>2968</v>
      </c>
      <c r="N161" s="2283">
        <v>43185</v>
      </c>
      <c r="O161" s="2277" t="s">
        <v>2969</v>
      </c>
    </row>
    <row r="162" spans="2:15" hidden="1" outlineLevel="1">
      <c r="B162" s="889">
        <f t="shared" si="1"/>
        <v>5</v>
      </c>
      <c r="C162" s="822"/>
      <c r="D162" s="1278">
        <v>5</v>
      </c>
      <c r="E162" s="2208" t="s">
        <v>376</v>
      </c>
      <c r="F162" s="2478" t="s">
        <v>723</v>
      </c>
      <c r="G162" s="2509" t="s">
        <v>2287</v>
      </c>
      <c r="H162" s="894">
        <v>250318</v>
      </c>
      <c r="I162" s="934" t="s">
        <v>834</v>
      </c>
      <c r="J162" s="895" t="s">
        <v>129</v>
      </c>
      <c r="K162" s="896" t="s">
        <v>2865</v>
      </c>
      <c r="L162" s="897">
        <v>43183</v>
      </c>
      <c r="M162" s="852" t="s">
        <v>2968</v>
      </c>
      <c r="N162" s="2285">
        <v>43185</v>
      </c>
      <c r="O162" s="2279" t="s">
        <v>2969</v>
      </c>
    </row>
    <row r="163" spans="2:15" hidden="1" outlineLevel="1">
      <c r="B163" s="889">
        <v>6</v>
      </c>
      <c r="C163" s="822"/>
      <c r="D163" s="1278">
        <v>6</v>
      </c>
      <c r="E163" s="2208" t="s">
        <v>376</v>
      </c>
      <c r="F163" s="892" t="s">
        <v>723</v>
      </c>
      <c r="G163" s="2509" t="s">
        <v>2287</v>
      </c>
      <c r="H163" s="894">
        <v>260318</v>
      </c>
      <c r="I163" s="934" t="s">
        <v>834</v>
      </c>
      <c r="J163" s="895" t="s">
        <v>129</v>
      </c>
      <c r="K163" s="896" t="s">
        <v>2865</v>
      </c>
      <c r="L163" s="897">
        <v>43183</v>
      </c>
      <c r="M163" s="852" t="s">
        <v>2968</v>
      </c>
      <c r="N163" s="2285">
        <v>43185</v>
      </c>
      <c r="O163" s="2279" t="s">
        <v>2969</v>
      </c>
    </row>
    <row r="164" spans="2:15" hidden="1" outlineLevel="1">
      <c r="B164" s="889">
        <v>7</v>
      </c>
      <c r="C164" s="822"/>
      <c r="D164" s="1278">
        <v>7</v>
      </c>
      <c r="E164" s="2208" t="s">
        <v>376</v>
      </c>
      <c r="F164" s="892" t="s">
        <v>723</v>
      </c>
      <c r="G164" s="2509" t="s">
        <v>2287</v>
      </c>
      <c r="H164" s="894">
        <v>270318</v>
      </c>
      <c r="I164" s="934" t="s">
        <v>834</v>
      </c>
      <c r="J164" s="895" t="s">
        <v>129</v>
      </c>
      <c r="K164" s="896" t="s">
        <v>2865</v>
      </c>
      <c r="L164" s="897">
        <v>43183</v>
      </c>
      <c r="M164" s="852" t="s">
        <v>2968</v>
      </c>
      <c r="N164" s="2285">
        <v>43185</v>
      </c>
      <c r="O164" s="2279" t="s">
        <v>2969</v>
      </c>
    </row>
    <row r="165" spans="2:15" hidden="1" outlineLevel="1">
      <c r="B165" s="889">
        <v>8</v>
      </c>
      <c r="C165" s="822"/>
      <c r="D165" s="1278">
        <v>8</v>
      </c>
      <c r="E165" s="2208" t="s">
        <v>376</v>
      </c>
      <c r="F165" s="892" t="s">
        <v>723</v>
      </c>
      <c r="G165" s="2509" t="s">
        <v>2287</v>
      </c>
      <c r="H165" s="894">
        <v>280318</v>
      </c>
      <c r="I165" s="934" t="s">
        <v>834</v>
      </c>
      <c r="J165" s="895" t="s">
        <v>129</v>
      </c>
      <c r="K165" s="896" t="s">
        <v>2865</v>
      </c>
      <c r="L165" s="897">
        <v>43183</v>
      </c>
      <c r="M165" s="852" t="s">
        <v>2968</v>
      </c>
      <c r="N165" s="2285">
        <v>43185</v>
      </c>
      <c r="O165" s="2279" t="s">
        <v>2969</v>
      </c>
    </row>
    <row r="166" spans="2:15" ht="8.1" customHeight="1" collapsed="1"/>
    <row r="167" spans="2:15" hidden="1" outlineLevel="1">
      <c r="B167" s="889">
        <v>11</v>
      </c>
      <c r="C167" s="822"/>
      <c r="D167" s="1278">
        <v>1</v>
      </c>
      <c r="E167" s="2662" t="s">
        <v>133</v>
      </c>
      <c r="F167" s="892" t="s">
        <v>723</v>
      </c>
      <c r="G167" s="2509" t="s">
        <v>2009</v>
      </c>
      <c r="H167" s="894">
        <v>290518</v>
      </c>
      <c r="I167" s="934" t="s">
        <v>834</v>
      </c>
      <c r="J167" s="895" t="s">
        <v>129</v>
      </c>
      <c r="K167" s="852" t="s">
        <v>2865</v>
      </c>
      <c r="L167" s="897">
        <v>43229</v>
      </c>
      <c r="M167" s="852" t="s">
        <v>3101</v>
      </c>
      <c r="N167" s="2285">
        <v>43266</v>
      </c>
      <c r="O167" s="2279" t="s">
        <v>3102</v>
      </c>
    </row>
    <row r="168" spans="2:15" hidden="1" outlineLevel="1">
      <c r="B168" s="889">
        <v>11</v>
      </c>
      <c r="C168" s="822"/>
      <c r="D168" s="1278">
        <f>1+D167</f>
        <v>2</v>
      </c>
      <c r="E168" s="2662" t="s">
        <v>133</v>
      </c>
      <c r="F168" s="892" t="s">
        <v>723</v>
      </c>
      <c r="G168" s="2509" t="s">
        <v>2009</v>
      </c>
      <c r="H168" s="894">
        <v>300518</v>
      </c>
      <c r="I168" s="934" t="s">
        <v>834</v>
      </c>
      <c r="J168" s="895" t="s">
        <v>129</v>
      </c>
      <c r="K168" s="896" t="s">
        <v>2865</v>
      </c>
      <c r="L168" s="897">
        <v>43229</v>
      </c>
      <c r="M168" s="852" t="s">
        <v>3101</v>
      </c>
      <c r="N168" s="2285">
        <v>43266</v>
      </c>
      <c r="O168" s="2279" t="s">
        <v>3102</v>
      </c>
    </row>
    <row r="169" spans="2:15" hidden="1" outlineLevel="1">
      <c r="B169" s="889">
        <v>11</v>
      </c>
      <c r="C169" s="822"/>
      <c r="D169" s="1278">
        <f t="shared" ref="D169:D178" si="2">1+D168</f>
        <v>3</v>
      </c>
      <c r="E169" s="2662" t="s">
        <v>133</v>
      </c>
      <c r="F169" s="892" t="s">
        <v>723</v>
      </c>
      <c r="G169" s="2509" t="s">
        <v>2009</v>
      </c>
      <c r="H169" s="894">
        <v>310518</v>
      </c>
      <c r="I169" s="934" t="s">
        <v>834</v>
      </c>
      <c r="J169" s="895" t="s">
        <v>129</v>
      </c>
      <c r="K169" s="896" t="s">
        <v>2865</v>
      </c>
      <c r="L169" s="897">
        <v>43229</v>
      </c>
      <c r="M169" s="852" t="s">
        <v>3101</v>
      </c>
      <c r="N169" s="2285">
        <v>43266</v>
      </c>
      <c r="O169" s="2279" t="s">
        <v>3102</v>
      </c>
    </row>
    <row r="170" spans="2:15" hidden="1" outlineLevel="1">
      <c r="B170" s="889">
        <v>11</v>
      </c>
      <c r="C170" s="822"/>
      <c r="D170" s="1278">
        <f t="shared" si="2"/>
        <v>4</v>
      </c>
      <c r="E170" s="2662" t="s">
        <v>133</v>
      </c>
      <c r="F170" s="892" t="s">
        <v>723</v>
      </c>
      <c r="G170" s="2509" t="s">
        <v>2009</v>
      </c>
      <c r="H170" s="894">
        <v>320518</v>
      </c>
      <c r="I170" s="934" t="s">
        <v>834</v>
      </c>
      <c r="J170" s="895" t="s">
        <v>129</v>
      </c>
      <c r="K170" s="896" t="s">
        <v>2865</v>
      </c>
      <c r="L170" s="897">
        <v>43229</v>
      </c>
      <c r="M170" s="852" t="s">
        <v>3101</v>
      </c>
      <c r="N170" s="2285">
        <v>43266</v>
      </c>
      <c r="O170" s="2279" t="s">
        <v>3102</v>
      </c>
    </row>
    <row r="171" spans="2:15" hidden="1" outlineLevel="1">
      <c r="B171" s="889">
        <v>11</v>
      </c>
      <c r="C171" s="822"/>
      <c r="D171" s="1278">
        <f t="shared" si="2"/>
        <v>5</v>
      </c>
      <c r="E171" s="2662" t="s">
        <v>133</v>
      </c>
      <c r="F171" s="892" t="s">
        <v>723</v>
      </c>
      <c r="G171" s="2509" t="s">
        <v>2009</v>
      </c>
      <c r="H171" s="894">
        <v>330518</v>
      </c>
      <c r="I171" s="934" t="s">
        <v>834</v>
      </c>
      <c r="J171" s="895" t="s">
        <v>129</v>
      </c>
      <c r="K171" s="896" t="s">
        <v>2865</v>
      </c>
      <c r="L171" s="897">
        <v>43229</v>
      </c>
      <c r="M171" s="852" t="s">
        <v>3101</v>
      </c>
      <c r="N171" s="2285">
        <v>43266</v>
      </c>
      <c r="O171" s="2279" t="s">
        <v>3102</v>
      </c>
    </row>
    <row r="172" spans="2:15" hidden="1" outlineLevel="1">
      <c r="B172" s="889">
        <v>11</v>
      </c>
      <c r="C172" s="822"/>
      <c r="D172" s="1278">
        <f t="shared" si="2"/>
        <v>6</v>
      </c>
      <c r="E172" s="2662" t="s">
        <v>133</v>
      </c>
      <c r="F172" s="892" t="s">
        <v>723</v>
      </c>
      <c r="G172" s="2509" t="s">
        <v>2009</v>
      </c>
      <c r="H172" s="894">
        <v>340518</v>
      </c>
      <c r="I172" s="934" t="s">
        <v>834</v>
      </c>
      <c r="J172" s="895" t="s">
        <v>129</v>
      </c>
      <c r="K172" s="896" t="s">
        <v>2865</v>
      </c>
      <c r="L172" s="897">
        <v>43229</v>
      </c>
      <c r="M172" s="852" t="s">
        <v>3101</v>
      </c>
      <c r="N172" s="2285">
        <v>43266</v>
      </c>
      <c r="O172" s="2279" t="s">
        <v>3102</v>
      </c>
    </row>
    <row r="173" spans="2:15" hidden="1" outlineLevel="1">
      <c r="B173" s="889">
        <v>11</v>
      </c>
      <c r="C173" s="822"/>
      <c r="D173" s="1278">
        <f t="shared" si="2"/>
        <v>7</v>
      </c>
      <c r="E173" s="2662" t="s">
        <v>133</v>
      </c>
      <c r="F173" s="892" t="s">
        <v>723</v>
      </c>
      <c r="G173" s="2509" t="s">
        <v>2009</v>
      </c>
      <c r="H173" s="894">
        <v>350518</v>
      </c>
      <c r="I173" s="934" t="s">
        <v>834</v>
      </c>
      <c r="J173" s="895" t="s">
        <v>129</v>
      </c>
      <c r="K173" s="896" t="s">
        <v>2865</v>
      </c>
      <c r="L173" s="897">
        <v>43229</v>
      </c>
      <c r="M173" s="852" t="s">
        <v>3101</v>
      </c>
      <c r="N173" s="2285">
        <v>43266</v>
      </c>
      <c r="O173" s="2279" t="s">
        <v>3102</v>
      </c>
    </row>
    <row r="174" spans="2:15" hidden="1" outlineLevel="1">
      <c r="B174" s="889">
        <v>11</v>
      </c>
      <c r="C174" s="822"/>
      <c r="D174" s="1278">
        <f t="shared" si="2"/>
        <v>8</v>
      </c>
      <c r="E174" s="2662" t="s">
        <v>133</v>
      </c>
      <c r="F174" s="892" t="s">
        <v>723</v>
      </c>
      <c r="G174" s="2509" t="s">
        <v>2009</v>
      </c>
      <c r="H174" s="894">
        <v>360518</v>
      </c>
      <c r="I174" s="934" t="s">
        <v>834</v>
      </c>
      <c r="J174" s="895" t="s">
        <v>129</v>
      </c>
      <c r="K174" s="896" t="s">
        <v>2865</v>
      </c>
      <c r="L174" s="897">
        <v>43229</v>
      </c>
      <c r="M174" s="852" t="s">
        <v>3101</v>
      </c>
      <c r="N174" s="2285">
        <v>43266</v>
      </c>
      <c r="O174" s="2279" t="s">
        <v>3102</v>
      </c>
    </row>
    <row r="175" spans="2:15" hidden="1" outlineLevel="1">
      <c r="B175" s="889">
        <v>11</v>
      </c>
      <c r="C175" s="822"/>
      <c r="D175" s="1278">
        <f t="shared" si="2"/>
        <v>9</v>
      </c>
      <c r="E175" s="2662" t="s">
        <v>133</v>
      </c>
      <c r="F175" s="892" t="s">
        <v>723</v>
      </c>
      <c r="G175" s="2509" t="s">
        <v>2009</v>
      </c>
      <c r="H175" s="894">
        <v>370518</v>
      </c>
      <c r="I175" s="934" t="s">
        <v>834</v>
      </c>
      <c r="J175" s="895" t="s">
        <v>129</v>
      </c>
      <c r="K175" s="896" t="s">
        <v>2865</v>
      </c>
      <c r="L175" s="897">
        <v>43229</v>
      </c>
      <c r="M175" s="852" t="s">
        <v>3101</v>
      </c>
      <c r="N175" s="2285">
        <v>43266</v>
      </c>
      <c r="O175" s="2279" t="s">
        <v>3102</v>
      </c>
    </row>
    <row r="176" spans="2:15" hidden="1" outlineLevel="1">
      <c r="B176" s="889">
        <v>11</v>
      </c>
      <c r="C176" s="822"/>
      <c r="D176" s="1278">
        <f t="shared" si="2"/>
        <v>10</v>
      </c>
      <c r="E176" s="2662" t="s">
        <v>133</v>
      </c>
      <c r="F176" s="892" t="s">
        <v>723</v>
      </c>
      <c r="G176" s="2509" t="s">
        <v>2009</v>
      </c>
      <c r="H176" s="894">
        <v>380518</v>
      </c>
      <c r="I176" s="934" t="s">
        <v>834</v>
      </c>
      <c r="J176" s="895" t="s">
        <v>129</v>
      </c>
      <c r="K176" s="896" t="s">
        <v>2865</v>
      </c>
      <c r="L176" s="897">
        <v>43229</v>
      </c>
      <c r="M176" s="852" t="s">
        <v>3101</v>
      </c>
      <c r="N176" s="2285">
        <v>43266</v>
      </c>
      <c r="O176" s="2279" t="s">
        <v>3102</v>
      </c>
    </row>
    <row r="177" spans="2:15" hidden="1" outlineLevel="1">
      <c r="B177" s="889">
        <v>11</v>
      </c>
      <c r="C177" s="822"/>
      <c r="D177" s="1278">
        <f t="shared" si="2"/>
        <v>11</v>
      </c>
      <c r="E177" s="2662" t="s">
        <v>133</v>
      </c>
      <c r="F177" s="892" t="s">
        <v>723</v>
      </c>
      <c r="G177" s="2509" t="s">
        <v>2009</v>
      </c>
      <c r="H177" s="894">
        <v>390518</v>
      </c>
      <c r="I177" s="934" t="s">
        <v>834</v>
      </c>
      <c r="J177" s="895" t="s">
        <v>129</v>
      </c>
      <c r="K177" s="896" t="s">
        <v>2865</v>
      </c>
      <c r="L177" s="897">
        <v>43229</v>
      </c>
      <c r="M177" s="852" t="s">
        <v>3101</v>
      </c>
      <c r="N177" s="2285">
        <v>43266</v>
      </c>
      <c r="O177" s="2279" t="s">
        <v>3102</v>
      </c>
    </row>
    <row r="178" spans="2:15" hidden="1" outlineLevel="1">
      <c r="B178" s="889">
        <v>11</v>
      </c>
      <c r="C178" s="822"/>
      <c r="D178" s="1278">
        <f t="shared" si="2"/>
        <v>12</v>
      </c>
      <c r="E178" s="2662" t="s">
        <v>133</v>
      </c>
      <c r="F178" s="892" t="s">
        <v>723</v>
      </c>
      <c r="G178" s="2509" t="s">
        <v>2009</v>
      </c>
      <c r="H178" s="894">
        <v>400518</v>
      </c>
      <c r="I178" s="934" t="s">
        <v>834</v>
      </c>
      <c r="J178" s="895" t="s">
        <v>129</v>
      </c>
      <c r="K178" s="896" t="s">
        <v>2865</v>
      </c>
      <c r="L178" s="897">
        <v>43229</v>
      </c>
      <c r="M178" s="852" t="s">
        <v>3101</v>
      </c>
      <c r="N178" s="2285">
        <v>43266</v>
      </c>
      <c r="O178" s="2279" t="s">
        <v>3102</v>
      </c>
    </row>
    <row r="179" spans="2:15" hidden="1" outlineLevel="1">
      <c r="B179" s="889">
        <v>9</v>
      </c>
      <c r="C179" s="822"/>
      <c r="D179" s="1278">
        <v>1</v>
      </c>
      <c r="E179" s="2662" t="s">
        <v>376</v>
      </c>
      <c r="F179" s="892" t="s">
        <v>723</v>
      </c>
      <c r="G179" s="2509" t="s">
        <v>2287</v>
      </c>
      <c r="H179" s="894">
        <v>410518</v>
      </c>
      <c r="I179" s="934" t="s">
        <v>834</v>
      </c>
      <c r="J179" s="895" t="s">
        <v>129</v>
      </c>
      <c r="K179" s="896" t="s">
        <v>2865</v>
      </c>
      <c r="L179" s="897">
        <v>43183</v>
      </c>
      <c r="M179" s="852" t="s">
        <v>137</v>
      </c>
      <c r="N179" s="2285">
        <v>43241</v>
      </c>
      <c r="O179" s="2279" t="s">
        <v>3125</v>
      </c>
    </row>
    <row r="180" spans="2:15" hidden="1" outlineLevel="1">
      <c r="B180" s="889">
        <f>1+B179</f>
        <v>10</v>
      </c>
      <c r="C180" s="822"/>
      <c r="D180" s="1278">
        <v>2</v>
      </c>
      <c r="E180" s="2662" t="s">
        <v>376</v>
      </c>
      <c r="F180" s="892" t="s">
        <v>723</v>
      </c>
      <c r="G180" s="2509" t="s">
        <v>2287</v>
      </c>
      <c r="H180" s="894">
        <v>420518</v>
      </c>
      <c r="I180" s="934" t="s">
        <v>834</v>
      </c>
      <c r="J180" s="895" t="s">
        <v>129</v>
      </c>
      <c r="K180" s="896" t="s">
        <v>2865</v>
      </c>
      <c r="L180" s="897">
        <v>43183</v>
      </c>
      <c r="M180" s="852" t="s">
        <v>137</v>
      </c>
      <c r="N180" s="2285">
        <v>43241</v>
      </c>
      <c r="O180" s="2279" t="s">
        <v>3125</v>
      </c>
    </row>
    <row r="181" spans="2:15" ht="8.1" customHeight="1" collapsed="1"/>
    <row r="182" spans="2:15" s="463" customFormat="1" ht="20.100000000000001" hidden="1" customHeight="1" outlineLevel="1" thickBot="1">
      <c r="B182" s="874" t="s">
        <v>704</v>
      </c>
      <c r="C182" s="875" t="s">
        <v>113</v>
      </c>
      <c r="D182" s="876" t="s">
        <v>176</v>
      </c>
      <c r="E182" s="877" t="s">
        <v>114</v>
      </c>
      <c r="F182" s="878" t="s">
        <v>705</v>
      </c>
      <c r="G182" s="2507" t="s">
        <v>115</v>
      </c>
      <c r="H182" s="880" t="s">
        <v>116</v>
      </c>
      <c r="I182" s="2554" t="s">
        <v>117</v>
      </c>
      <c r="J182" s="882" t="s">
        <v>118</v>
      </c>
      <c r="K182" s="883" t="s">
        <v>119</v>
      </c>
      <c r="L182" s="884" t="s">
        <v>713</v>
      </c>
      <c r="M182" s="885" t="s">
        <v>120</v>
      </c>
      <c r="N182" s="886" t="s">
        <v>121</v>
      </c>
      <c r="O182" s="887" t="s">
        <v>719</v>
      </c>
    </row>
    <row r="183" spans="2:15" ht="15.75" hidden="1" outlineLevel="1" thickTop="1">
      <c r="B183" s="889">
        <v>1</v>
      </c>
      <c r="C183" s="822"/>
      <c r="D183" s="1278">
        <v>1</v>
      </c>
      <c r="E183" s="2662" t="s">
        <v>133</v>
      </c>
      <c r="F183" s="892" t="s">
        <v>723</v>
      </c>
      <c r="G183" s="2509" t="s">
        <v>2009</v>
      </c>
      <c r="H183" s="894">
        <v>430618</v>
      </c>
      <c r="I183" s="934" t="s">
        <v>179</v>
      </c>
      <c r="J183" s="895" t="s">
        <v>129</v>
      </c>
      <c r="K183" s="852" t="s">
        <v>3268</v>
      </c>
      <c r="L183" s="897">
        <v>43267</v>
      </c>
      <c r="M183" s="852" t="s">
        <v>153</v>
      </c>
      <c r="N183" s="3040">
        <v>43267</v>
      </c>
      <c r="O183" s="2279" t="s">
        <v>3102</v>
      </c>
    </row>
    <row r="184" spans="2:15" hidden="1" outlineLevel="1">
      <c r="B184" s="889">
        <v>2</v>
      </c>
      <c r="C184" s="822"/>
      <c r="D184" s="1278">
        <v>2</v>
      </c>
      <c r="E184" s="2662" t="s">
        <v>133</v>
      </c>
      <c r="F184" s="892" t="s">
        <v>723</v>
      </c>
      <c r="G184" s="2509" t="s">
        <v>2009</v>
      </c>
      <c r="H184" s="894">
        <v>440618</v>
      </c>
      <c r="I184" s="934" t="s">
        <v>179</v>
      </c>
      <c r="J184" s="895" t="s">
        <v>129</v>
      </c>
      <c r="K184" s="896" t="s">
        <v>3268</v>
      </c>
      <c r="L184" s="897">
        <v>43267</v>
      </c>
      <c r="M184" s="852" t="s">
        <v>153</v>
      </c>
      <c r="N184" s="3040">
        <v>43267</v>
      </c>
      <c r="O184" s="2279" t="s">
        <v>3102</v>
      </c>
    </row>
    <row r="185" spans="2:15" hidden="1" outlineLevel="1">
      <c r="B185" s="889">
        <v>3</v>
      </c>
      <c r="C185" s="822"/>
      <c r="D185" s="1278">
        <v>3</v>
      </c>
      <c r="E185" s="2662" t="s">
        <v>133</v>
      </c>
      <c r="F185" s="892" t="s">
        <v>723</v>
      </c>
      <c r="G185" s="2509" t="s">
        <v>682</v>
      </c>
      <c r="H185" s="894">
        <v>450618</v>
      </c>
      <c r="I185" s="934" t="s">
        <v>183</v>
      </c>
      <c r="J185" s="895" t="s">
        <v>129</v>
      </c>
      <c r="K185" s="896" t="s">
        <v>3268</v>
      </c>
      <c r="L185" s="897">
        <v>43267</v>
      </c>
      <c r="M185" s="852" t="s">
        <v>153</v>
      </c>
      <c r="N185" s="3040">
        <v>43267</v>
      </c>
      <c r="O185" s="2279" t="s">
        <v>3102</v>
      </c>
    </row>
    <row r="186" spans="2:15" hidden="1" outlineLevel="1">
      <c r="B186" s="889">
        <v>4</v>
      </c>
      <c r="C186" s="822"/>
      <c r="D186" s="1278">
        <v>4</v>
      </c>
      <c r="E186" s="2662" t="s">
        <v>133</v>
      </c>
      <c r="F186" s="892" t="s">
        <v>723</v>
      </c>
      <c r="G186" s="2509" t="s">
        <v>682</v>
      </c>
      <c r="H186" s="894">
        <v>460618</v>
      </c>
      <c r="I186" s="934" t="s">
        <v>183</v>
      </c>
      <c r="J186" s="895" t="s">
        <v>129</v>
      </c>
      <c r="K186" s="896" t="s">
        <v>3268</v>
      </c>
      <c r="L186" s="897">
        <v>43267</v>
      </c>
      <c r="M186" s="852" t="s">
        <v>153</v>
      </c>
      <c r="N186" s="3040">
        <v>43267</v>
      </c>
      <c r="O186" s="2279" t="s">
        <v>3102</v>
      </c>
    </row>
    <row r="187" spans="2:15" hidden="1" outlineLevel="1">
      <c r="B187" s="889">
        <v>5</v>
      </c>
      <c r="C187" s="822"/>
      <c r="D187" s="1278">
        <v>5</v>
      </c>
      <c r="E187" s="2662" t="s">
        <v>133</v>
      </c>
      <c r="F187" s="892" t="s">
        <v>723</v>
      </c>
      <c r="G187" s="2509" t="s">
        <v>682</v>
      </c>
      <c r="H187" s="894">
        <v>470618</v>
      </c>
      <c r="I187" s="934" t="s">
        <v>183</v>
      </c>
      <c r="J187" s="895" t="s">
        <v>129</v>
      </c>
      <c r="K187" s="896" t="s">
        <v>3268</v>
      </c>
      <c r="L187" s="897">
        <v>43267</v>
      </c>
      <c r="M187" s="852" t="s">
        <v>153</v>
      </c>
      <c r="N187" s="3040">
        <v>43267</v>
      </c>
      <c r="O187" s="2279" t="s">
        <v>3102</v>
      </c>
    </row>
    <row r="188" spans="2:15" hidden="1" outlineLevel="1">
      <c r="B188" s="889">
        <v>6</v>
      </c>
      <c r="C188" s="822"/>
      <c r="D188" s="1278">
        <v>6</v>
      </c>
      <c r="E188" s="2662" t="s">
        <v>133</v>
      </c>
      <c r="F188" s="892" t="s">
        <v>723</v>
      </c>
      <c r="G188" s="2509" t="s">
        <v>682</v>
      </c>
      <c r="H188" s="894">
        <v>480618</v>
      </c>
      <c r="I188" s="934" t="s">
        <v>183</v>
      </c>
      <c r="J188" s="895" t="s">
        <v>129</v>
      </c>
      <c r="K188" s="896" t="s">
        <v>3268</v>
      </c>
      <c r="L188" s="897">
        <v>43267</v>
      </c>
      <c r="M188" s="852" t="s">
        <v>153</v>
      </c>
      <c r="N188" s="3040">
        <v>43267</v>
      </c>
      <c r="O188" s="2279" t="s">
        <v>3102</v>
      </c>
    </row>
    <row r="189" spans="2:15" hidden="1" outlineLevel="1">
      <c r="B189" s="889">
        <v>7</v>
      </c>
      <c r="C189" s="822"/>
      <c r="D189" s="1278">
        <v>7</v>
      </c>
      <c r="E189" s="2662" t="s">
        <v>133</v>
      </c>
      <c r="F189" s="892" t="s">
        <v>723</v>
      </c>
      <c r="G189" s="2509" t="s">
        <v>682</v>
      </c>
      <c r="H189" s="894">
        <v>490618</v>
      </c>
      <c r="I189" s="934" t="s">
        <v>183</v>
      </c>
      <c r="J189" s="895" t="s">
        <v>129</v>
      </c>
      <c r="K189" s="896" t="s">
        <v>3268</v>
      </c>
      <c r="L189" s="897">
        <v>43267</v>
      </c>
      <c r="M189" s="852" t="s">
        <v>153</v>
      </c>
      <c r="N189" s="3040">
        <v>43267</v>
      </c>
      <c r="O189" s="2279" t="s">
        <v>3102</v>
      </c>
    </row>
    <row r="190" spans="2:15" hidden="1" outlineLevel="1">
      <c r="B190" s="889">
        <v>8</v>
      </c>
      <c r="C190" s="822"/>
      <c r="D190" s="1278">
        <v>8</v>
      </c>
      <c r="E190" s="2662" t="s">
        <v>133</v>
      </c>
      <c r="F190" s="892" t="s">
        <v>723</v>
      </c>
      <c r="G190" s="2509" t="s">
        <v>682</v>
      </c>
      <c r="H190" s="894">
        <v>500618</v>
      </c>
      <c r="I190" s="934" t="s">
        <v>183</v>
      </c>
      <c r="J190" s="895" t="s">
        <v>129</v>
      </c>
      <c r="K190" s="896" t="s">
        <v>3268</v>
      </c>
      <c r="L190" s="897">
        <v>43267</v>
      </c>
      <c r="M190" s="852" t="s">
        <v>153</v>
      </c>
      <c r="N190" s="3040">
        <v>43267</v>
      </c>
      <c r="O190" s="2279" t="s">
        <v>3102</v>
      </c>
    </row>
    <row r="191" spans="2:15" hidden="1" outlineLevel="1">
      <c r="B191" s="889">
        <v>9</v>
      </c>
      <c r="C191" s="822"/>
      <c r="D191" s="1278">
        <v>9</v>
      </c>
      <c r="E191" s="2662" t="s">
        <v>133</v>
      </c>
      <c r="F191" s="892" t="s">
        <v>723</v>
      </c>
      <c r="G191" s="2509" t="s">
        <v>682</v>
      </c>
      <c r="H191" s="894">
        <v>510618</v>
      </c>
      <c r="I191" s="934" t="s">
        <v>183</v>
      </c>
      <c r="J191" s="895" t="s">
        <v>129</v>
      </c>
      <c r="K191" s="896" t="s">
        <v>3268</v>
      </c>
      <c r="L191" s="897">
        <v>43267</v>
      </c>
      <c r="M191" s="852" t="s">
        <v>153</v>
      </c>
      <c r="N191" s="3040">
        <v>43267</v>
      </c>
      <c r="O191" s="2279" t="s">
        <v>3102</v>
      </c>
    </row>
    <row r="192" spans="2:15" hidden="1" outlineLevel="1">
      <c r="B192" s="889">
        <v>10</v>
      </c>
      <c r="C192" s="822"/>
      <c r="D192" s="1278">
        <v>10</v>
      </c>
      <c r="E192" s="2662" t="s">
        <v>133</v>
      </c>
      <c r="F192" s="892" t="s">
        <v>723</v>
      </c>
      <c r="G192" s="2509" t="s">
        <v>682</v>
      </c>
      <c r="H192" s="894">
        <v>520618</v>
      </c>
      <c r="I192" s="934" t="s">
        <v>183</v>
      </c>
      <c r="J192" s="895" t="s">
        <v>129</v>
      </c>
      <c r="K192" s="896" t="s">
        <v>3268</v>
      </c>
      <c r="L192" s="897">
        <v>43267</v>
      </c>
      <c r="M192" s="852" t="s">
        <v>153</v>
      </c>
      <c r="N192" s="3040">
        <v>43267</v>
      </c>
      <c r="O192" s="2279" t="s">
        <v>3102</v>
      </c>
    </row>
    <row r="193" spans="2:15" ht="8.1" customHeight="1" collapsed="1">
      <c r="B193" s="2158"/>
      <c r="C193" s="822"/>
      <c r="D193" s="2160"/>
      <c r="E193" s="2929"/>
      <c r="F193" s="2162"/>
      <c r="G193" s="2531"/>
      <c r="H193" s="2163"/>
      <c r="I193" s="2456"/>
      <c r="J193" s="2164"/>
      <c r="K193" s="98"/>
      <c r="L193" s="2165"/>
      <c r="M193" s="2166"/>
      <c r="N193" s="2167"/>
      <c r="O193" s="2168"/>
    </row>
    <row r="194" spans="2:15" hidden="1" outlineLevel="1">
      <c r="B194" s="889">
        <v>11</v>
      </c>
      <c r="C194" s="822"/>
      <c r="D194" s="1278">
        <v>1</v>
      </c>
      <c r="E194" s="2948" t="s">
        <v>3271</v>
      </c>
      <c r="F194" s="892" t="s">
        <v>723</v>
      </c>
      <c r="G194" s="2509" t="s">
        <v>3272</v>
      </c>
      <c r="H194" s="894">
        <v>530718</v>
      </c>
      <c r="I194" s="934" t="s">
        <v>834</v>
      </c>
      <c r="J194" s="895" t="s">
        <v>3270</v>
      </c>
      <c r="K194" s="852" t="s">
        <v>3273</v>
      </c>
      <c r="L194" s="897">
        <v>43305</v>
      </c>
      <c r="M194" s="852" t="s">
        <v>3269</v>
      </c>
      <c r="N194" s="2285">
        <v>43305</v>
      </c>
      <c r="O194" s="2279" t="s">
        <v>3276</v>
      </c>
    </row>
    <row r="195" spans="2:15" hidden="1" outlineLevel="1">
      <c r="B195" s="889">
        <v>12</v>
      </c>
      <c r="C195" s="822"/>
      <c r="D195" s="1278">
        <f>1+D194</f>
        <v>2</v>
      </c>
      <c r="E195" s="2948" t="s">
        <v>3271</v>
      </c>
      <c r="F195" s="892" t="s">
        <v>723</v>
      </c>
      <c r="G195" s="2509" t="s">
        <v>3272</v>
      </c>
      <c r="H195" s="894">
        <v>540718</v>
      </c>
      <c r="I195" s="934" t="s">
        <v>834</v>
      </c>
      <c r="J195" s="895" t="s">
        <v>3270</v>
      </c>
      <c r="K195" s="896" t="s">
        <v>3273</v>
      </c>
      <c r="L195" s="897">
        <v>43305</v>
      </c>
      <c r="M195" s="852" t="s">
        <v>3269</v>
      </c>
      <c r="N195" s="2285">
        <v>43305</v>
      </c>
      <c r="O195" s="2279" t="s">
        <v>3276</v>
      </c>
    </row>
    <row r="196" spans="2:15" hidden="1" outlineLevel="1">
      <c r="B196" s="889">
        <v>13</v>
      </c>
      <c r="C196" s="822"/>
      <c r="D196" s="1278">
        <f t="shared" ref="D196:D205" si="3">1+D195</f>
        <v>3</v>
      </c>
      <c r="E196" s="2948" t="s">
        <v>3271</v>
      </c>
      <c r="F196" s="892" t="s">
        <v>723</v>
      </c>
      <c r="G196" s="2509" t="s">
        <v>3272</v>
      </c>
      <c r="H196" s="894">
        <v>550718</v>
      </c>
      <c r="I196" s="934" t="s">
        <v>834</v>
      </c>
      <c r="J196" s="895" t="s">
        <v>3270</v>
      </c>
      <c r="K196" s="896" t="s">
        <v>3273</v>
      </c>
      <c r="L196" s="897">
        <v>43305</v>
      </c>
      <c r="M196" s="852" t="s">
        <v>3269</v>
      </c>
      <c r="N196" s="2285">
        <v>43305</v>
      </c>
      <c r="O196" s="2279" t="s">
        <v>3276</v>
      </c>
    </row>
    <row r="197" spans="2:15" hidden="1" outlineLevel="1">
      <c r="B197" s="889">
        <v>14</v>
      </c>
      <c r="C197" s="822"/>
      <c r="D197" s="1278">
        <f t="shared" si="3"/>
        <v>4</v>
      </c>
      <c r="E197" s="2948" t="s">
        <v>3271</v>
      </c>
      <c r="F197" s="892" t="s">
        <v>723</v>
      </c>
      <c r="G197" s="2509" t="s">
        <v>3272</v>
      </c>
      <c r="H197" s="894">
        <v>560718</v>
      </c>
      <c r="I197" s="934" t="s">
        <v>834</v>
      </c>
      <c r="J197" s="895" t="s">
        <v>3270</v>
      </c>
      <c r="K197" s="896" t="s">
        <v>3273</v>
      </c>
      <c r="L197" s="897">
        <v>43305</v>
      </c>
      <c r="M197" s="852" t="s">
        <v>3269</v>
      </c>
      <c r="N197" s="2285">
        <v>43305</v>
      </c>
      <c r="O197" s="2279" t="s">
        <v>3276</v>
      </c>
    </row>
    <row r="198" spans="2:15" hidden="1" outlineLevel="1">
      <c r="B198" s="889">
        <v>15</v>
      </c>
      <c r="C198" s="822"/>
      <c r="D198" s="1278">
        <f t="shared" si="3"/>
        <v>5</v>
      </c>
      <c r="E198" s="2948" t="s">
        <v>3271</v>
      </c>
      <c r="F198" s="892" t="s">
        <v>723</v>
      </c>
      <c r="G198" s="2509" t="s">
        <v>3272</v>
      </c>
      <c r="H198" s="894">
        <v>570718</v>
      </c>
      <c r="I198" s="934" t="s">
        <v>834</v>
      </c>
      <c r="J198" s="895" t="s">
        <v>3270</v>
      </c>
      <c r="K198" s="896" t="s">
        <v>3273</v>
      </c>
      <c r="L198" s="897">
        <v>43305</v>
      </c>
      <c r="M198" s="852" t="s">
        <v>3269</v>
      </c>
      <c r="N198" s="2285">
        <v>43305</v>
      </c>
      <c r="O198" s="2279" t="s">
        <v>3276</v>
      </c>
    </row>
    <row r="199" spans="2:15" hidden="1" outlineLevel="1">
      <c r="B199" s="889">
        <v>16</v>
      </c>
      <c r="C199" s="822"/>
      <c r="D199" s="1278">
        <f t="shared" si="3"/>
        <v>6</v>
      </c>
      <c r="E199" s="2948" t="s">
        <v>3271</v>
      </c>
      <c r="F199" s="892" t="s">
        <v>723</v>
      </c>
      <c r="G199" s="2509" t="s">
        <v>3272</v>
      </c>
      <c r="H199" s="894">
        <v>580718</v>
      </c>
      <c r="I199" s="934" t="s">
        <v>834</v>
      </c>
      <c r="J199" s="895" t="s">
        <v>3270</v>
      </c>
      <c r="K199" s="896" t="s">
        <v>3273</v>
      </c>
      <c r="L199" s="897">
        <v>43305</v>
      </c>
      <c r="M199" s="852" t="s">
        <v>3269</v>
      </c>
      <c r="N199" s="2285">
        <v>43305</v>
      </c>
      <c r="O199" s="2279" t="s">
        <v>3276</v>
      </c>
    </row>
    <row r="200" spans="2:15" hidden="1" outlineLevel="1">
      <c r="B200" s="889">
        <v>17</v>
      </c>
      <c r="C200" s="822"/>
      <c r="D200" s="1278">
        <f t="shared" si="3"/>
        <v>7</v>
      </c>
      <c r="E200" s="2948" t="s">
        <v>3271</v>
      </c>
      <c r="F200" s="892" t="s">
        <v>723</v>
      </c>
      <c r="G200" s="2509" t="s">
        <v>3272</v>
      </c>
      <c r="H200" s="894">
        <v>590718</v>
      </c>
      <c r="I200" s="934" t="s">
        <v>834</v>
      </c>
      <c r="J200" s="895" t="s">
        <v>3270</v>
      </c>
      <c r="K200" s="896" t="s">
        <v>3273</v>
      </c>
      <c r="L200" s="897">
        <v>43305</v>
      </c>
      <c r="M200" s="852" t="s">
        <v>3269</v>
      </c>
      <c r="N200" s="2285">
        <v>43305</v>
      </c>
      <c r="O200" s="2279" t="s">
        <v>3276</v>
      </c>
    </row>
    <row r="201" spans="2:15" hidden="1" outlineLevel="1">
      <c r="B201" s="889">
        <v>18</v>
      </c>
      <c r="C201" s="822"/>
      <c r="D201" s="1278">
        <f t="shared" si="3"/>
        <v>8</v>
      </c>
      <c r="E201" s="2948" t="s">
        <v>3271</v>
      </c>
      <c r="F201" s="892" t="s">
        <v>723</v>
      </c>
      <c r="G201" s="2509" t="s">
        <v>3272</v>
      </c>
      <c r="H201" s="894">
        <v>600718</v>
      </c>
      <c r="I201" s="934" t="s">
        <v>834</v>
      </c>
      <c r="J201" s="895" t="s">
        <v>3270</v>
      </c>
      <c r="K201" s="896" t="s">
        <v>3273</v>
      </c>
      <c r="L201" s="897">
        <v>43305</v>
      </c>
      <c r="M201" s="852" t="s">
        <v>3269</v>
      </c>
      <c r="N201" s="2285">
        <v>43305</v>
      </c>
      <c r="O201" s="2279" t="s">
        <v>3276</v>
      </c>
    </row>
    <row r="202" spans="2:15" hidden="1" outlineLevel="1">
      <c r="B202" s="889">
        <v>19</v>
      </c>
      <c r="C202" s="822"/>
      <c r="D202" s="1278">
        <f t="shared" si="3"/>
        <v>9</v>
      </c>
      <c r="E202" s="2948" t="s">
        <v>3271</v>
      </c>
      <c r="F202" s="892" t="s">
        <v>723</v>
      </c>
      <c r="G202" s="2509" t="s">
        <v>3272</v>
      </c>
      <c r="H202" s="894">
        <v>610718</v>
      </c>
      <c r="I202" s="934" t="s">
        <v>834</v>
      </c>
      <c r="J202" s="895" t="s">
        <v>3270</v>
      </c>
      <c r="K202" s="896" t="s">
        <v>3273</v>
      </c>
      <c r="L202" s="897">
        <v>43305</v>
      </c>
      <c r="M202" s="852" t="s">
        <v>3269</v>
      </c>
      <c r="N202" s="2285">
        <v>43305</v>
      </c>
      <c r="O202" s="2279" t="s">
        <v>3276</v>
      </c>
    </row>
    <row r="203" spans="2:15" hidden="1" outlineLevel="1">
      <c r="B203" s="889">
        <v>20</v>
      </c>
      <c r="C203" s="822"/>
      <c r="D203" s="1278">
        <f t="shared" si="3"/>
        <v>10</v>
      </c>
      <c r="E203" s="2948" t="s">
        <v>3271</v>
      </c>
      <c r="F203" s="892" t="s">
        <v>723</v>
      </c>
      <c r="G203" s="2509" t="s">
        <v>3272</v>
      </c>
      <c r="H203" s="894">
        <v>620718</v>
      </c>
      <c r="I203" s="934" t="s">
        <v>834</v>
      </c>
      <c r="J203" s="895" t="s">
        <v>3270</v>
      </c>
      <c r="K203" s="896" t="s">
        <v>3273</v>
      </c>
      <c r="L203" s="897">
        <v>43305</v>
      </c>
      <c r="M203" s="852" t="s">
        <v>3269</v>
      </c>
      <c r="N203" s="2285">
        <v>43305</v>
      </c>
      <c r="O203" s="2279" t="s">
        <v>3276</v>
      </c>
    </row>
    <row r="204" spans="2:15" hidden="1" outlineLevel="1">
      <c r="B204" s="889">
        <v>21</v>
      </c>
      <c r="C204" s="822"/>
      <c r="D204" s="1278">
        <f t="shared" si="3"/>
        <v>11</v>
      </c>
      <c r="E204" s="2948" t="s">
        <v>3271</v>
      </c>
      <c r="F204" s="892" t="s">
        <v>723</v>
      </c>
      <c r="G204" s="2509" t="s">
        <v>3272</v>
      </c>
      <c r="H204" s="894">
        <v>630718</v>
      </c>
      <c r="I204" s="934" t="s">
        <v>834</v>
      </c>
      <c r="J204" s="895" t="s">
        <v>3270</v>
      </c>
      <c r="K204" s="896" t="s">
        <v>3273</v>
      </c>
      <c r="L204" s="897">
        <v>43305</v>
      </c>
      <c r="M204" s="852" t="s">
        <v>3269</v>
      </c>
      <c r="N204" s="2285">
        <v>43305</v>
      </c>
      <c r="O204" s="2279" t="s">
        <v>3276</v>
      </c>
    </row>
    <row r="205" spans="2:15" hidden="1" outlineLevel="1">
      <c r="B205" s="889">
        <v>22</v>
      </c>
      <c r="C205" s="822"/>
      <c r="D205" s="1278">
        <f t="shared" si="3"/>
        <v>12</v>
      </c>
      <c r="E205" s="2948" t="s">
        <v>3271</v>
      </c>
      <c r="F205" s="892" t="s">
        <v>723</v>
      </c>
      <c r="G205" s="2509" t="s">
        <v>3272</v>
      </c>
      <c r="H205" s="894">
        <v>640718</v>
      </c>
      <c r="I205" s="934" t="s">
        <v>834</v>
      </c>
      <c r="J205" s="895" t="s">
        <v>3270</v>
      </c>
      <c r="K205" s="896" t="s">
        <v>3273</v>
      </c>
      <c r="L205" s="897">
        <v>43305</v>
      </c>
      <c r="M205" s="852" t="s">
        <v>3269</v>
      </c>
      <c r="N205" s="2285">
        <v>43305</v>
      </c>
      <c r="O205" s="2279" t="s">
        <v>3276</v>
      </c>
    </row>
    <row r="206" spans="2:15" ht="8.1" customHeight="1" collapsed="1"/>
    <row r="207" spans="2:15" hidden="1" outlineLevel="1">
      <c r="B207" s="889">
        <v>11</v>
      </c>
      <c r="C207" s="822"/>
      <c r="D207" s="1278">
        <v>1</v>
      </c>
      <c r="E207" s="2948" t="s">
        <v>3271</v>
      </c>
      <c r="F207" s="892" t="s">
        <v>723</v>
      </c>
      <c r="G207" s="2509" t="s">
        <v>3272</v>
      </c>
      <c r="H207" s="894">
        <v>650818</v>
      </c>
      <c r="I207" s="934" t="s">
        <v>834</v>
      </c>
      <c r="J207" s="895" t="s">
        <v>3270</v>
      </c>
      <c r="K207" s="852" t="s">
        <v>3349</v>
      </c>
      <c r="L207" s="897">
        <v>43341</v>
      </c>
      <c r="M207" s="852" t="s">
        <v>2622</v>
      </c>
      <c r="N207" s="2285">
        <v>43343</v>
      </c>
      <c r="O207" s="2279" t="s">
        <v>3276</v>
      </c>
    </row>
    <row r="208" spans="2:15" hidden="1" outlineLevel="1">
      <c r="B208" s="889">
        <v>12</v>
      </c>
      <c r="C208" s="822"/>
      <c r="D208" s="1278">
        <f>1+D207</f>
        <v>2</v>
      </c>
      <c r="E208" s="2948" t="s">
        <v>3271</v>
      </c>
      <c r="F208" s="892" t="s">
        <v>723</v>
      </c>
      <c r="G208" s="2509" t="s">
        <v>3272</v>
      </c>
      <c r="H208" s="894">
        <v>660818</v>
      </c>
      <c r="I208" s="934" t="s">
        <v>834</v>
      </c>
      <c r="J208" s="895" t="s">
        <v>3270</v>
      </c>
      <c r="K208" s="852" t="s">
        <v>3349</v>
      </c>
      <c r="L208" s="897">
        <v>43341</v>
      </c>
      <c r="M208" s="852" t="s">
        <v>2622</v>
      </c>
      <c r="N208" s="2285">
        <v>43343</v>
      </c>
      <c r="O208" s="2279" t="s">
        <v>3276</v>
      </c>
    </row>
    <row r="209" spans="2:15" hidden="1" outlineLevel="1">
      <c r="B209" s="889">
        <v>13</v>
      </c>
      <c r="C209" s="822"/>
      <c r="D209" s="1278">
        <f t="shared" ref="D209:D218" si="4">1+D208</f>
        <v>3</v>
      </c>
      <c r="E209" s="2948" t="s">
        <v>3271</v>
      </c>
      <c r="F209" s="892" t="s">
        <v>723</v>
      </c>
      <c r="G209" s="2509" t="s">
        <v>3272</v>
      </c>
      <c r="H209" s="894">
        <v>670818</v>
      </c>
      <c r="I209" s="934" t="s">
        <v>834</v>
      </c>
      <c r="J209" s="895" t="s">
        <v>3270</v>
      </c>
      <c r="K209" s="852" t="s">
        <v>3349</v>
      </c>
      <c r="L209" s="897">
        <v>43341</v>
      </c>
      <c r="M209" s="852" t="s">
        <v>2622</v>
      </c>
      <c r="N209" s="2285">
        <v>43343</v>
      </c>
      <c r="O209" s="2279" t="s">
        <v>3276</v>
      </c>
    </row>
    <row r="210" spans="2:15" hidden="1" outlineLevel="1">
      <c r="B210" s="889">
        <v>14</v>
      </c>
      <c r="C210" s="822"/>
      <c r="D210" s="1278">
        <f t="shared" si="4"/>
        <v>4</v>
      </c>
      <c r="E210" s="2948" t="s">
        <v>3271</v>
      </c>
      <c r="F210" s="892" t="s">
        <v>723</v>
      </c>
      <c r="G210" s="2509" t="s">
        <v>3272</v>
      </c>
      <c r="H210" s="894">
        <v>680818</v>
      </c>
      <c r="I210" s="934" t="s">
        <v>834</v>
      </c>
      <c r="J210" s="895" t="s">
        <v>3270</v>
      </c>
      <c r="K210" s="852" t="s">
        <v>3349</v>
      </c>
      <c r="L210" s="897">
        <v>43341</v>
      </c>
      <c r="M210" s="852" t="s">
        <v>2622</v>
      </c>
      <c r="N210" s="2285">
        <v>43343</v>
      </c>
      <c r="O210" s="2279" t="s">
        <v>3276</v>
      </c>
    </row>
    <row r="211" spans="2:15" hidden="1" outlineLevel="1">
      <c r="B211" s="889">
        <v>15</v>
      </c>
      <c r="C211" s="822"/>
      <c r="D211" s="1278">
        <f t="shared" si="4"/>
        <v>5</v>
      </c>
      <c r="E211" s="2948" t="s">
        <v>3271</v>
      </c>
      <c r="F211" s="892" t="s">
        <v>723</v>
      </c>
      <c r="G211" s="2509" t="s">
        <v>3272</v>
      </c>
      <c r="H211" s="894">
        <v>690818</v>
      </c>
      <c r="I211" s="934" t="s">
        <v>834</v>
      </c>
      <c r="J211" s="895" t="s">
        <v>3270</v>
      </c>
      <c r="K211" s="852" t="s">
        <v>3349</v>
      </c>
      <c r="L211" s="897">
        <v>43341</v>
      </c>
      <c r="M211" s="852" t="s">
        <v>2622</v>
      </c>
      <c r="N211" s="2285">
        <v>43343</v>
      </c>
      <c r="O211" s="2279" t="s">
        <v>3276</v>
      </c>
    </row>
    <row r="212" spans="2:15" hidden="1" outlineLevel="1">
      <c r="B212" s="889">
        <v>16</v>
      </c>
      <c r="C212" s="822"/>
      <c r="D212" s="1278">
        <f t="shared" si="4"/>
        <v>6</v>
      </c>
      <c r="E212" s="2948" t="s">
        <v>3271</v>
      </c>
      <c r="F212" s="892" t="s">
        <v>723</v>
      </c>
      <c r="G212" s="2509" t="s">
        <v>3272</v>
      </c>
      <c r="H212" s="894">
        <v>700818</v>
      </c>
      <c r="I212" s="934" t="s">
        <v>834</v>
      </c>
      <c r="J212" s="895" t="s">
        <v>3270</v>
      </c>
      <c r="K212" s="852" t="s">
        <v>3349</v>
      </c>
      <c r="L212" s="897">
        <v>43341</v>
      </c>
      <c r="M212" s="852" t="s">
        <v>2622</v>
      </c>
      <c r="N212" s="2285">
        <v>43343</v>
      </c>
      <c r="O212" s="2279" t="s">
        <v>3276</v>
      </c>
    </row>
    <row r="213" spans="2:15" hidden="1" outlineLevel="1">
      <c r="B213" s="889">
        <v>17</v>
      </c>
      <c r="C213" s="822"/>
      <c r="D213" s="1278">
        <f t="shared" si="4"/>
        <v>7</v>
      </c>
      <c r="E213" s="2948" t="s">
        <v>3271</v>
      </c>
      <c r="F213" s="892" t="s">
        <v>723</v>
      </c>
      <c r="G213" s="2509" t="s">
        <v>3272</v>
      </c>
      <c r="H213" s="894">
        <v>710818</v>
      </c>
      <c r="I213" s="934" t="s">
        <v>834</v>
      </c>
      <c r="J213" s="895" t="s">
        <v>3270</v>
      </c>
      <c r="K213" s="852" t="s">
        <v>3349</v>
      </c>
      <c r="L213" s="897">
        <v>43341</v>
      </c>
      <c r="M213" s="852" t="s">
        <v>2622</v>
      </c>
      <c r="N213" s="2285">
        <v>43343</v>
      </c>
      <c r="O213" s="2279" t="s">
        <v>3276</v>
      </c>
    </row>
    <row r="214" spans="2:15" hidden="1" outlineLevel="1">
      <c r="B214" s="889">
        <v>18</v>
      </c>
      <c r="C214" s="822"/>
      <c r="D214" s="1278">
        <f t="shared" si="4"/>
        <v>8</v>
      </c>
      <c r="E214" s="2948" t="s">
        <v>3271</v>
      </c>
      <c r="F214" s="892" t="s">
        <v>723</v>
      </c>
      <c r="G214" s="2509" t="s">
        <v>3272</v>
      </c>
      <c r="H214" s="894">
        <v>720818</v>
      </c>
      <c r="I214" s="934" t="s">
        <v>834</v>
      </c>
      <c r="J214" s="895" t="s">
        <v>3270</v>
      </c>
      <c r="K214" s="852" t="s">
        <v>3349</v>
      </c>
      <c r="L214" s="897">
        <v>43341</v>
      </c>
      <c r="M214" s="852" t="s">
        <v>2622</v>
      </c>
      <c r="N214" s="2285">
        <v>43343</v>
      </c>
      <c r="O214" s="2279" t="s">
        <v>3276</v>
      </c>
    </row>
    <row r="215" spans="2:15" hidden="1" outlineLevel="1">
      <c r="B215" s="889">
        <v>19</v>
      </c>
      <c r="C215" s="822"/>
      <c r="D215" s="1278">
        <f t="shared" si="4"/>
        <v>9</v>
      </c>
      <c r="E215" s="2948" t="s">
        <v>3271</v>
      </c>
      <c r="F215" s="892" t="s">
        <v>723</v>
      </c>
      <c r="G215" s="2509" t="s">
        <v>3272</v>
      </c>
      <c r="H215" s="894">
        <v>730818</v>
      </c>
      <c r="I215" s="934" t="s">
        <v>834</v>
      </c>
      <c r="J215" s="895" t="s">
        <v>3270</v>
      </c>
      <c r="K215" s="852" t="s">
        <v>3349</v>
      </c>
      <c r="L215" s="897">
        <v>43341</v>
      </c>
      <c r="M215" s="852" t="s">
        <v>2622</v>
      </c>
      <c r="N215" s="2285">
        <v>43343</v>
      </c>
      <c r="O215" s="2279" t="s">
        <v>3276</v>
      </c>
    </row>
    <row r="216" spans="2:15" hidden="1" outlineLevel="1">
      <c r="B216" s="889">
        <v>20</v>
      </c>
      <c r="C216" s="822"/>
      <c r="D216" s="1278">
        <f t="shared" si="4"/>
        <v>10</v>
      </c>
      <c r="E216" s="2948" t="s">
        <v>3271</v>
      </c>
      <c r="F216" s="892" t="s">
        <v>723</v>
      </c>
      <c r="G216" s="2509" t="s">
        <v>3272</v>
      </c>
      <c r="H216" s="894">
        <v>740818</v>
      </c>
      <c r="I216" s="934" t="s">
        <v>834</v>
      </c>
      <c r="J216" s="895" t="s">
        <v>3270</v>
      </c>
      <c r="K216" s="852" t="s">
        <v>3349</v>
      </c>
      <c r="L216" s="897">
        <v>43341</v>
      </c>
      <c r="M216" s="852" t="s">
        <v>2622</v>
      </c>
      <c r="N216" s="2285">
        <v>43343</v>
      </c>
      <c r="O216" s="2279" t="s">
        <v>3276</v>
      </c>
    </row>
    <row r="217" spans="2:15" hidden="1" outlineLevel="1">
      <c r="B217" s="889">
        <v>21</v>
      </c>
      <c r="C217" s="822"/>
      <c r="D217" s="1278">
        <f t="shared" si="4"/>
        <v>11</v>
      </c>
      <c r="E217" s="2948" t="s">
        <v>3271</v>
      </c>
      <c r="F217" s="892" t="s">
        <v>723</v>
      </c>
      <c r="G217" s="2509" t="s">
        <v>3272</v>
      </c>
      <c r="H217" s="894">
        <v>750818</v>
      </c>
      <c r="I217" s="934" t="s">
        <v>834</v>
      </c>
      <c r="J217" s="895" t="s">
        <v>3270</v>
      </c>
      <c r="K217" s="852" t="s">
        <v>3349</v>
      </c>
      <c r="L217" s="897">
        <v>43341</v>
      </c>
      <c r="M217" s="852" t="s">
        <v>2622</v>
      </c>
      <c r="N217" s="2285">
        <v>43343</v>
      </c>
      <c r="O217" s="2279" t="s">
        <v>3276</v>
      </c>
    </row>
    <row r="218" spans="2:15" hidden="1" outlineLevel="1">
      <c r="B218" s="889">
        <v>22</v>
      </c>
      <c r="C218" s="822"/>
      <c r="D218" s="1278">
        <f t="shared" si="4"/>
        <v>12</v>
      </c>
      <c r="E218" s="2948" t="s">
        <v>3271</v>
      </c>
      <c r="F218" s="892" t="s">
        <v>723</v>
      </c>
      <c r="G218" s="2509" t="s">
        <v>3272</v>
      </c>
      <c r="H218" s="894">
        <v>760818</v>
      </c>
      <c r="I218" s="934" t="s">
        <v>834</v>
      </c>
      <c r="J218" s="895" t="s">
        <v>3270</v>
      </c>
      <c r="K218" s="852" t="s">
        <v>3349</v>
      </c>
      <c r="L218" s="897">
        <v>43341</v>
      </c>
      <c r="M218" s="852" t="s">
        <v>2622</v>
      </c>
      <c r="N218" s="2285">
        <v>43343</v>
      </c>
      <c r="O218" s="2279" t="s">
        <v>3276</v>
      </c>
    </row>
    <row r="219" spans="2:15" ht="8.1" customHeight="1" collapsed="1"/>
    <row r="220" spans="2:15" hidden="1" outlineLevel="1">
      <c r="B220" s="889">
        <v>11</v>
      </c>
      <c r="C220" s="822"/>
      <c r="D220" s="1278">
        <v>1</v>
      </c>
      <c r="E220" s="2948" t="s">
        <v>3351</v>
      </c>
      <c r="F220" s="892" t="s">
        <v>723</v>
      </c>
      <c r="G220" s="2509" t="s">
        <v>3350</v>
      </c>
      <c r="H220" s="894">
        <v>770918</v>
      </c>
      <c r="I220" s="934" t="s">
        <v>834</v>
      </c>
      <c r="J220" s="895" t="s">
        <v>129</v>
      </c>
      <c r="K220" s="852" t="s">
        <v>3354</v>
      </c>
      <c r="L220" s="897">
        <v>43354</v>
      </c>
      <c r="M220" s="852" t="s">
        <v>3352</v>
      </c>
      <c r="N220" s="2285">
        <v>43355</v>
      </c>
      <c r="O220" s="2279" t="s">
        <v>3276</v>
      </c>
    </row>
    <row r="221" spans="2:15" hidden="1" outlineLevel="1">
      <c r="B221" s="889">
        <v>12</v>
      </c>
      <c r="C221" s="822"/>
      <c r="D221" s="1278">
        <f>1+D220</f>
        <v>2</v>
      </c>
      <c r="E221" s="2948" t="s">
        <v>3351</v>
      </c>
      <c r="F221" s="892" t="s">
        <v>723</v>
      </c>
      <c r="G221" s="2509" t="s">
        <v>3350</v>
      </c>
      <c r="H221" s="894">
        <v>780918</v>
      </c>
      <c r="I221" s="934" t="s">
        <v>834</v>
      </c>
      <c r="J221" s="895" t="s">
        <v>129</v>
      </c>
      <c r="K221" s="852" t="s">
        <v>3354</v>
      </c>
      <c r="L221" s="897">
        <v>43354</v>
      </c>
      <c r="M221" s="852" t="s">
        <v>3352</v>
      </c>
      <c r="N221" s="2285">
        <v>43355</v>
      </c>
      <c r="O221" s="2279" t="s">
        <v>3276</v>
      </c>
    </row>
    <row r="222" spans="2:15" hidden="1" outlineLevel="1">
      <c r="B222" s="889">
        <v>13</v>
      </c>
      <c r="C222" s="822"/>
      <c r="D222" s="1278">
        <f t="shared" ref="D222:D231" si="5">1+D221</f>
        <v>3</v>
      </c>
      <c r="E222" s="2948" t="s">
        <v>3351</v>
      </c>
      <c r="F222" s="892" t="s">
        <v>723</v>
      </c>
      <c r="G222" s="2509" t="s">
        <v>3350</v>
      </c>
      <c r="H222" s="894">
        <v>790918</v>
      </c>
      <c r="I222" s="934" t="s">
        <v>834</v>
      </c>
      <c r="J222" s="895" t="s">
        <v>129</v>
      </c>
      <c r="K222" s="852" t="s">
        <v>3354</v>
      </c>
      <c r="L222" s="897">
        <v>43354</v>
      </c>
      <c r="M222" s="852" t="s">
        <v>3352</v>
      </c>
      <c r="N222" s="2285">
        <v>43355</v>
      </c>
      <c r="O222" s="2279" t="s">
        <v>3276</v>
      </c>
    </row>
    <row r="223" spans="2:15" hidden="1" outlineLevel="1">
      <c r="B223" s="889">
        <v>14</v>
      </c>
      <c r="C223" s="822"/>
      <c r="D223" s="1278">
        <f t="shared" si="5"/>
        <v>4</v>
      </c>
      <c r="E223" s="2948" t="s">
        <v>3351</v>
      </c>
      <c r="F223" s="892" t="s">
        <v>723</v>
      </c>
      <c r="G223" s="2509" t="s">
        <v>3350</v>
      </c>
      <c r="H223" s="894">
        <v>800918</v>
      </c>
      <c r="I223" s="934" t="s">
        <v>834</v>
      </c>
      <c r="J223" s="895" t="s">
        <v>129</v>
      </c>
      <c r="K223" s="852" t="s">
        <v>3354</v>
      </c>
      <c r="L223" s="897">
        <v>43354</v>
      </c>
      <c r="M223" s="852" t="s">
        <v>3352</v>
      </c>
      <c r="N223" s="2285">
        <v>43355</v>
      </c>
      <c r="O223" s="2279" t="s">
        <v>3276</v>
      </c>
    </row>
    <row r="224" spans="2:15" hidden="1" outlineLevel="1">
      <c r="B224" s="889">
        <v>15</v>
      </c>
      <c r="C224" s="822"/>
      <c r="D224" s="1278">
        <f t="shared" si="5"/>
        <v>5</v>
      </c>
      <c r="E224" s="2948" t="s">
        <v>3351</v>
      </c>
      <c r="F224" s="892" t="s">
        <v>723</v>
      </c>
      <c r="G224" s="2509" t="s">
        <v>3350</v>
      </c>
      <c r="H224" s="894">
        <v>810918</v>
      </c>
      <c r="I224" s="934" t="s">
        <v>834</v>
      </c>
      <c r="J224" s="895" t="s">
        <v>129</v>
      </c>
      <c r="K224" s="852" t="s">
        <v>3354</v>
      </c>
      <c r="L224" s="897">
        <v>43354</v>
      </c>
      <c r="M224" s="852" t="s">
        <v>3352</v>
      </c>
      <c r="N224" s="2285">
        <v>43355</v>
      </c>
      <c r="O224" s="2279" t="s">
        <v>3276</v>
      </c>
    </row>
    <row r="225" spans="2:15" hidden="1" outlineLevel="1">
      <c r="B225" s="889">
        <v>16</v>
      </c>
      <c r="C225" s="822"/>
      <c r="D225" s="1278">
        <f t="shared" si="5"/>
        <v>6</v>
      </c>
      <c r="E225" s="2948" t="s">
        <v>3351</v>
      </c>
      <c r="F225" s="892" t="s">
        <v>723</v>
      </c>
      <c r="G225" s="2509" t="s">
        <v>3350</v>
      </c>
      <c r="H225" s="894">
        <v>820918</v>
      </c>
      <c r="I225" s="934" t="s">
        <v>834</v>
      </c>
      <c r="J225" s="895" t="s">
        <v>129</v>
      </c>
      <c r="K225" s="852" t="s">
        <v>3354</v>
      </c>
      <c r="L225" s="897">
        <v>43354</v>
      </c>
      <c r="M225" s="852" t="s">
        <v>3352</v>
      </c>
      <c r="N225" s="2285">
        <v>43355</v>
      </c>
      <c r="O225" s="2279" t="s">
        <v>3276</v>
      </c>
    </row>
    <row r="226" spans="2:15" hidden="1" outlineLevel="1">
      <c r="B226" s="889">
        <v>17</v>
      </c>
      <c r="C226" s="822"/>
      <c r="D226" s="1278">
        <f t="shared" si="5"/>
        <v>7</v>
      </c>
      <c r="E226" s="2948" t="s">
        <v>3351</v>
      </c>
      <c r="F226" s="892" t="s">
        <v>723</v>
      </c>
      <c r="G226" s="2509" t="s">
        <v>3350</v>
      </c>
      <c r="H226" s="894">
        <v>830918</v>
      </c>
      <c r="I226" s="934" t="s">
        <v>834</v>
      </c>
      <c r="J226" s="895" t="s">
        <v>129</v>
      </c>
      <c r="K226" s="852" t="s">
        <v>3354</v>
      </c>
      <c r="L226" s="897">
        <v>43354</v>
      </c>
      <c r="M226" s="852" t="s">
        <v>3352</v>
      </c>
      <c r="N226" s="2285">
        <v>43355</v>
      </c>
      <c r="O226" s="2279" t="s">
        <v>3276</v>
      </c>
    </row>
    <row r="227" spans="2:15" hidden="1" outlineLevel="1">
      <c r="B227" s="889">
        <v>18</v>
      </c>
      <c r="C227" s="822"/>
      <c r="D227" s="1278">
        <f t="shared" si="5"/>
        <v>8</v>
      </c>
      <c r="E227" s="2948" t="s">
        <v>3351</v>
      </c>
      <c r="F227" s="892" t="s">
        <v>723</v>
      </c>
      <c r="G227" s="2509" t="s">
        <v>3350</v>
      </c>
      <c r="H227" s="894">
        <v>840918</v>
      </c>
      <c r="I227" s="934" t="s">
        <v>834</v>
      </c>
      <c r="J227" s="895" t="s">
        <v>129</v>
      </c>
      <c r="K227" s="852" t="s">
        <v>3354</v>
      </c>
      <c r="L227" s="897">
        <v>43354</v>
      </c>
      <c r="M227" s="852" t="s">
        <v>3352</v>
      </c>
      <c r="N227" s="2285">
        <v>43355</v>
      </c>
      <c r="O227" s="2279" t="s">
        <v>3276</v>
      </c>
    </row>
    <row r="228" spans="2:15" hidden="1" outlineLevel="1">
      <c r="B228" s="889">
        <v>19</v>
      </c>
      <c r="C228" s="822"/>
      <c r="D228" s="1278">
        <f t="shared" si="5"/>
        <v>9</v>
      </c>
      <c r="E228" s="2948" t="s">
        <v>3351</v>
      </c>
      <c r="F228" s="892" t="s">
        <v>723</v>
      </c>
      <c r="G228" s="2509" t="s">
        <v>3350</v>
      </c>
      <c r="H228" s="894">
        <v>850918</v>
      </c>
      <c r="I228" s="934" t="s">
        <v>834</v>
      </c>
      <c r="J228" s="895" t="s">
        <v>129</v>
      </c>
      <c r="K228" s="852" t="s">
        <v>3354</v>
      </c>
      <c r="L228" s="897">
        <v>43354</v>
      </c>
      <c r="M228" s="852" t="s">
        <v>3352</v>
      </c>
      <c r="N228" s="2285">
        <v>43355</v>
      </c>
      <c r="O228" s="2279" t="s">
        <v>3276</v>
      </c>
    </row>
    <row r="229" spans="2:15" hidden="1" outlineLevel="1">
      <c r="B229" s="889">
        <v>20</v>
      </c>
      <c r="C229" s="822"/>
      <c r="D229" s="1278">
        <f t="shared" si="5"/>
        <v>10</v>
      </c>
      <c r="E229" s="2948" t="s">
        <v>3351</v>
      </c>
      <c r="F229" s="892" t="s">
        <v>723</v>
      </c>
      <c r="G229" s="2509" t="s">
        <v>3350</v>
      </c>
      <c r="H229" s="894">
        <v>860918</v>
      </c>
      <c r="I229" s="934" t="s">
        <v>834</v>
      </c>
      <c r="J229" s="895" t="s">
        <v>129</v>
      </c>
      <c r="K229" s="852" t="s">
        <v>3354</v>
      </c>
      <c r="L229" s="897">
        <v>43354</v>
      </c>
      <c r="M229" s="852" t="s">
        <v>3352</v>
      </c>
      <c r="N229" s="2285">
        <v>43355</v>
      </c>
      <c r="O229" s="2279" t="s">
        <v>3276</v>
      </c>
    </row>
    <row r="230" spans="2:15" hidden="1" outlineLevel="1">
      <c r="B230" s="889">
        <v>21</v>
      </c>
      <c r="C230" s="822"/>
      <c r="D230" s="1278">
        <f t="shared" si="5"/>
        <v>11</v>
      </c>
      <c r="E230" s="2948" t="s">
        <v>3351</v>
      </c>
      <c r="F230" s="892" t="s">
        <v>723</v>
      </c>
      <c r="G230" s="2509" t="s">
        <v>3350</v>
      </c>
      <c r="H230" s="894">
        <v>870918</v>
      </c>
      <c r="I230" s="934" t="s">
        <v>834</v>
      </c>
      <c r="J230" s="895" t="s">
        <v>129</v>
      </c>
      <c r="K230" s="852" t="s">
        <v>3354</v>
      </c>
      <c r="L230" s="897">
        <v>43354</v>
      </c>
      <c r="M230" s="852" t="s">
        <v>3352</v>
      </c>
      <c r="N230" s="2285">
        <v>43355</v>
      </c>
      <c r="O230" s="2279" t="s">
        <v>3276</v>
      </c>
    </row>
    <row r="231" spans="2:15" hidden="1" outlineLevel="1">
      <c r="B231" s="889">
        <v>22</v>
      </c>
      <c r="C231" s="822"/>
      <c r="D231" s="1278">
        <f t="shared" si="5"/>
        <v>12</v>
      </c>
      <c r="E231" s="2948" t="s">
        <v>3351</v>
      </c>
      <c r="F231" s="892" t="s">
        <v>723</v>
      </c>
      <c r="G231" s="2509" t="s">
        <v>3350</v>
      </c>
      <c r="H231" s="894">
        <v>880918</v>
      </c>
      <c r="I231" s="934" t="s">
        <v>834</v>
      </c>
      <c r="J231" s="895" t="s">
        <v>129</v>
      </c>
      <c r="K231" s="852" t="s">
        <v>3354</v>
      </c>
      <c r="L231" s="897">
        <v>43354</v>
      </c>
      <c r="M231" s="852" t="s">
        <v>3352</v>
      </c>
      <c r="N231" s="2285">
        <v>43355</v>
      </c>
      <c r="O231" s="2279" t="s">
        <v>3276</v>
      </c>
    </row>
    <row r="232" spans="2:15" ht="8.1" customHeight="1" collapsed="1"/>
    <row r="233" spans="2:15" hidden="1" outlineLevel="1">
      <c r="B233" s="889">
        <v>1</v>
      </c>
      <c r="C233" s="822"/>
      <c r="D233" s="1278">
        <v>3</v>
      </c>
      <c r="E233" s="2948" t="s">
        <v>133</v>
      </c>
      <c r="F233" s="892" t="s">
        <v>723</v>
      </c>
      <c r="G233" s="2509" t="s">
        <v>682</v>
      </c>
      <c r="H233" s="894">
        <v>891018</v>
      </c>
      <c r="I233" s="934" t="s">
        <v>183</v>
      </c>
      <c r="J233" s="895" t="s">
        <v>129</v>
      </c>
      <c r="K233" s="852" t="s">
        <v>3268</v>
      </c>
      <c r="L233" s="897">
        <v>43389</v>
      </c>
      <c r="M233" s="852" t="s">
        <v>2610</v>
      </c>
      <c r="N233" s="2285">
        <v>43389</v>
      </c>
      <c r="O233" s="2279" t="s">
        <v>3276</v>
      </c>
    </row>
    <row r="234" spans="2:15" hidden="1" outlineLevel="1">
      <c r="B234" s="889">
        <v>2</v>
      </c>
      <c r="C234" s="822"/>
      <c r="D234" s="1278">
        <f>1+D233</f>
        <v>4</v>
      </c>
      <c r="E234" s="2948" t="s">
        <v>133</v>
      </c>
      <c r="F234" s="892" t="s">
        <v>723</v>
      </c>
      <c r="G234" s="2509" t="s">
        <v>682</v>
      </c>
      <c r="H234" s="894">
        <v>901018</v>
      </c>
      <c r="I234" s="934" t="s">
        <v>183</v>
      </c>
      <c r="J234" s="895" t="s">
        <v>129</v>
      </c>
      <c r="K234" s="852" t="s">
        <v>3268</v>
      </c>
      <c r="L234" s="897">
        <v>43389</v>
      </c>
      <c r="M234" s="852" t="s">
        <v>2610</v>
      </c>
      <c r="N234" s="2285">
        <v>43389</v>
      </c>
      <c r="O234" s="2279" t="s">
        <v>3276</v>
      </c>
    </row>
    <row r="235" spans="2:15" hidden="1" outlineLevel="1">
      <c r="B235" s="889">
        <v>3</v>
      </c>
      <c r="C235" s="822"/>
      <c r="D235" s="1278">
        <f t="shared" ref="D235:D240" si="6">1+D234</f>
        <v>5</v>
      </c>
      <c r="E235" s="2948" t="s">
        <v>133</v>
      </c>
      <c r="F235" s="892" t="s">
        <v>723</v>
      </c>
      <c r="G235" s="2509" t="s">
        <v>682</v>
      </c>
      <c r="H235" s="894">
        <v>911018</v>
      </c>
      <c r="I235" s="934" t="s">
        <v>183</v>
      </c>
      <c r="J235" s="895" t="s">
        <v>129</v>
      </c>
      <c r="K235" s="852" t="s">
        <v>3268</v>
      </c>
      <c r="L235" s="897">
        <v>43389</v>
      </c>
      <c r="M235" s="852" t="s">
        <v>2610</v>
      </c>
      <c r="N235" s="2285">
        <v>43389</v>
      </c>
      <c r="O235" s="2279" t="s">
        <v>3276</v>
      </c>
    </row>
    <row r="236" spans="2:15" hidden="1" outlineLevel="1">
      <c r="B236" s="889">
        <v>4</v>
      </c>
      <c r="C236" s="822"/>
      <c r="D236" s="1278">
        <f t="shared" si="6"/>
        <v>6</v>
      </c>
      <c r="E236" s="2948" t="s">
        <v>133</v>
      </c>
      <c r="F236" s="892" t="s">
        <v>723</v>
      </c>
      <c r="G236" s="2509" t="s">
        <v>682</v>
      </c>
      <c r="H236" s="894">
        <v>921018</v>
      </c>
      <c r="I236" s="934" t="s">
        <v>183</v>
      </c>
      <c r="J236" s="895" t="s">
        <v>129</v>
      </c>
      <c r="K236" s="852" t="s">
        <v>3268</v>
      </c>
      <c r="L236" s="897">
        <v>43389</v>
      </c>
      <c r="M236" s="852" t="s">
        <v>2610</v>
      </c>
      <c r="N236" s="2285">
        <v>43389</v>
      </c>
      <c r="O236" s="2279" t="s">
        <v>3276</v>
      </c>
    </row>
    <row r="237" spans="2:15" hidden="1" outlineLevel="1">
      <c r="B237" s="889">
        <v>5</v>
      </c>
      <c r="C237" s="822"/>
      <c r="D237" s="1278">
        <f t="shared" si="6"/>
        <v>7</v>
      </c>
      <c r="E237" s="2948" t="s">
        <v>133</v>
      </c>
      <c r="F237" s="892" t="s">
        <v>723</v>
      </c>
      <c r="G237" s="2509" t="s">
        <v>682</v>
      </c>
      <c r="H237" s="894">
        <v>931018</v>
      </c>
      <c r="I237" s="934" t="s">
        <v>183</v>
      </c>
      <c r="J237" s="895" t="s">
        <v>129</v>
      </c>
      <c r="K237" s="852" t="s">
        <v>3268</v>
      </c>
      <c r="L237" s="897">
        <v>43389</v>
      </c>
      <c r="M237" s="852" t="s">
        <v>2610</v>
      </c>
      <c r="N237" s="2285">
        <v>43389</v>
      </c>
      <c r="O237" s="2279" t="s">
        <v>3276</v>
      </c>
    </row>
    <row r="238" spans="2:15" hidden="1" outlineLevel="1">
      <c r="B238" s="889">
        <v>6</v>
      </c>
      <c r="C238" s="822"/>
      <c r="D238" s="1278">
        <f t="shared" si="6"/>
        <v>8</v>
      </c>
      <c r="E238" s="2948" t="s">
        <v>133</v>
      </c>
      <c r="F238" s="892" t="s">
        <v>723</v>
      </c>
      <c r="G238" s="2509" t="s">
        <v>682</v>
      </c>
      <c r="H238" s="894">
        <v>941018</v>
      </c>
      <c r="I238" s="934" t="s">
        <v>183</v>
      </c>
      <c r="J238" s="895" t="s">
        <v>129</v>
      </c>
      <c r="K238" s="852" t="s">
        <v>3268</v>
      </c>
      <c r="L238" s="897">
        <v>43389</v>
      </c>
      <c r="M238" s="852" t="s">
        <v>2610</v>
      </c>
      <c r="N238" s="2285">
        <v>43389</v>
      </c>
      <c r="O238" s="2279" t="s">
        <v>3276</v>
      </c>
    </row>
    <row r="239" spans="2:15" hidden="1" outlineLevel="1">
      <c r="B239" s="889">
        <v>7</v>
      </c>
      <c r="C239" s="822"/>
      <c r="D239" s="1278">
        <f>1+D238</f>
        <v>9</v>
      </c>
      <c r="E239" s="2948" t="s">
        <v>133</v>
      </c>
      <c r="F239" s="892" t="s">
        <v>723</v>
      </c>
      <c r="G239" s="2509" t="s">
        <v>682</v>
      </c>
      <c r="H239" s="894">
        <v>951018</v>
      </c>
      <c r="I239" s="934" t="s">
        <v>183</v>
      </c>
      <c r="J239" s="895" t="s">
        <v>129</v>
      </c>
      <c r="K239" s="852" t="s">
        <v>3268</v>
      </c>
      <c r="L239" s="897">
        <v>43389</v>
      </c>
      <c r="M239" s="852" t="s">
        <v>2610</v>
      </c>
      <c r="N239" s="2285">
        <v>43389</v>
      </c>
      <c r="O239" s="2279" t="s">
        <v>3276</v>
      </c>
    </row>
    <row r="240" spans="2:15" ht="15.75" hidden="1" outlineLevel="1" thickBot="1">
      <c r="B240" s="3025">
        <v>8</v>
      </c>
      <c r="C240" s="3026"/>
      <c r="D240" s="3027">
        <f t="shared" si="6"/>
        <v>10</v>
      </c>
      <c r="E240" s="3028" t="s">
        <v>133</v>
      </c>
      <c r="F240" s="3029" t="s">
        <v>723</v>
      </c>
      <c r="G240" s="3030" t="s">
        <v>682</v>
      </c>
      <c r="H240" s="2747">
        <v>961018</v>
      </c>
      <c r="I240" s="2072" t="s">
        <v>183</v>
      </c>
      <c r="J240" s="3031" t="s">
        <v>129</v>
      </c>
      <c r="K240" s="2749" t="s">
        <v>3268</v>
      </c>
      <c r="L240" s="3032">
        <v>43389</v>
      </c>
      <c r="M240" s="2749" t="s">
        <v>2610</v>
      </c>
      <c r="N240" s="3033">
        <v>43389</v>
      </c>
      <c r="O240" s="3034" t="s">
        <v>3276</v>
      </c>
    </row>
    <row r="241" spans="2:15" ht="15.75" hidden="1" outlineLevel="1" thickTop="1">
      <c r="B241" s="977">
        <v>9</v>
      </c>
      <c r="C241" s="822"/>
      <c r="D241" s="2710">
        <v>1</v>
      </c>
      <c r="E241" s="3024" t="s">
        <v>3351</v>
      </c>
      <c r="F241" s="2620" t="s">
        <v>723</v>
      </c>
      <c r="G241" s="2621" t="s">
        <v>3350</v>
      </c>
      <c r="H241" s="942">
        <v>971018</v>
      </c>
      <c r="I241" s="922" t="s">
        <v>834</v>
      </c>
      <c r="J241" s="2622" t="s">
        <v>129</v>
      </c>
      <c r="K241" s="2105" t="s">
        <v>3398</v>
      </c>
      <c r="L241" s="2623">
        <v>43389</v>
      </c>
      <c r="M241" s="2105" t="s">
        <v>3399</v>
      </c>
      <c r="N241" s="2624">
        <v>43390</v>
      </c>
      <c r="O241" s="2711" t="s">
        <v>3276</v>
      </c>
    </row>
    <row r="242" spans="2:15" hidden="1" outlineLevel="1">
      <c r="B242" s="889">
        <v>10</v>
      </c>
      <c r="C242" s="822"/>
      <c r="D242" s="1278">
        <f>1+D241</f>
        <v>2</v>
      </c>
      <c r="E242" s="2948" t="s">
        <v>3351</v>
      </c>
      <c r="F242" s="892" t="s">
        <v>723</v>
      </c>
      <c r="G242" s="2509" t="s">
        <v>3350</v>
      </c>
      <c r="H242" s="894">
        <v>981018</v>
      </c>
      <c r="I242" s="934" t="s">
        <v>834</v>
      </c>
      <c r="J242" s="895" t="s">
        <v>129</v>
      </c>
      <c r="K242" s="852" t="s">
        <v>3398</v>
      </c>
      <c r="L242" s="897">
        <v>43389</v>
      </c>
      <c r="M242" s="852" t="s">
        <v>3399</v>
      </c>
      <c r="N242" s="2285">
        <v>43390</v>
      </c>
      <c r="O242" s="2279" t="s">
        <v>3276</v>
      </c>
    </row>
    <row r="243" spans="2:15" hidden="1" outlineLevel="1">
      <c r="B243" s="889">
        <v>11</v>
      </c>
      <c r="C243" s="822"/>
      <c r="D243" s="1278">
        <f t="shared" ref="D243:D252" si="7">1+D242</f>
        <v>3</v>
      </c>
      <c r="E243" s="2948" t="s">
        <v>3351</v>
      </c>
      <c r="F243" s="892" t="s">
        <v>723</v>
      </c>
      <c r="G243" s="2509" t="s">
        <v>3350</v>
      </c>
      <c r="H243" s="894">
        <v>991018</v>
      </c>
      <c r="I243" s="934" t="s">
        <v>834</v>
      </c>
      <c r="J243" s="895" t="s">
        <v>129</v>
      </c>
      <c r="K243" s="852" t="s">
        <v>3398</v>
      </c>
      <c r="L243" s="897">
        <v>43389</v>
      </c>
      <c r="M243" s="852" t="s">
        <v>3399</v>
      </c>
      <c r="N243" s="2285">
        <v>43390</v>
      </c>
      <c r="O243" s="2279" t="s">
        <v>3276</v>
      </c>
    </row>
    <row r="244" spans="2:15" hidden="1" outlineLevel="1">
      <c r="B244" s="889">
        <v>12</v>
      </c>
      <c r="C244" s="822"/>
      <c r="D244" s="1278">
        <f t="shared" si="7"/>
        <v>4</v>
      </c>
      <c r="E244" s="2948" t="s">
        <v>3351</v>
      </c>
      <c r="F244" s="892" t="s">
        <v>723</v>
      </c>
      <c r="G244" s="2509" t="s">
        <v>3350</v>
      </c>
      <c r="H244" s="894">
        <v>1001018</v>
      </c>
      <c r="I244" s="934" t="s">
        <v>834</v>
      </c>
      <c r="J244" s="895" t="s">
        <v>129</v>
      </c>
      <c r="K244" s="852" t="s">
        <v>3398</v>
      </c>
      <c r="L244" s="897">
        <v>43389</v>
      </c>
      <c r="M244" s="852" t="s">
        <v>3399</v>
      </c>
      <c r="N244" s="2285">
        <v>43390</v>
      </c>
      <c r="O244" s="2279" t="s">
        <v>3276</v>
      </c>
    </row>
    <row r="245" spans="2:15" hidden="1" outlineLevel="1">
      <c r="B245" s="889">
        <v>13</v>
      </c>
      <c r="C245" s="822"/>
      <c r="D245" s="1278">
        <f t="shared" si="7"/>
        <v>5</v>
      </c>
      <c r="E245" s="2948" t="s">
        <v>3351</v>
      </c>
      <c r="F245" s="892" t="s">
        <v>723</v>
      </c>
      <c r="G245" s="2509" t="s">
        <v>3350</v>
      </c>
      <c r="H245" s="894">
        <v>1011018</v>
      </c>
      <c r="I245" s="934" t="s">
        <v>834</v>
      </c>
      <c r="J245" s="895" t="s">
        <v>129</v>
      </c>
      <c r="K245" s="852" t="s">
        <v>3398</v>
      </c>
      <c r="L245" s="897">
        <v>43389</v>
      </c>
      <c r="M245" s="852" t="s">
        <v>3399</v>
      </c>
      <c r="N245" s="2285">
        <v>43390</v>
      </c>
      <c r="O245" s="2279" t="s">
        <v>3276</v>
      </c>
    </row>
    <row r="246" spans="2:15" hidden="1" outlineLevel="1">
      <c r="B246" s="889">
        <v>14</v>
      </c>
      <c r="C246" s="822"/>
      <c r="D246" s="1278">
        <f t="shared" si="7"/>
        <v>6</v>
      </c>
      <c r="E246" s="2948" t="s">
        <v>3351</v>
      </c>
      <c r="F246" s="892" t="s">
        <v>723</v>
      </c>
      <c r="G246" s="2509" t="s">
        <v>3350</v>
      </c>
      <c r="H246" s="894">
        <v>1021018</v>
      </c>
      <c r="I246" s="934" t="s">
        <v>834</v>
      </c>
      <c r="J246" s="895" t="s">
        <v>129</v>
      </c>
      <c r="K246" s="852" t="s">
        <v>3398</v>
      </c>
      <c r="L246" s="897">
        <v>43389</v>
      </c>
      <c r="M246" s="852" t="s">
        <v>3399</v>
      </c>
      <c r="N246" s="2285">
        <v>43390</v>
      </c>
      <c r="O246" s="2279" t="s">
        <v>3276</v>
      </c>
    </row>
    <row r="247" spans="2:15" hidden="1" outlineLevel="1">
      <c r="B247" s="889">
        <v>15</v>
      </c>
      <c r="C247" s="822"/>
      <c r="D247" s="1278">
        <f t="shared" si="7"/>
        <v>7</v>
      </c>
      <c r="E247" s="2948" t="s">
        <v>3351</v>
      </c>
      <c r="F247" s="892" t="s">
        <v>723</v>
      </c>
      <c r="G247" s="2509" t="s">
        <v>3350</v>
      </c>
      <c r="H247" s="894">
        <v>1031018</v>
      </c>
      <c r="I247" s="934" t="s">
        <v>834</v>
      </c>
      <c r="J247" s="895" t="s">
        <v>129</v>
      </c>
      <c r="K247" s="852" t="s">
        <v>3398</v>
      </c>
      <c r="L247" s="897">
        <v>43389</v>
      </c>
      <c r="M247" s="852" t="s">
        <v>3399</v>
      </c>
      <c r="N247" s="2285">
        <v>43390</v>
      </c>
      <c r="O247" s="2279" t="s">
        <v>3276</v>
      </c>
    </row>
    <row r="248" spans="2:15" hidden="1" outlineLevel="1">
      <c r="B248" s="889">
        <v>16</v>
      </c>
      <c r="C248" s="822"/>
      <c r="D248" s="1278">
        <f t="shared" si="7"/>
        <v>8</v>
      </c>
      <c r="E248" s="2948" t="s">
        <v>3351</v>
      </c>
      <c r="F248" s="892" t="s">
        <v>723</v>
      </c>
      <c r="G248" s="2509" t="s">
        <v>3350</v>
      </c>
      <c r="H248" s="894">
        <v>1041018</v>
      </c>
      <c r="I248" s="934" t="s">
        <v>834</v>
      </c>
      <c r="J248" s="895" t="s">
        <v>129</v>
      </c>
      <c r="K248" s="852" t="s">
        <v>3398</v>
      </c>
      <c r="L248" s="897">
        <v>43389</v>
      </c>
      <c r="M248" s="852" t="s">
        <v>3399</v>
      </c>
      <c r="N248" s="2285">
        <v>43390</v>
      </c>
      <c r="O248" s="2279" t="s">
        <v>3276</v>
      </c>
    </row>
    <row r="249" spans="2:15" hidden="1" outlineLevel="1">
      <c r="B249" s="889">
        <v>17</v>
      </c>
      <c r="C249" s="822"/>
      <c r="D249" s="1278">
        <f t="shared" si="7"/>
        <v>9</v>
      </c>
      <c r="E249" s="2948" t="s">
        <v>3351</v>
      </c>
      <c r="F249" s="892" t="s">
        <v>723</v>
      </c>
      <c r="G249" s="2509" t="s">
        <v>3350</v>
      </c>
      <c r="H249" s="894">
        <v>1051018</v>
      </c>
      <c r="I249" s="934" t="s">
        <v>834</v>
      </c>
      <c r="J249" s="895" t="s">
        <v>129</v>
      </c>
      <c r="K249" s="852" t="s">
        <v>3398</v>
      </c>
      <c r="L249" s="897">
        <v>43389</v>
      </c>
      <c r="M249" s="852" t="s">
        <v>3399</v>
      </c>
      <c r="N249" s="2285">
        <v>43390</v>
      </c>
      <c r="O249" s="2279" t="s">
        <v>3276</v>
      </c>
    </row>
    <row r="250" spans="2:15" hidden="1" outlineLevel="1">
      <c r="B250" s="889">
        <v>18</v>
      </c>
      <c r="C250" s="822"/>
      <c r="D250" s="1278">
        <f t="shared" si="7"/>
        <v>10</v>
      </c>
      <c r="E250" s="2948" t="s">
        <v>3351</v>
      </c>
      <c r="F250" s="892" t="s">
        <v>723</v>
      </c>
      <c r="G250" s="2509" t="s">
        <v>3350</v>
      </c>
      <c r="H250" s="894">
        <v>1061018</v>
      </c>
      <c r="I250" s="934" t="s">
        <v>834</v>
      </c>
      <c r="J250" s="895" t="s">
        <v>129</v>
      </c>
      <c r="K250" s="852" t="s">
        <v>3398</v>
      </c>
      <c r="L250" s="897">
        <v>43389</v>
      </c>
      <c r="M250" s="852" t="s">
        <v>3399</v>
      </c>
      <c r="N250" s="2285">
        <v>43390</v>
      </c>
      <c r="O250" s="2279" t="s">
        <v>3276</v>
      </c>
    </row>
    <row r="251" spans="2:15" hidden="1" outlineLevel="1">
      <c r="B251" s="889">
        <v>19</v>
      </c>
      <c r="C251" s="822"/>
      <c r="D251" s="1278">
        <f t="shared" si="7"/>
        <v>11</v>
      </c>
      <c r="E251" s="2948" t="s">
        <v>3351</v>
      </c>
      <c r="F251" s="892" t="s">
        <v>723</v>
      </c>
      <c r="G251" s="2509" t="s">
        <v>3350</v>
      </c>
      <c r="H251" s="894">
        <v>1071018</v>
      </c>
      <c r="I251" s="934" t="s">
        <v>834</v>
      </c>
      <c r="J251" s="895" t="s">
        <v>129</v>
      </c>
      <c r="K251" s="852" t="s">
        <v>3398</v>
      </c>
      <c r="L251" s="897">
        <v>43389</v>
      </c>
      <c r="M251" s="852" t="s">
        <v>3399</v>
      </c>
      <c r="N251" s="2285">
        <v>43390</v>
      </c>
      <c r="O251" s="2279" t="s">
        <v>3276</v>
      </c>
    </row>
    <row r="252" spans="2:15" hidden="1" outlineLevel="1">
      <c r="B252" s="889">
        <v>20</v>
      </c>
      <c r="C252" s="822"/>
      <c r="D252" s="1278">
        <f t="shared" si="7"/>
        <v>12</v>
      </c>
      <c r="E252" s="2948" t="s">
        <v>3351</v>
      </c>
      <c r="F252" s="892" t="s">
        <v>723</v>
      </c>
      <c r="G252" s="2509" t="s">
        <v>3350</v>
      </c>
      <c r="H252" s="894">
        <v>1081018</v>
      </c>
      <c r="I252" s="934" t="s">
        <v>834</v>
      </c>
      <c r="J252" s="895" t="s">
        <v>129</v>
      </c>
      <c r="K252" s="852" t="s">
        <v>3398</v>
      </c>
      <c r="L252" s="897">
        <v>43389</v>
      </c>
      <c r="M252" s="852" t="s">
        <v>3399</v>
      </c>
      <c r="N252" s="2285">
        <v>43390</v>
      </c>
      <c r="O252" s="2279" t="s">
        <v>3276</v>
      </c>
    </row>
    <row r="253" spans="2:15" ht="8.1" customHeight="1" collapsed="1"/>
    <row r="254" spans="2:15" hidden="1" outlineLevel="1">
      <c r="B254" s="977">
        <v>1</v>
      </c>
      <c r="C254" s="822"/>
      <c r="D254" s="2710">
        <v>1</v>
      </c>
      <c r="E254" s="3024" t="s">
        <v>3351</v>
      </c>
      <c r="F254" s="2620" t="s">
        <v>723</v>
      </c>
      <c r="G254" s="2621" t="s">
        <v>3350</v>
      </c>
      <c r="H254" s="942">
        <v>1091118</v>
      </c>
      <c r="I254" s="922" t="s">
        <v>834</v>
      </c>
      <c r="J254" s="2622" t="s">
        <v>129</v>
      </c>
      <c r="K254" s="2105" t="s">
        <v>3437</v>
      </c>
      <c r="L254" s="2623">
        <v>43423</v>
      </c>
      <c r="M254" s="2105" t="s">
        <v>3435</v>
      </c>
      <c r="N254" s="2624">
        <v>43424</v>
      </c>
      <c r="O254" s="2711" t="s">
        <v>3436</v>
      </c>
    </row>
    <row r="255" spans="2:15" hidden="1" outlineLevel="1">
      <c r="B255" s="889">
        <v>2</v>
      </c>
      <c r="C255" s="822"/>
      <c r="D255" s="1278">
        <f>1+D254</f>
        <v>2</v>
      </c>
      <c r="E255" s="2948" t="s">
        <v>3351</v>
      </c>
      <c r="F255" s="892" t="s">
        <v>723</v>
      </c>
      <c r="G255" s="2509" t="s">
        <v>3350</v>
      </c>
      <c r="H255" s="894">
        <v>1101118</v>
      </c>
      <c r="I255" s="934" t="s">
        <v>834</v>
      </c>
      <c r="J255" s="895" t="s">
        <v>129</v>
      </c>
      <c r="K255" s="2105" t="s">
        <v>3437</v>
      </c>
      <c r="L255" s="897">
        <v>43423</v>
      </c>
      <c r="M255" s="852" t="s">
        <v>3435</v>
      </c>
      <c r="N255" s="2285">
        <v>43424</v>
      </c>
      <c r="O255" s="2711" t="s">
        <v>3436</v>
      </c>
    </row>
    <row r="256" spans="2:15" hidden="1" outlineLevel="1">
      <c r="B256" s="889">
        <v>3</v>
      </c>
      <c r="C256" s="822"/>
      <c r="D256" s="1278">
        <f t="shared" ref="D256:D265" si="8">1+D255</f>
        <v>3</v>
      </c>
      <c r="E256" s="2948" t="s">
        <v>3351</v>
      </c>
      <c r="F256" s="892" t="s">
        <v>723</v>
      </c>
      <c r="G256" s="2509" t="s">
        <v>3350</v>
      </c>
      <c r="H256" s="894">
        <v>1111118</v>
      </c>
      <c r="I256" s="934" t="s">
        <v>834</v>
      </c>
      <c r="J256" s="895" t="s">
        <v>129</v>
      </c>
      <c r="K256" s="2105" t="s">
        <v>3437</v>
      </c>
      <c r="L256" s="897">
        <v>43423</v>
      </c>
      <c r="M256" s="852" t="s">
        <v>3435</v>
      </c>
      <c r="N256" s="2285">
        <v>43424</v>
      </c>
      <c r="O256" s="2711" t="s">
        <v>3436</v>
      </c>
    </row>
    <row r="257" spans="2:15" hidden="1" outlineLevel="1">
      <c r="B257" s="889">
        <v>4</v>
      </c>
      <c r="C257" s="822"/>
      <c r="D257" s="1278">
        <f t="shared" si="8"/>
        <v>4</v>
      </c>
      <c r="E257" s="2948" t="s">
        <v>3351</v>
      </c>
      <c r="F257" s="892" t="s">
        <v>723</v>
      </c>
      <c r="G257" s="2509" t="s">
        <v>3350</v>
      </c>
      <c r="H257" s="894">
        <v>1121118</v>
      </c>
      <c r="I257" s="934" t="s">
        <v>834</v>
      </c>
      <c r="J257" s="895" t="s">
        <v>129</v>
      </c>
      <c r="K257" s="2105" t="s">
        <v>3437</v>
      </c>
      <c r="L257" s="897">
        <v>43423</v>
      </c>
      <c r="M257" s="852" t="s">
        <v>3435</v>
      </c>
      <c r="N257" s="2285">
        <v>43424</v>
      </c>
      <c r="O257" s="2711" t="s">
        <v>3436</v>
      </c>
    </row>
    <row r="258" spans="2:15" hidden="1" outlineLevel="1">
      <c r="B258" s="889">
        <v>5</v>
      </c>
      <c r="C258" s="822"/>
      <c r="D258" s="1278">
        <f t="shared" si="8"/>
        <v>5</v>
      </c>
      <c r="E258" s="2948" t="s">
        <v>3351</v>
      </c>
      <c r="F258" s="892" t="s">
        <v>723</v>
      </c>
      <c r="G258" s="2509" t="s">
        <v>3350</v>
      </c>
      <c r="H258" s="894">
        <v>1131118</v>
      </c>
      <c r="I258" s="934" t="s">
        <v>834</v>
      </c>
      <c r="J258" s="895" t="s">
        <v>129</v>
      </c>
      <c r="K258" s="2105" t="s">
        <v>3437</v>
      </c>
      <c r="L258" s="897">
        <v>43423</v>
      </c>
      <c r="M258" s="852" t="s">
        <v>3435</v>
      </c>
      <c r="N258" s="2285">
        <v>43424</v>
      </c>
      <c r="O258" s="2711" t="s">
        <v>3436</v>
      </c>
    </row>
    <row r="259" spans="2:15" hidden="1" outlineLevel="1">
      <c r="B259" s="889">
        <v>6</v>
      </c>
      <c r="C259" s="822"/>
      <c r="D259" s="1278">
        <f t="shared" si="8"/>
        <v>6</v>
      </c>
      <c r="E259" s="2948" t="s">
        <v>3351</v>
      </c>
      <c r="F259" s="892" t="s">
        <v>723</v>
      </c>
      <c r="G259" s="2509" t="s">
        <v>3350</v>
      </c>
      <c r="H259" s="894">
        <v>1141118</v>
      </c>
      <c r="I259" s="934" t="s">
        <v>834</v>
      </c>
      <c r="J259" s="895" t="s">
        <v>129</v>
      </c>
      <c r="K259" s="2105" t="s">
        <v>3437</v>
      </c>
      <c r="L259" s="897">
        <v>43423</v>
      </c>
      <c r="M259" s="852" t="s">
        <v>3435</v>
      </c>
      <c r="N259" s="2285">
        <v>43424</v>
      </c>
      <c r="O259" s="2711" t="s">
        <v>3436</v>
      </c>
    </row>
    <row r="260" spans="2:15" hidden="1" outlineLevel="1">
      <c r="B260" s="889">
        <v>7</v>
      </c>
      <c r="C260" s="822"/>
      <c r="D260" s="1278">
        <f t="shared" si="8"/>
        <v>7</v>
      </c>
      <c r="E260" s="2948" t="s">
        <v>3351</v>
      </c>
      <c r="F260" s="892" t="s">
        <v>723</v>
      </c>
      <c r="G260" s="2509" t="s">
        <v>3350</v>
      </c>
      <c r="H260" s="894">
        <v>1151118</v>
      </c>
      <c r="I260" s="934" t="s">
        <v>834</v>
      </c>
      <c r="J260" s="895" t="s">
        <v>129</v>
      </c>
      <c r="K260" s="2105" t="s">
        <v>3437</v>
      </c>
      <c r="L260" s="897">
        <v>43423</v>
      </c>
      <c r="M260" s="852" t="s">
        <v>3435</v>
      </c>
      <c r="N260" s="2285">
        <v>43424</v>
      </c>
      <c r="O260" s="2711" t="s">
        <v>3436</v>
      </c>
    </row>
    <row r="261" spans="2:15" hidden="1" outlineLevel="1">
      <c r="B261" s="889">
        <v>8</v>
      </c>
      <c r="C261" s="822"/>
      <c r="D261" s="1278">
        <f t="shared" si="8"/>
        <v>8</v>
      </c>
      <c r="E261" s="2948" t="s">
        <v>3351</v>
      </c>
      <c r="F261" s="892" t="s">
        <v>723</v>
      </c>
      <c r="G261" s="2509" t="s">
        <v>3350</v>
      </c>
      <c r="H261" s="894">
        <v>1161118</v>
      </c>
      <c r="I261" s="934" t="s">
        <v>834</v>
      </c>
      <c r="J261" s="895" t="s">
        <v>129</v>
      </c>
      <c r="K261" s="2105" t="s">
        <v>3437</v>
      </c>
      <c r="L261" s="897">
        <v>43423</v>
      </c>
      <c r="M261" s="852" t="s">
        <v>3435</v>
      </c>
      <c r="N261" s="2285">
        <v>43424</v>
      </c>
      <c r="O261" s="2711" t="s">
        <v>3436</v>
      </c>
    </row>
    <row r="262" spans="2:15" hidden="1" outlineLevel="1">
      <c r="B262" s="889">
        <v>9</v>
      </c>
      <c r="C262" s="822"/>
      <c r="D262" s="1278">
        <f t="shared" si="8"/>
        <v>9</v>
      </c>
      <c r="E262" s="2948" t="s">
        <v>3351</v>
      </c>
      <c r="F262" s="892" t="s">
        <v>723</v>
      </c>
      <c r="G262" s="2509" t="s">
        <v>3350</v>
      </c>
      <c r="H262" s="894">
        <v>1171118</v>
      </c>
      <c r="I262" s="934" t="s">
        <v>834</v>
      </c>
      <c r="J262" s="895" t="s">
        <v>129</v>
      </c>
      <c r="K262" s="2105" t="s">
        <v>3437</v>
      </c>
      <c r="L262" s="897">
        <v>43423</v>
      </c>
      <c r="M262" s="852" t="s">
        <v>3435</v>
      </c>
      <c r="N262" s="2285">
        <v>43424</v>
      </c>
      <c r="O262" s="2711" t="s">
        <v>3436</v>
      </c>
    </row>
    <row r="263" spans="2:15" hidden="1" outlineLevel="1">
      <c r="B263" s="889">
        <v>10</v>
      </c>
      <c r="C263" s="822"/>
      <c r="D263" s="1278">
        <f t="shared" si="8"/>
        <v>10</v>
      </c>
      <c r="E263" s="2948" t="s">
        <v>3351</v>
      </c>
      <c r="F263" s="892" t="s">
        <v>723</v>
      </c>
      <c r="G263" s="2509" t="s">
        <v>3350</v>
      </c>
      <c r="H263" s="894">
        <v>1181118</v>
      </c>
      <c r="I263" s="934" t="s">
        <v>834</v>
      </c>
      <c r="J263" s="895" t="s">
        <v>129</v>
      </c>
      <c r="K263" s="2105" t="s">
        <v>3437</v>
      </c>
      <c r="L263" s="897">
        <v>43423</v>
      </c>
      <c r="M263" s="852" t="s">
        <v>3435</v>
      </c>
      <c r="N263" s="2285">
        <v>43424</v>
      </c>
      <c r="O263" s="2711" t="s">
        <v>3436</v>
      </c>
    </row>
    <row r="264" spans="2:15" hidden="1" outlineLevel="1">
      <c r="B264" s="889">
        <v>11</v>
      </c>
      <c r="C264" s="822"/>
      <c r="D264" s="1278">
        <f t="shared" si="8"/>
        <v>11</v>
      </c>
      <c r="E264" s="2948" t="s">
        <v>3351</v>
      </c>
      <c r="F264" s="892" t="s">
        <v>723</v>
      </c>
      <c r="G264" s="2509" t="s">
        <v>3350</v>
      </c>
      <c r="H264" s="894">
        <v>1191118</v>
      </c>
      <c r="I264" s="934" t="s">
        <v>834</v>
      </c>
      <c r="J264" s="895" t="s">
        <v>129</v>
      </c>
      <c r="K264" s="2105" t="s">
        <v>3437</v>
      </c>
      <c r="L264" s="897">
        <v>43423</v>
      </c>
      <c r="M264" s="852" t="s">
        <v>3435</v>
      </c>
      <c r="N264" s="2285">
        <v>43424</v>
      </c>
      <c r="O264" s="2711" t="s">
        <v>3436</v>
      </c>
    </row>
    <row r="265" spans="2:15" hidden="1" outlineLevel="1">
      <c r="B265" s="889">
        <v>12</v>
      </c>
      <c r="C265" s="822"/>
      <c r="D265" s="1278">
        <f t="shared" si="8"/>
        <v>12</v>
      </c>
      <c r="E265" s="2948" t="s">
        <v>3351</v>
      </c>
      <c r="F265" s="892" t="s">
        <v>723</v>
      </c>
      <c r="G265" s="2509" t="s">
        <v>3350</v>
      </c>
      <c r="H265" s="894">
        <v>1201118</v>
      </c>
      <c r="I265" s="934" t="s">
        <v>834</v>
      </c>
      <c r="J265" s="895" t="s">
        <v>129</v>
      </c>
      <c r="K265" s="2105" t="s">
        <v>3437</v>
      </c>
      <c r="L265" s="897">
        <v>43423</v>
      </c>
      <c r="M265" s="852" t="s">
        <v>3435</v>
      </c>
      <c r="N265" s="2285">
        <v>43424</v>
      </c>
      <c r="O265" s="2711" t="s">
        <v>3436</v>
      </c>
    </row>
    <row r="266" spans="2:15" ht="8.1" customHeight="1" collapsed="1"/>
    <row r="267" spans="2:15" ht="21" thickBot="1">
      <c r="D267" s="867" t="s">
        <v>2382</v>
      </c>
    </row>
    <row r="268" spans="2:15" ht="13.5" thickBot="1">
      <c r="H268" s="2275">
        <v>43087</v>
      </c>
      <c r="M268" s="3490" t="s">
        <v>175</v>
      </c>
      <c r="N268" s="3491"/>
      <c r="O268" s="2356"/>
    </row>
    <row r="269" spans="2:15" s="463" customFormat="1" ht="20.100000000000001" customHeight="1" thickBot="1">
      <c r="B269" s="874" t="s">
        <v>704</v>
      </c>
      <c r="C269" s="875" t="s">
        <v>113</v>
      </c>
      <c r="D269" s="876" t="s">
        <v>176</v>
      </c>
      <c r="E269" s="877" t="s">
        <v>114</v>
      </c>
      <c r="F269" s="878" t="s">
        <v>705</v>
      </c>
      <c r="G269" s="2507" t="s">
        <v>115</v>
      </c>
      <c r="H269" s="880" t="s">
        <v>116</v>
      </c>
      <c r="I269" s="2554" t="s">
        <v>117</v>
      </c>
      <c r="J269" s="882" t="s">
        <v>118</v>
      </c>
      <c r="K269" s="883" t="s">
        <v>119</v>
      </c>
      <c r="L269" s="884" t="s">
        <v>713</v>
      </c>
      <c r="M269" s="885" t="s">
        <v>120</v>
      </c>
      <c r="N269" s="886" t="s">
        <v>121</v>
      </c>
      <c r="O269" s="887" t="s">
        <v>719</v>
      </c>
    </row>
    <row r="270" spans="2:15" ht="8.1" customHeight="1" thickTop="1"/>
    <row r="271" spans="2:15" s="463" customFormat="1" ht="20.100000000000001" hidden="1" customHeight="1" outlineLevel="1" thickBot="1">
      <c r="B271" s="874" t="s">
        <v>704</v>
      </c>
      <c r="C271" s="875" t="s">
        <v>113</v>
      </c>
      <c r="D271" s="876" t="s">
        <v>176</v>
      </c>
      <c r="E271" s="877" t="s">
        <v>114</v>
      </c>
      <c r="F271" s="878" t="s">
        <v>705</v>
      </c>
      <c r="G271" s="2507" t="s">
        <v>115</v>
      </c>
      <c r="H271" s="880" t="s">
        <v>116</v>
      </c>
      <c r="I271" s="2554" t="s">
        <v>117</v>
      </c>
      <c r="J271" s="882" t="s">
        <v>118</v>
      </c>
      <c r="K271" s="883" t="s">
        <v>119</v>
      </c>
      <c r="L271" s="884" t="s">
        <v>713</v>
      </c>
      <c r="M271" s="885" t="s">
        <v>120</v>
      </c>
      <c r="N271" s="886" t="s">
        <v>121</v>
      </c>
      <c r="O271" s="887" t="s">
        <v>719</v>
      </c>
    </row>
    <row r="272" spans="2:15" ht="15.75" hidden="1" outlineLevel="1" thickTop="1">
      <c r="B272" s="889">
        <v>1</v>
      </c>
      <c r="C272" s="3467" t="s">
        <v>504</v>
      </c>
      <c r="D272" s="1078">
        <v>1</v>
      </c>
      <c r="E272" s="2205" t="s">
        <v>376</v>
      </c>
      <c r="F272" s="940" t="s">
        <v>723</v>
      </c>
      <c r="G272" s="1381" t="s">
        <v>2287</v>
      </c>
      <c r="H272" s="894">
        <v>10117</v>
      </c>
      <c r="I272" s="922" t="s">
        <v>834</v>
      </c>
      <c r="J272" s="922" t="s">
        <v>129</v>
      </c>
      <c r="K272" s="943" t="s">
        <v>2384</v>
      </c>
      <c r="L272" s="944">
        <v>42739</v>
      </c>
      <c r="M272" s="2276" t="s">
        <v>2383</v>
      </c>
      <c r="N272" s="2282">
        <v>42753</v>
      </c>
      <c r="O272" s="1505" t="s">
        <v>2392</v>
      </c>
    </row>
    <row r="273" spans="2:15" hidden="1" outlineLevel="1">
      <c r="B273" s="889">
        <v>2</v>
      </c>
      <c r="C273" s="3462"/>
      <c r="D273" s="1037">
        <v>2</v>
      </c>
      <c r="E273" s="2205" t="s">
        <v>376</v>
      </c>
      <c r="F273" s="940" t="s">
        <v>723</v>
      </c>
      <c r="G273" s="2508" t="s">
        <v>2287</v>
      </c>
      <c r="H273" s="894">
        <v>20117</v>
      </c>
      <c r="I273" s="922" t="s">
        <v>834</v>
      </c>
      <c r="J273" s="922" t="s">
        <v>129</v>
      </c>
      <c r="K273" s="943" t="s">
        <v>2384</v>
      </c>
      <c r="L273" s="936">
        <v>42739</v>
      </c>
      <c r="M273" s="2276" t="s">
        <v>2383</v>
      </c>
      <c r="N273" s="2283">
        <v>42753</v>
      </c>
      <c r="O273" s="2277" t="s">
        <v>2392</v>
      </c>
    </row>
    <row r="274" spans="2:15" hidden="1" outlineLevel="1">
      <c r="B274" s="889">
        <v>3</v>
      </c>
      <c r="C274" s="3462"/>
      <c r="D274" s="1276">
        <v>3</v>
      </c>
      <c r="E274" s="2206" t="s">
        <v>376</v>
      </c>
      <c r="F274" s="950" t="s">
        <v>723</v>
      </c>
      <c r="G274" s="1382" t="s">
        <v>2287</v>
      </c>
      <c r="H274" s="894">
        <v>30117</v>
      </c>
      <c r="I274" s="922" t="s">
        <v>834</v>
      </c>
      <c r="J274" s="952" t="s">
        <v>129</v>
      </c>
      <c r="K274" s="953" t="s">
        <v>2384</v>
      </c>
      <c r="L274" s="954">
        <v>42739</v>
      </c>
      <c r="M274" s="2276" t="s">
        <v>2383</v>
      </c>
      <c r="N274" s="2284">
        <v>42753</v>
      </c>
      <c r="O274" s="2278" t="s">
        <v>2392</v>
      </c>
    </row>
    <row r="275" spans="2:15" hidden="1" outlineLevel="1">
      <c r="B275" s="889">
        <v>4</v>
      </c>
      <c r="C275" s="3462"/>
      <c r="D275" s="1037">
        <v>4</v>
      </c>
      <c r="E275" s="2207" t="s">
        <v>376</v>
      </c>
      <c r="F275" s="959" t="s">
        <v>723</v>
      </c>
      <c r="G275" s="2508" t="s">
        <v>2287</v>
      </c>
      <c r="H275" s="894">
        <v>40117</v>
      </c>
      <c r="I275" s="922" t="s">
        <v>834</v>
      </c>
      <c r="J275" s="934" t="s">
        <v>129</v>
      </c>
      <c r="K275" s="935" t="s">
        <v>2384</v>
      </c>
      <c r="L275" s="936">
        <v>42739</v>
      </c>
      <c r="M275" s="2276" t="s">
        <v>2383</v>
      </c>
      <c r="N275" s="2283">
        <v>42753</v>
      </c>
      <c r="O275" s="2277" t="s">
        <v>2392</v>
      </c>
    </row>
    <row r="276" spans="2:15" hidden="1" outlineLevel="1">
      <c r="B276" s="889">
        <v>5</v>
      </c>
      <c r="C276" s="3462"/>
      <c r="D276" s="1278">
        <v>5</v>
      </c>
      <c r="E276" s="2208" t="s">
        <v>376</v>
      </c>
      <c r="F276" s="950" t="s">
        <v>723</v>
      </c>
      <c r="G276" s="2509" t="s">
        <v>2287</v>
      </c>
      <c r="H276" s="894">
        <v>50117</v>
      </c>
      <c r="I276" s="922" t="s">
        <v>834</v>
      </c>
      <c r="J276" s="895" t="s">
        <v>129</v>
      </c>
      <c r="K276" s="896" t="s">
        <v>2384</v>
      </c>
      <c r="L276" s="897">
        <v>42739</v>
      </c>
      <c r="M276" s="2276" t="s">
        <v>2383</v>
      </c>
      <c r="N276" s="2285">
        <v>42753</v>
      </c>
      <c r="O276" s="2279" t="s">
        <v>2392</v>
      </c>
    </row>
    <row r="277" spans="2:15" hidden="1" outlineLevel="1">
      <c r="B277" s="889">
        <v>6</v>
      </c>
      <c r="C277" s="3462"/>
      <c r="D277" s="1278">
        <v>6</v>
      </c>
      <c r="E277" s="2208" t="s">
        <v>376</v>
      </c>
      <c r="F277" s="892" t="s">
        <v>723</v>
      </c>
      <c r="G277" s="2509" t="s">
        <v>2287</v>
      </c>
      <c r="H277" s="894">
        <v>60117</v>
      </c>
      <c r="I277" s="922" t="s">
        <v>834</v>
      </c>
      <c r="J277" s="895" t="s">
        <v>129</v>
      </c>
      <c r="K277" s="896" t="s">
        <v>2384</v>
      </c>
      <c r="L277" s="897">
        <v>42739</v>
      </c>
      <c r="M277" s="2276" t="s">
        <v>2383</v>
      </c>
      <c r="N277" s="2285">
        <v>42753</v>
      </c>
      <c r="O277" s="2279" t="s">
        <v>2392</v>
      </c>
    </row>
    <row r="278" spans="2:15" hidden="1" outlineLevel="1">
      <c r="B278" s="889">
        <v>7</v>
      </c>
      <c r="C278" s="3462"/>
      <c r="D278" s="1278">
        <v>7</v>
      </c>
      <c r="E278" s="2208" t="s">
        <v>376</v>
      </c>
      <c r="F278" s="892" t="s">
        <v>723</v>
      </c>
      <c r="G278" s="2509" t="s">
        <v>2287</v>
      </c>
      <c r="H278" s="894">
        <v>70117</v>
      </c>
      <c r="I278" s="922" t="s">
        <v>834</v>
      </c>
      <c r="J278" s="895" t="s">
        <v>129</v>
      </c>
      <c r="K278" s="896" t="s">
        <v>2384</v>
      </c>
      <c r="L278" s="897">
        <v>42739</v>
      </c>
      <c r="M278" s="2276" t="s">
        <v>2383</v>
      </c>
      <c r="N278" s="2285">
        <v>42753</v>
      </c>
      <c r="O278" s="2279" t="s">
        <v>2392</v>
      </c>
    </row>
    <row r="279" spans="2:15" hidden="1" outlineLevel="1">
      <c r="B279" s="889">
        <v>8</v>
      </c>
      <c r="C279" s="3462"/>
      <c r="D279" s="1278">
        <v>8</v>
      </c>
      <c r="E279" s="2208" t="s">
        <v>376</v>
      </c>
      <c r="F279" s="892" t="s">
        <v>723</v>
      </c>
      <c r="G279" s="2509" t="s">
        <v>2287</v>
      </c>
      <c r="H279" s="894">
        <v>80117</v>
      </c>
      <c r="I279" s="934" t="s">
        <v>834</v>
      </c>
      <c r="J279" s="895" t="s">
        <v>129</v>
      </c>
      <c r="K279" s="896" t="s">
        <v>2384</v>
      </c>
      <c r="L279" s="897">
        <v>42739</v>
      </c>
      <c r="M279" s="2276" t="s">
        <v>2383</v>
      </c>
      <c r="N279" s="2285">
        <v>42753</v>
      </c>
      <c r="O279" s="2279" t="s">
        <v>2392</v>
      </c>
    </row>
    <row r="280" spans="2:15" hidden="1" outlineLevel="1">
      <c r="B280" s="889">
        <v>9</v>
      </c>
      <c r="C280" s="3462"/>
      <c r="D280" s="1276">
        <v>9</v>
      </c>
      <c r="E280" s="2206" t="s">
        <v>376</v>
      </c>
      <c r="F280" s="950" t="s">
        <v>723</v>
      </c>
      <c r="G280" s="1382" t="s">
        <v>2287</v>
      </c>
      <c r="H280" s="894">
        <v>90117</v>
      </c>
      <c r="I280" s="922" t="s">
        <v>834</v>
      </c>
      <c r="J280" s="952" t="s">
        <v>129</v>
      </c>
      <c r="K280" s="953" t="s">
        <v>2384</v>
      </c>
      <c r="L280" s="954">
        <v>42739</v>
      </c>
      <c r="M280" s="2276" t="s">
        <v>2383</v>
      </c>
      <c r="N280" s="2284">
        <v>42753</v>
      </c>
      <c r="O280" s="2278" t="s">
        <v>2392</v>
      </c>
    </row>
    <row r="281" spans="2:15" hidden="1" outlineLevel="1">
      <c r="B281" s="889">
        <v>10</v>
      </c>
      <c r="C281" s="3462"/>
      <c r="D281" s="1037">
        <v>10</v>
      </c>
      <c r="E281" s="2207" t="s">
        <v>376</v>
      </c>
      <c r="F281" s="959" t="s">
        <v>723</v>
      </c>
      <c r="G281" s="2508" t="s">
        <v>2287</v>
      </c>
      <c r="H281" s="894">
        <v>100117</v>
      </c>
      <c r="I281" s="922" t="s">
        <v>834</v>
      </c>
      <c r="J281" s="934" t="s">
        <v>129</v>
      </c>
      <c r="K281" s="935" t="s">
        <v>2384</v>
      </c>
      <c r="L281" s="936">
        <v>42739</v>
      </c>
      <c r="M281" s="2276" t="s">
        <v>2383</v>
      </c>
      <c r="N281" s="2283">
        <v>42753</v>
      </c>
      <c r="O281" s="2277" t="s">
        <v>2392</v>
      </c>
    </row>
    <row r="282" spans="2:15" hidden="1" outlineLevel="1">
      <c r="B282" s="889">
        <v>11</v>
      </c>
      <c r="C282" s="3462"/>
      <c r="D282" s="1078">
        <v>11</v>
      </c>
      <c r="E282" s="2205" t="s">
        <v>376</v>
      </c>
      <c r="F282" s="940" t="s">
        <v>723</v>
      </c>
      <c r="G282" s="1381" t="s">
        <v>2287</v>
      </c>
      <c r="H282" s="942">
        <v>110117</v>
      </c>
      <c r="I282" s="922" t="s">
        <v>834</v>
      </c>
      <c r="J282" s="922" t="s">
        <v>129</v>
      </c>
      <c r="K282" s="943" t="s">
        <v>2384</v>
      </c>
      <c r="L282" s="944">
        <v>42739</v>
      </c>
      <c r="M282" s="2276" t="s">
        <v>2383</v>
      </c>
      <c r="N282" s="2286">
        <v>42753</v>
      </c>
      <c r="O282" s="2280" t="s">
        <v>2392</v>
      </c>
    </row>
    <row r="283" spans="2:15" ht="15.75" hidden="1" outlineLevel="1" thickBot="1">
      <c r="B283" s="900">
        <v>12</v>
      </c>
      <c r="C283" s="3462"/>
      <c r="D283" s="1098">
        <v>12</v>
      </c>
      <c r="E283" s="2209" t="s">
        <v>376</v>
      </c>
      <c r="F283" s="2169" t="s">
        <v>723</v>
      </c>
      <c r="G283" s="1385" t="s">
        <v>2287</v>
      </c>
      <c r="H283" s="906">
        <v>120117</v>
      </c>
      <c r="I283" s="1295" t="s">
        <v>834</v>
      </c>
      <c r="J283" s="1295" t="s">
        <v>129</v>
      </c>
      <c r="K283" s="1256" t="s">
        <v>2384</v>
      </c>
      <c r="L283" s="1163">
        <v>42739</v>
      </c>
      <c r="M283" s="909" t="s">
        <v>2383</v>
      </c>
      <c r="N283" s="2287">
        <v>42753</v>
      </c>
      <c r="O283" s="2281" t="s">
        <v>2392</v>
      </c>
    </row>
    <row r="284" spans="2:15" hidden="1" outlineLevel="1">
      <c r="B284" s="889">
        <v>13</v>
      </c>
      <c r="C284" s="3462"/>
      <c r="D284" s="1078">
        <v>1</v>
      </c>
      <c r="E284" s="2291" t="s">
        <v>2439</v>
      </c>
      <c r="F284" s="940" t="s">
        <v>723</v>
      </c>
      <c r="G284" s="1381" t="s">
        <v>2386</v>
      </c>
      <c r="H284" s="942">
        <v>130117</v>
      </c>
      <c r="I284" s="922" t="s">
        <v>179</v>
      </c>
      <c r="J284" s="922" t="s">
        <v>835</v>
      </c>
      <c r="K284" s="982" t="s">
        <v>2387</v>
      </c>
      <c r="L284" s="944">
        <v>42747</v>
      </c>
      <c r="M284" s="2105" t="s">
        <v>141</v>
      </c>
      <c r="N284" s="2286">
        <v>42751</v>
      </c>
      <c r="O284" s="2280" t="s">
        <v>2385</v>
      </c>
    </row>
    <row r="285" spans="2:15" ht="15.75" hidden="1" outlineLevel="1" thickBot="1">
      <c r="B285" s="900">
        <v>14</v>
      </c>
      <c r="C285" s="3462"/>
      <c r="D285" s="1098">
        <v>2</v>
      </c>
      <c r="E285" s="2292" t="s">
        <v>2439</v>
      </c>
      <c r="F285" s="2169" t="s">
        <v>723</v>
      </c>
      <c r="G285" s="1385" t="s">
        <v>2386</v>
      </c>
      <c r="H285" s="906">
        <v>140117</v>
      </c>
      <c r="I285" s="1295" t="s">
        <v>179</v>
      </c>
      <c r="J285" s="1295" t="s">
        <v>835</v>
      </c>
      <c r="K285" s="1299" t="s">
        <v>2387</v>
      </c>
      <c r="L285" s="1163">
        <v>42747</v>
      </c>
      <c r="M285" s="911" t="s">
        <v>141</v>
      </c>
      <c r="N285" s="2287">
        <v>42751</v>
      </c>
      <c r="O285" s="2281" t="s">
        <v>2385</v>
      </c>
    </row>
    <row r="286" spans="2:15" hidden="1" outlineLevel="1">
      <c r="B286" s="889">
        <v>15</v>
      </c>
      <c r="C286" s="3462"/>
      <c r="D286" s="1078">
        <v>1</v>
      </c>
      <c r="E286" s="2359" t="s">
        <v>2411</v>
      </c>
      <c r="F286" s="2360" t="s">
        <v>732</v>
      </c>
      <c r="G286" s="2510" t="s">
        <v>2412</v>
      </c>
      <c r="H286" s="2361">
        <v>10117</v>
      </c>
      <c r="I286" s="2555" t="s">
        <v>179</v>
      </c>
      <c r="J286" s="2345" t="s">
        <v>835</v>
      </c>
      <c r="K286" s="2346" t="s">
        <v>2417</v>
      </c>
      <c r="L286" s="2347">
        <v>42760</v>
      </c>
      <c r="M286" s="2357" t="s">
        <v>2413</v>
      </c>
      <c r="N286" s="2340"/>
      <c r="O286" s="2280" t="s">
        <v>2385</v>
      </c>
    </row>
    <row r="287" spans="2:15" ht="15.75" hidden="1" outlineLevel="1" thickBot="1">
      <c r="B287" s="900">
        <v>16</v>
      </c>
      <c r="C287" s="3462"/>
      <c r="D287" s="1098">
        <v>2</v>
      </c>
      <c r="E287" s="2362" t="s">
        <v>2411</v>
      </c>
      <c r="F287" s="2363" t="s">
        <v>732</v>
      </c>
      <c r="G287" s="2511" t="s">
        <v>2412</v>
      </c>
      <c r="H287" s="2364">
        <v>20117</v>
      </c>
      <c r="I287" s="2556" t="s">
        <v>179</v>
      </c>
      <c r="J287" s="2348" t="s">
        <v>835</v>
      </c>
      <c r="K287" s="2349" t="s">
        <v>2417</v>
      </c>
      <c r="L287" s="2350">
        <v>42760</v>
      </c>
      <c r="M287" s="2358" t="s">
        <v>2413</v>
      </c>
      <c r="N287" s="2344"/>
      <c r="O287" s="2281" t="s">
        <v>2385</v>
      </c>
    </row>
    <row r="288" spans="2:15" hidden="1" outlineLevel="1">
      <c r="B288" s="889">
        <v>17</v>
      </c>
      <c r="C288" s="3462"/>
      <c r="D288" s="1078">
        <v>1</v>
      </c>
      <c r="E288" s="2028" t="s">
        <v>2430</v>
      </c>
      <c r="F288" s="940" t="s">
        <v>2427</v>
      </c>
      <c r="G288" s="1381" t="s">
        <v>2431</v>
      </c>
      <c r="H288" s="942">
        <v>150117</v>
      </c>
      <c r="I288" s="922" t="s">
        <v>179</v>
      </c>
      <c r="J288" s="922" t="s">
        <v>2428</v>
      </c>
      <c r="K288" s="982" t="s">
        <v>2429</v>
      </c>
      <c r="L288" s="944">
        <v>42761</v>
      </c>
      <c r="M288" s="2105" t="s">
        <v>312</v>
      </c>
      <c r="N288" s="2286">
        <v>42767</v>
      </c>
      <c r="O288" s="2280" t="s">
        <v>2385</v>
      </c>
    </row>
    <row r="289" spans="2:15" ht="15.75" hidden="1" outlineLevel="1" thickBot="1">
      <c r="B289" s="900">
        <v>18</v>
      </c>
      <c r="C289" s="3468"/>
      <c r="D289" s="1098">
        <v>2</v>
      </c>
      <c r="E289" s="2333" t="s">
        <v>2430</v>
      </c>
      <c r="F289" s="2169" t="s">
        <v>2427</v>
      </c>
      <c r="G289" s="1385" t="s">
        <v>2431</v>
      </c>
      <c r="H289" s="906">
        <v>160117</v>
      </c>
      <c r="I289" s="1295" t="s">
        <v>179</v>
      </c>
      <c r="J289" s="1295" t="s">
        <v>2428</v>
      </c>
      <c r="K289" s="1299" t="s">
        <v>2429</v>
      </c>
      <c r="L289" s="1163">
        <v>42761</v>
      </c>
      <c r="M289" s="911" t="s">
        <v>312</v>
      </c>
      <c r="N289" s="2287">
        <v>42767</v>
      </c>
      <c r="O289" s="2281" t="s">
        <v>2385</v>
      </c>
    </row>
    <row r="290" spans="2:15" ht="8.1" customHeight="1" collapsed="1">
      <c r="G290" s="2664"/>
      <c r="I290" s="2666"/>
      <c r="N290" s="2666"/>
    </row>
    <row r="291" spans="2:15" s="463" customFormat="1" ht="20.100000000000001" hidden="1" customHeight="1" outlineLevel="1" thickBot="1">
      <c r="B291" s="874" t="s">
        <v>704</v>
      </c>
      <c r="C291" s="875" t="s">
        <v>113</v>
      </c>
      <c r="D291" s="876" t="s">
        <v>176</v>
      </c>
      <c r="E291" s="877" t="s">
        <v>114</v>
      </c>
      <c r="F291" s="878" t="s">
        <v>705</v>
      </c>
      <c r="G291" s="2507" t="s">
        <v>115</v>
      </c>
      <c r="H291" s="880" t="s">
        <v>116</v>
      </c>
      <c r="I291" s="2554" t="s">
        <v>117</v>
      </c>
      <c r="J291" s="882" t="s">
        <v>118</v>
      </c>
      <c r="K291" s="883" t="s">
        <v>119</v>
      </c>
      <c r="L291" s="884" t="s">
        <v>713</v>
      </c>
      <c r="M291" s="885" t="s">
        <v>120</v>
      </c>
      <c r="N291" s="886" t="s">
        <v>121</v>
      </c>
      <c r="O291" s="887" t="s">
        <v>719</v>
      </c>
    </row>
    <row r="292" spans="2:15" ht="15.75" hidden="1" customHeight="1" outlineLevel="1" thickTop="1">
      <c r="B292" s="889">
        <v>1</v>
      </c>
      <c r="C292" s="3477" t="s">
        <v>260</v>
      </c>
      <c r="D292" s="1078">
        <v>1</v>
      </c>
      <c r="E292" s="2205" t="s">
        <v>376</v>
      </c>
      <c r="F292" s="940" t="s">
        <v>723</v>
      </c>
      <c r="G292" s="1381" t="s">
        <v>2287</v>
      </c>
      <c r="H292" s="894">
        <v>170217</v>
      </c>
      <c r="I292" s="922" t="s">
        <v>834</v>
      </c>
      <c r="J292" s="922" t="s">
        <v>129</v>
      </c>
      <c r="K292" s="982" t="s">
        <v>2384</v>
      </c>
      <c r="L292" s="944">
        <v>42772</v>
      </c>
      <c r="M292" s="2105" t="s">
        <v>2443</v>
      </c>
      <c r="N292" s="2282"/>
      <c r="O292" s="1505" t="s">
        <v>2444</v>
      </c>
    </row>
    <row r="293" spans="2:15" hidden="1" outlineLevel="1">
      <c r="B293" s="889">
        <v>2</v>
      </c>
      <c r="C293" s="3478"/>
      <c r="D293" s="1037">
        <v>2</v>
      </c>
      <c r="E293" s="2205" t="s">
        <v>376</v>
      </c>
      <c r="F293" s="940" t="s">
        <v>723</v>
      </c>
      <c r="G293" s="2508" t="s">
        <v>2287</v>
      </c>
      <c r="H293" s="894">
        <v>180217</v>
      </c>
      <c r="I293" s="922" t="s">
        <v>834</v>
      </c>
      <c r="J293" s="922" t="s">
        <v>129</v>
      </c>
      <c r="K293" s="943" t="s">
        <v>2384</v>
      </c>
      <c r="L293" s="936">
        <v>42772</v>
      </c>
      <c r="M293" s="2276" t="s">
        <v>2443</v>
      </c>
      <c r="N293" s="2283"/>
      <c r="O293" s="2277" t="s">
        <v>2444</v>
      </c>
    </row>
    <row r="294" spans="2:15" hidden="1" outlineLevel="1">
      <c r="B294" s="889">
        <v>3</v>
      </c>
      <c r="C294" s="3478"/>
      <c r="D294" s="2500">
        <v>3</v>
      </c>
      <c r="E294" s="2501" t="s">
        <v>376</v>
      </c>
      <c r="F294" s="2502" t="s">
        <v>723</v>
      </c>
      <c r="G294" s="2512" t="s">
        <v>2287</v>
      </c>
      <c r="H294" s="2489">
        <v>190217</v>
      </c>
      <c r="I294" s="2557" t="s">
        <v>834</v>
      </c>
      <c r="J294" s="2490" t="s">
        <v>129</v>
      </c>
      <c r="K294" s="2491" t="s">
        <v>2384</v>
      </c>
      <c r="L294" s="2492">
        <v>42772</v>
      </c>
      <c r="M294" s="2493" t="s">
        <v>2443</v>
      </c>
      <c r="N294" s="2494">
        <v>42781</v>
      </c>
      <c r="O294" s="2495" t="s">
        <v>2615</v>
      </c>
    </row>
    <row r="295" spans="2:15" hidden="1" outlineLevel="1">
      <c r="B295" s="889">
        <v>4</v>
      </c>
      <c r="C295" s="3478"/>
      <c r="D295" s="2503">
        <v>4</v>
      </c>
      <c r="E295" s="2504" t="s">
        <v>376</v>
      </c>
      <c r="F295" s="2505" t="s">
        <v>723</v>
      </c>
      <c r="G295" s="2513" t="s">
        <v>2287</v>
      </c>
      <c r="H295" s="2489">
        <v>200217</v>
      </c>
      <c r="I295" s="2557" t="s">
        <v>834</v>
      </c>
      <c r="J295" s="2496" t="s">
        <v>129</v>
      </c>
      <c r="K295" s="2497" t="s">
        <v>2384</v>
      </c>
      <c r="L295" s="2498">
        <v>42772</v>
      </c>
      <c r="M295" s="2493" t="s">
        <v>2443</v>
      </c>
      <c r="N295" s="2499">
        <v>42781</v>
      </c>
      <c r="O295" s="2495" t="s">
        <v>2615</v>
      </c>
    </row>
    <row r="296" spans="2:15" hidden="1" outlineLevel="1">
      <c r="B296" s="889">
        <v>5</v>
      </c>
      <c r="C296" s="3478"/>
      <c r="D296" s="1278">
        <v>5</v>
      </c>
      <c r="E296" s="2208" t="s">
        <v>376</v>
      </c>
      <c r="F296" s="950" t="s">
        <v>723</v>
      </c>
      <c r="G296" s="2509" t="s">
        <v>2287</v>
      </c>
      <c r="H296" s="894">
        <v>210217</v>
      </c>
      <c r="I296" s="922" t="s">
        <v>834</v>
      </c>
      <c r="J296" s="895" t="s">
        <v>129</v>
      </c>
      <c r="K296" s="896" t="s">
        <v>2384</v>
      </c>
      <c r="L296" s="897">
        <v>42772</v>
      </c>
      <c r="M296" s="2276" t="s">
        <v>2443</v>
      </c>
      <c r="N296" s="2390">
        <v>42781</v>
      </c>
      <c r="O296" s="2279" t="s">
        <v>2444</v>
      </c>
    </row>
    <row r="297" spans="2:15" hidden="1" outlineLevel="1">
      <c r="B297" s="889">
        <v>6</v>
      </c>
      <c r="C297" s="3478"/>
      <c r="D297" s="1278">
        <v>6</v>
      </c>
      <c r="E297" s="2208" t="s">
        <v>376</v>
      </c>
      <c r="F297" s="892" t="s">
        <v>723</v>
      </c>
      <c r="G297" s="2509" t="s">
        <v>2287</v>
      </c>
      <c r="H297" s="894">
        <v>220217</v>
      </c>
      <c r="I297" s="922" t="s">
        <v>834</v>
      </c>
      <c r="J297" s="895" t="s">
        <v>129</v>
      </c>
      <c r="K297" s="896" t="s">
        <v>2384</v>
      </c>
      <c r="L297" s="897">
        <v>42772</v>
      </c>
      <c r="M297" s="2276" t="s">
        <v>2443</v>
      </c>
      <c r="N297" s="2390">
        <v>42781</v>
      </c>
      <c r="O297" s="2279" t="s">
        <v>2444</v>
      </c>
    </row>
    <row r="298" spans="2:15" hidden="1" outlineLevel="1">
      <c r="B298" s="889">
        <v>7</v>
      </c>
      <c r="C298" s="3478"/>
      <c r="D298" s="1278">
        <v>7</v>
      </c>
      <c r="E298" s="2208" t="s">
        <v>376</v>
      </c>
      <c r="F298" s="892" t="s">
        <v>723</v>
      </c>
      <c r="G298" s="2509" t="s">
        <v>2287</v>
      </c>
      <c r="H298" s="894">
        <v>230217</v>
      </c>
      <c r="I298" s="922" t="s">
        <v>834</v>
      </c>
      <c r="J298" s="895" t="s">
        <v>129</v>
      </c>
      <c r="K298" s="896" t="s">
        <v>2384</v>
      </c>
      <c r="L298" s="897">
        <v>42772</v>
      </c>
      <c r="M298" s="2276" t="s">
        <v>2443</v>
      </c>
      <c r="N298" s="2390">
        <v>42781</v>
      </c>
      <c r="O298" s="2279" t="s">
        <v>2444</v>
      </c>
    </row>
    <row r="299" spans="2:15" hidden="1" outlineLevel="1">
      <c r="B299" s="889">
        <v>8</v>
      </c>
      <c r="C299" s="3478"/>
      <c r="D299" s="1278">
        <v>8</v>
      </c>
      <c r="E299" s="2208" t="s">
        <v>376</v>
      </c>
      <c r="F299" s="892" t="s">
        <v>723</v>
      </c>
      <c r="G299" s="2509" t="s">
        <v>2287</v>
      </c>
      <c r="H299" s="894">
        <v>240217</v>
      </c>
      <c r="I299" s="934" t="s">
        <v>834</v>
      </c>
      <c r="J299" s="895" t="s">
        <v>129</v>
      </c>
      <c r="K299" s="896" t="s">
        <v>2384</v>
      </c>
      <c r="L299" s="897">
        <v>42772</v>
      </c>
      <c r="M299" s="2276" t="s">
        <v>2443</v>
      </c>
      <c r="N299" s="2390">
        <v>42781</v>
      </c>
      <c r="O299" s="2279" t="s">
        <v>2444</v>
      </c>
    </row>
    <row r="300" spans="2:15" hidden="1" outlineLevel="1">
      <c r="B300" s="889">
        <v>9</v>
      </c>
      <c r="C300" s="3478"/>
      <c r="D300" s="1276">
        <v>9</v>
      </c>
      <c r="E300" s="2206" t="s">
        <v>376</v>
      </c>
      <c r="F300" s="950" t="s">
        <v>723</v>
      </c>
      <c r="G300" s="1382" t="s">
        <v>2287</v>
      </c>
      <c r="H300" s="894">
        <v>250217</v>
      </c>
      <c r="I300" s="922" t="s">
        <v>834</v>
      </c>
      <c r="J300" s="952" t="s">
        <v>129</v>
      </c>
      <c r="K300" s="953" t="s">
        <v>2384</v>
      </c>
      <c r="L300" s="954">
        <v>42772</v>
      </c>
      <c r="M300" s="2276" t="s">
        <v>2443</v>
      </c>
      <c r="N300" s="2388">
        <v>42781</v>
      </c>
      <c r="O300" s="2278" t="s">
        <v>2444</v>
      </c>
    </row>
    <row r="301" spans="2:15" hidden="1" outlineLevel="1">
      <c r="B301" s="889">
        <v>10</v>
      </c>
      <c r="C301" s="3478"/>
      <c r="D301" s="1037">
        <v>10</v>
      </c>
      <c r="E301" s="2207" t="s">
        <v>376</v>
      </c>
      <c r="F301" s="959" t="s">
        <v>723</v>
      </c>
      <c r="G301" s="2508" t="s">
        <v>2287</v>
      </c>
      <c r="H301" s="894">
        <v>260217</v>
      </c>
      <c r="I301" s="922" t="s">
        <v>834</v>
      </c>
      <c r="J301" s="934" t="s">
        <v>129</v>
      </c>
      <c r="K301" s="935" t="s">
        <v>2384</v>
      </c>
      <c r="L301" s="936">
        <v>42772</v>
      </c>
      <c r="M301" s="2276" t="s">
        <v>2443</v>
      </c>
      <c r="N301" s="2389">
        <v>42781</v>
      </c>
      <c r="O301" s="2277" t="s">
        <v>2444</v>
      </c>
    </row>
    <row r="302" spans="2:15" hidden="1" outlineLevel="1">
      <c r="B302" s="889">
        <v>11</v>
      </c>
      <c r="C302" s="3478"/>
      <c r="D302" s="1078">
        <v>11</v>
      </c>
      <c r="E302" s="2205" t="s">
        <v>376</v>
      </c>
      <c r="F302" s="940" t="s">
        <v>723</v>
      </c>
      <c r="G302" s="1381" t="s">
        <v>2287</v>
      </c>
      <c r="H302" s="942">
        <v>270217</v>
      </c>
      <c r="I302" s="922" t="s">
        <v>834</v>
      </c>
      <c r="J302" s="922" t="s">
        <v>129</v>
      </c>
      <c r="K302" s="943" t="s">
        <v>2384</v>
      </c>
      <c r="L302" s="944">
        <v>42772</v>
      </c>
      <c r="M302" s="2276" t="s">
        <v>2443</v>
      </c>
      <c r="N302" s="2391">
        <v>42781</v>
      </c>
      <c r="O302" s="2280" t="s">
        <v>2444</v>
      </c>
    </row>
    <row r="303" spans="2:15" ht="15.75" hidden="1" outlineLevel="1" thickBot="1">
      <c r="B303" s="900">
        <v>12</v>
      </c>
      <c r="C303" s="3478"/>
      <c r="D303" s="1098">
        <v>12</v>
      </c>
      <c r="E303" s="2209" t="s">
        <v>376</v>
      </c>
      <c r="F303" s="2169" t="s">
        <v>723</v>
      </c>
      <c r="G303" s="1385" t="s">
        <v>2287</v>
      </c>
      <c r="H303" s="906">
        <v>280217</v>
      </c>
      <c r="I303" s="1295" t="s">
        <v>834</v>
      </c>
      <c r="J303" s="1295" t="s">
        <v>129</v>
      </c>
      <c r="K303" s="1256" t="s">
        <v>2384</v>
      </c>
      <c r="L303" s="1163">
        <v>42772</v>
      </c>
      <c r="M303" s="909" t="s">
        <v>2443</v>
      </c>
      <c r="N303" s="2392">
        <v>42781</v>
      </c>
      <c r="O303" s="2281" t="s">
        <v>2444</v>
      </c>
    </row>
    <row r="304" spans="2:15" hidden="1" outlineLevel="1">
      <c r="B304" s="889">
        <v>13</v>
      </c>
      <c r="C304" s="3478"/>
      <c r="D304" s="1078">
        <v>1</v>
      </c>
      <c r="E304" s="2291" t="s">
        <v>2439</v>
      </c>
      <c r="F304" s="940" t="s">
        <v>723</v>
      </c>
      <c r="G304" s="1381" t="s">
        <v>2450</v>
      </c>
      <c r="H304" s="942">
        <v>290217</v>
      </c>
      <c r="I304" s="922" t="s">
        <v>179</v>
      </c>
      <c r="J304" s="922" t="s">
        <v>835</v>
      </c>
      <c r="K304" s="982" t="s">
        <v>2467</v>
      </c>
      <c r="L304" s="944">
        <v>42790</v>
      </c>
      <c r="M304" s="2105" t="s">
        <v>2452</v>
      </c>
      <c r="N304" s="2286">
        <v>42790</v>
      </c>
      <c r="O304" s="2280" t="s">
        <v>2453</v>
      </c>
    </row>
    <row r="305" spans="2:15" ht="15.75" hidden="1" outlineLevel="1" thickBot="1">
      <c r="B305" s="900">
        <v>14</v>
      </c>
      <c r="C305" s="3479"/>
      <c r="D305" s="1098">
        <v>2</v>
      </c>
      <c r="E305" s="2292" t="s">
        <v>2439</v>
      </c>
      <c r="F305" s="2169" t="s">
        <v>723</v>
      </c>
      <c r="G305" s="1385" t="s">
        <v>2451</v>
      </c>
      <c r="H305" s="906">
        <v>300217</v>
      </c>
      <c r="I305" s="1295" t="s">
        <v>179</v>
      </c>
      <c r="J305" s="1295" t="s">
        <v>835</v>
      </c>
      <c r="K305" s="1299" t="s">
        <v>2467</v>
      </c>
      <c r="L305" s="1163">
        <v>42790</v>
      </c>
      <c r="M305" s="911" t="s">
        <v>2452</v>
      </c>
      <c r="N305" s="2287">
        <v>42790</v>
      </c>
      <c r="O305" s="2281" t="s">
        <v>2453</v>
      </c>
    </row>
    <row r="306" spans="2:15" ht="8.1" customHeight="1" collapsed="1">
      <c r="D306" s="2668"/>
      <c r="M306" s="3495"/>
      <c r="N306" s="3495"/>
      <c r="O306" s="2353"/>
    </row>
    <row r="307" spans="2:15" s="463" customFormat="1" ht="20.100000000000001" hidden="1" customHeight="1" outlineLevel="1" thickBot="1">
      <c r="B307" s="874" t="s">
        <v>704</v>
      </c>
      <c r="C307" s="875" t="s">
        <v>113</v>
      </c>
      <c r="D307" s="876" t="s">
        <v>176</v>
      </c>
      <c r="E307" s="877" t="s">
        <v>114</v>
      </c>
      <c r="F307" s="878" t="s">
        <v>705</v>
      </c>
      <c r="G307" s="2507" t="s">
        <v>115</v>
      </c>
      <c r="H307" s="880" t="s">
        <v>116</v>
      </c>
      <c r="I307" s="2554" t="s">
        <v>117</v>
      </c>
      <c r="J307" s="882" t="s">
        <v>118</v>
      </c>
      <c r="K307" s="883" t="s">
        <v>119</v>
      </c>
      <c r="L307" s="884" t="s">
        <v>713</v>
      </c>
      <c r="M307" s="885" t="s">
        <v>120</v>
      </c>
      <c r="N307" s="886" t="s">
        <v>121</v>
      </c>
      <c r="O307" s="887" t="s">
        <v>719</v>
      </c>
    </row>
    <row r="308" spans="2:15" ht="15.75" hidden="1" customHeight="1" outlineLevel="1" thickTop="1">
      <c r="B308" s="889">
        <v>1</v>
      </c>
      <c r="C308" s="3477" t="s">
        <v>340</v>
      </c>
      <c r="D308" s="1078">
        <v>1</v>
      </c>
      <c r="E308" s="2205" t="s">
        <v>376</v>
      </c>
      <c r="F308" s="940" t="s">
        <v>723</v>
      </c>
      <c r="G308" s="1381" t="s">
        <v>2287</v>
      </c>
      <c r="H308" s="894">
        <v>310317</v>
      </c>
      <c r="I308" s="922" t="s">
        <v>834</v>
      </c>
      <c r="J308" s="922" t="s">
        <v>129</v>
      </c>
      <c r="K308" s="982" t="s">
        <v>2466</v>
      </c>
      <c r="L308" s="944">
        <v>42801</v>
      </c>
      <c r="M308" s="2105" t="s">
        <v>2465</v>
      </c>
      <c r="N308" s="2282">
        <v>42811</v>
      </c>
      <c r="O308" s="1505" t="s">
        <v>2444</v>
      </c>
    </row>
    <row r="309" spans="2:15" hidden="1" outlineLevel="1">
      <c r="B309" s="889">
        <v>2</v>
      </c>
      <c r="C309" s="3478"/>
      <c r="D309" s="1037">
        <v>2</v>
      </c>
      <c r="E309" s="2205" t="s">
        <v>376</v>
      </c>
      <c r="F309" s="940" t="s">
        <v>723</v>
      </c>
      <c r="G309" s="2508" t="s">
        <v>2287</v>
      </c>
      <c r="H309" s="894">
        <v>320317</v>
      </c>
      <c r="I309" s="922" t="s">
        <v>834</v>
      </c>
      <c r="J309" s="922" t="s">
        <v>129</v>
      </c>
      <c r="K309" s="943" t="s">
        <v>2466</v>
      </c>
      <c r="L309" s="936">
        <v>42801</v>
      </c>
      <c r="M309" s="2276" t="s">
        <v>2465</v>
      </c>
      <c r="N309" s="2283">
        <v>42811</v>
      </c>
      <c r="O309" s="2277" t="s">
        <v>2444</v>
      </c>
    </row>
    <row r="310" spans="2:15" hidden="1" outlineLevel="1">
      <c r="B310" s="889">
        <v>3</v>
      </c>
      <c r="C310" s="3478"/>
      <c r="D310" s="1276">
        <v>3</v>
      </c>
      <c r="E310" s="2206" t="s">
        <v>376</v>
      </c>
      <c r="F310" s="950" t="s">
        <v>723</v>
      </c>
      <c r="G310" s="1382" t="s">
        <v>2287</v>
      </c>
      <c r="H310" s="894">
        <v>330317</v>
      </c>
      <c r="I310" s="922" t="s">
        <v>834</v>
      </c>
      <c r="J310" s="952" t="s">
        <v>129</v>
      </c>
      <c r="K310" s="953" t="s">
        <v>2466</v>
      </c>
      <c r="L310" s="954">
        <v>42801</v>
      </c>
      <c r="M310" s="2276" t="s">
        <v>2465</v>
      </c>
      <c r="N310" s="2283">
        <v>42811</v>
      </c>
      <c r="O310" s="2278" t="s">
        <v>2444</v>
      </c>
    </row>
    <row r="311" spans="2:15" hidden="1" outlineLevel="1">
      <c r="B311" s="889">
        <v>4</v>
      </c>
      <c r="C311" s="3478"/>
      <c r="D311" s="1037">
        <v>4</v>
      </c>
      <c r="E311" s="2207" t="s">
        <v>376</v>
      </c>
      <c r="F311" s="959" t="s">
        <v>723</v>
      </c>
      <c r="G311" s="2508" t="s">
        <v>2287</v>
      </c>
      <c r="H311" s="894">
        <v>340317</v>
      </c>
      <c r="I311" s="922" t="s">
        <v>834</v>
      </c>
      <c r="J311" s="934" t="s">
        <v>129</v>
      </c>
      <c r="K311" s="935" t="s">
        <v>2466</v>
      </c>
      <c r="L311" s="936">
        <v>42801</v>
      </c>
      <c r="M311" s="2276" t="s">
        <v>2465</v>
      </c>
      <c r="N311" s="2283">
        <v>42811</v>
      </c>
      <c r="O311" s="2277" t="s">
        <v>2444</v>
      </c>
    </row>
    <row r="312" spans="2:15" hidden="1" outlineLevel="1">
      <c r="B312" s="889">
        <v>5</v>
      </c>
      <c r="C312" s="3478"/>
      <c r="D312" s="1278">
        <v>5</v>
      </c>
      <c r="E312" s="2208" t="s">
        <v>376</v>
      </c>
      <c r="F312" s="950" t="s">
        <v>723</v>
      </c>
      <c r="G312" s="2509" t="s">
        <v>2287</v>
      </c>
      <c r="H312" s="894">
        <v>350317</v>
      </c>
      <c r="I312" s="922" t="s">
        <v>834</v>
      </c>
      <c r="J312" s="895" t="s">
        <v>129</v>
      </c>
      <c r="K312" s="896" t="s">
        <v>2466</v>
      </c>
      <c r="L312" s="897">
        <v>42801</v>
      </c>
      <c r="M312" s="2276" t="s">
        <v>2465</v>
      </c>
      <c r="N312" s="2283">
        <v>42811</v>
      </c>
      <c r="O312" s="2279" t="s">
        <v>2444</v>
      </c>
    </row>
    <row r="313" spans="2:15" hidden="1" outlineLevel="1">
      <c r="B313" s="889">
        <v>6</v>
      </c>
      <c r="C313" s="3478"/>
      <c r="D313" s="1278">
        <v>6</v>
      </c>
      <c r="E313" s="2208" t="s">
        <v>376</v>
      </c>
      <c r="F313" s="892" t="s">
        <v>723</v>
      </c>
      <c r="G313" s="2509" t="s">
        <v>2287</v>
      </c>
      <c r="H313" s="894">
        <v>360317</v>
      </c>
      <c r="I313" s="922" t="s">
        <v>834</v>
      </c>
      <c r="J313" s="895" t="s">
        <v>129</v>
      </c>
      <c r="K313" s="896" t="s">
        <v>2466</v>
      </c>
      <c r="L313" s="897">
        <v>42801</v>
      </c>
      <c r="M313" s="2276" t="s">
        <v>2465</v>
      </c>
      <c r="N313" s="2283">
        <v>42811</v>
      </c>
      <c r="O313" s="2279" t="s">
        <v>2444</v>
      </c>
    </row>
    <row r="314" spans="2:15" hidden="1" outlineLevel="1">
      <c r="B314" s="889">
        <v>7</v>
      </c>
      <c r="C314" s="3478"/>
      <c r="D314" s="1278">
        <v>7</v>
      </c>
      <c r="E314" s="2208" t="s">
        <v>376</v>
      </c>
      <c r="F314" s="892" t="s">
        <v>723</v>
      </c>
      <c r="G314" s="2509" t="s">
        <v>2287</v>
      </c>
      <c r="H314" s="894">
        <v>370317</v>
      </c>
      <c r="I314" s="922" t="s">
        <v>834</v>
      </c>
      <c r="J314" s="895" t="s">
        <v>129</v>
      </c>
      <c r="K314" s="896" t="s">
        <v>2466</v>
      </c>
      <c r="L314" s="897">
        <v>42801</v>
      </c>
      <c r="M314" s="2276" t="s">
        <v>2465</v>
      </c>
      <c r="N314" s="2283">
        <v>42811</v>
      </c>
      <c r="O314" s="2279" t="s">
        <v>2444</v>
      </c>
    </row>
    <row r="315" spans="2:15" hidden="1" outlineLevel="1">
      <c r="B315" s="889">
        <v>8</v>
      </c>
      <c r="C315" s="3478"/>
      <c r="D315" s="1278">
        <v>8</v>
      </c>
      <c r="E315" s="2208" t="s">
        <v>376</v>
      </c>
      <c r="F315" s="892" t="s">
        <v>723</v>
      </c>
      <c r="G315" s="2509" t="s">
        <v>2287</v>
      </c>
      <c r="H315" s="894">
        <v>380317</v>
      </c>
      <c r="I315" s="934" t="s">
        <v>834</v>
      </c>
      <c r="J315" s="895" t="s">
        <v>129</v>
      </c>
      <c r="K315" s="896" t="s">
        <v>2466</v>
      </c>
      <c r="L315" s="897">
        <v>42801</v>
      </c>
      <c r="M315" s="2276" t="s">
        <v>2465</v>
      </c>
      <c r="N315" s="2285">
        <v>42811</v>
      </c>
      <c r="O315" s="2279" t="s">
        <v>2444</v>
      </c>
    </row>
    <row r="316" spans="2:15" hidden="1" outlineLevel="1">
      <c r="B316" s="889">
        <v>9</v>
      </c>
      <c r="C316" s="3478"/>
      <c r="D316" s="1276">
        <v>9</v>
      </c>
      <c r="E316" s="2206" t="s">
        <v>376</v>
      </c>
      <c r="F316" s="950" t="s">
        <v>723</v>
      </c>
      <c r="G316" s="1382" t="s">
        <v>2287</v>
      </c>
      <c r="H316" s="894">
        <v>390317</v>
      </c>
      <c r="I316" s="922" t="s">
        <v>834</v>
      </c>
      <c r="J316" s="952" t="s">
        <v>129</v>
      </c>
      <c r="K316" s="953" t="s">
        <v>2466</v>
      </c>
      <c r="L316" s="954">
        <v>42801</v>
      </c>
      <c r="M316" s="2276" t="s">
        <v>2465</v>
      </c>
      <c r="N316" s="2284">
        <v>42812</v>
      </c>
      <c r="O316" s="2278" t="s">
        <v>2444</v>
      </c>
    </row>
    <row r="317" spans="2:15" hidden="1" outlineLevel="1">
      <c r="B317" s="889">
        <v>10</v>
      </c>
      <c r="C317" s="3478"/>
      <c r="D317" s="1037">
        <v>10</v>
      </c>
      <c r="E317" s="2207" t="s">
        <v>376</v>
      </c>
      <c r="F317" s="959" t="s">
        <v>723</v>
      </c>
      <c r="G317" s="2508" t="s">
        <v>2287</v>
      </c>
      <c r="H317" s="894">
        <v>400317</v>
      </c>
      <c r="I317" s="922" t="s">
        <v>834</v>
      </c>
      <c r="J317" s="934" t="s">
        <v>129</v>
      </c>
      <c r="K317" s="935" t="s">
        <v>2466</v>
      </c>
      <c r="L317" s="936">
        <v>42801</v>
      </c>
      <c r="M317" s="2276" t="s">
        <v>2465</v>
      </c>
      <c r="N317" s="2283">
        <v>42812</v>
      </c>
      <c r="O317" s="2277" t="s">
        <v>2444</v>
      </c>
    </row>
    <row r="318" spans="2:15" hidden="1" outlineLevel="1">
      <c r="B318" s="889">
        <v>11</v>
      </c>
      <c r="C318" s="3478"/>
      <c r="D318" s="1078">
        <v>11</v>
      </c>
      <c r="E318" s="2205" t="s">
        <v>376</v>
      </c>
      <c r="F318" s="940" t="s">
        <v>723</v>
      </c>
      <c r="G318" s="1381" t="s">
        <v>2287</v>
      </c>
      <c r="H318" s="942">
        <v>410317</v>
      </c>
      <c r="I318" s="922" t="s">
        <v>834</v>
      </c>
      <c r="J318" s="922" t="s">
        <v>129</v>
      </c>
      <c r="K318" s="943" t="s">
        <v>2466</v>
      </c>
      <c r="L318" s="944">
        <v>42801</v>
      </c>
      <c r="M318" s="2276" t="s">
        <v>2465</v>
      </c>
      <c r="N318" s="2286">
        <v>42812</v>
      </c>
      <c r="O318" s="2280" t="s">
        <v>2444</v>
      </c>
    </row>
    <row r="319" spans="2:15" ht="15.75" hidden="1" outlineLevel="1" thickBot="1">
      <c r="B319" s="900">
        <v>12</v>
      </c>
      <c r="C319" s="3479"/>
      <c r="D319" s="1098">
        <v>12</v>
      </c>
      <c r="E319" s="2209" t="s">
        <v>376</v>
      </c>
      <c r="F319" s="2169" t="s">
        <v>723</v>
      </c>
      <c r="G319" s="1385" t="s">
        <v>2287</v>
      </c>
      <c r="H319" s="906">
        <v>420317</v>
      </c>
      <c r="I319" s="1295" t="s">
        <v>834</v>
      </c>
      <c r="J319" s="1295" t="s">
        <v>129</v>
      </c>
      <c r="K319" s="1256" t="s">
        <v>2466</v>
      </c>
      <c r="L319" s="1163">
        <v>42801</v>
      </c>
      <c r="M319" s="909" t="s">
        <v>2465</v>
      </c>
      <c r="N319" s="2287">
        <v>42812</v>
      </c>
      <c r="O319" s="2281" t="s">
        <v>2444</v>
      </c>
    </row>
    <row r="320" spans="2:15" ht="8.1" customHeight="1" collapsed="1">
      <c r="D320" s="2668"/>
      <c r="G320" s="2664"/>
      <c r="I320" s="2666"/>
      <c r="M320" s="98"/>
      <c r="N320" s="2666"/>
      <c r="O320" s="2353"/>
    </row>
    <row r="321" spans="2:16" s="463" customFormat="1" ht="20.100000000000001" hidden="1" customHeight="1" outlineLevel="1" thickBot="1">
      <c r="B321" s="874" t="s">
        <v>704</v>
      </c>
      <c r="C321" s="875" t="s">
        <v>113</v>
      </c>
      <c r="D321" s="876" t="s">
        <v>176</v>
      </c>
      <c r="E321" s="877" t="s">
        <v>114</v>
      </c>
      <c r="F321" s="878" t="s">
        <v>705</v>
      </c>
      <c r="G321" s="2507" t="s">
        <v>115</v>
      </c>
      <c r="H321" s="880" t="s">
        <v>116</v>
      </c>
      <c r="I321" s="2554" t="s">
        <v>117</v>
      </c>
      <c r="J321" s="882" t="s">
        <v>118</v>
      </c>
      <c r="K321" s="883" t="s">
        <v>119</v>
      </c>
      <c r="L321" s="884" t="s">
        <v>713</v>
      </c>
      <c r="M321" s="885" t="s">
        <v>120</v>
      </c>
      <c r="N321" s="886" t="s">
        <v>121</v>
      </c>
      <c r="O321" s="887" t="s">
        <v>719</v>
      </c>
    </row>
    <row r="322" spans="2:16" ht="16.5" hidden="1" outlineLevel="1" thickTop="1" thickBot="1">
      <c r="B322" s="977">
        <v>1</v>
      </c>
      <c r="C322" s="3477" t="s">
        <v>281</v>
      </c>
      <c r="D322" s="2433" t="s">
        <v>1865</v>
      </c>
      <c r="E322" s="2434" t="s">
        <v>2514</v>
      </c>
      <c r="F322" s="2435" t="s">
        <v>723</v>
      </c>
      <c r="G322" s="2514" t="s">
        <v>2515</v>
      </c>
      <c r="H322" s="2436" t="s">
        <v>2516</v>
      </c>
      <c r="I322" s="2437" t="s">
        <v>1860</v>
      </c>
      <c r="J322" s="2437" t="s">
        <v>835</v>
      </c>
      <c r="K322" s="2438" t="s">
        <v>2467</v>
      </c>
      <c r="L322" s="2439">
        <v>42861</v>
      </c>
      <c r="M322" s="2440" t="s">
        <v>2109</v>
      </c>
      <c r="N322" s="2441">
        <v>42863</v>
      </c>
      <c r="O322" s="2442" t="s">
        <v>2453</v>
      </c>
    </row>
    <row r="323" spans="2:16" ht="15.2" hidden="1" customHeight="1" outlineLevel="1">
      <c r="B323" s="889">
        <v>2</v>
      </c>
      <c r="C323" s="3478"/>
      <c r="D323" s="1078">
        <v>1</v>
      </c>
      <c r="E323" s="2058" t="s">
        <v>133</v>
      </c>
      <c r="F323" s="2432" t="s">
        <v>723</v>
      </c>
      <c r="G323" s="1381" t="s">
        <v>253</v>
      </c>
      <c r="H323" s="942">
        <v>440517</v>
      </c>
      <c r="I323" s="922" t="s">
        <v>179</v>
      </c>
      <c r="J323" s="922" t="s">
        <v>129</v>
      </c>
      <c r="K323" s="943" t="s">
        <v>2384</v>
      </c>
      <c r="L323" s="944">
        <v>42875</v>
      </c>
      <c r="M323" s="945" t="s">
        <v>161</v>
      </c>
      <c r="N323" s="1274">
        <v>42900</v>
      </c>
      <c r="O323" s="1504" t="s">
        <v>258</v>
      </c>
      <c r="P323" s="928"/>
    </row>
    <row r="324" spans="2:16" hidden="1" outlineLevel="1">
      <c r="B324" s="977">
        <v>3</v>
      </c>
      <c r="C324" s="3478"/>
      <c r="D324" s="2422">
        <v>2</v>
      </c>
      <c r="E324" s="2423" t="s">
        <v>133</v>
      </c>
      <c r="F324" s="2424" t="s">
        <v>723</v>
      </c>
      <c r="G324" s="2515" t="s">
        <v>253</v>
      </c>
      <c r="H324" s="2425">
        <v>450517</v>
      </c>
      <c r="I324" s="2426" t="s">
        <v>179</v>
      </c>
      <c r="J324" s="2426" t="s">
        <v>129</v>
      </c>
      <c r="K324" s="2427" t="s">
        <v>2384</v>
      </c>
      <c r="L324" s="2428">
        <v>42875</v>
      </c>
      <c r="M324" s="2429" t="s">
        <v>161</v>
      </c>
      <c r="N324" s="2430">
        <v>42900</v>
      </c>
      <c r="O324" s="2431" t="s">
        <v>258</v>
      </c>
      <c r="P324" s="928"/>
    </row>
    <row r="325" spans="2:16" hidden="1" outlineLevel="1">
      <c r="B325" s="889">
        <v>4</v>
      </c>
      <c r="C325" s="3478"/>
      <c r="D325" s="1078">
        <v>3</v>
      </c>
      <c r="E325" s="939" t="s">
        <v>133</v>
      </c>
      <c r="F325" s="940" t="s">
        <v>723</v>
      </c>
      <c r="G325" s="1381" t="s">
        <v>682</v>
      </c>
      <c r="H325" s="894">
        <v>460517</v>
      </c>
      <c r="I325" s="922" t="s">
        <v>183</v>
      </c>
      <c r="J325" s="922" t="s">
        <v>129</v>
      </c>
      <c r="K325" s="943" t="s">
        <v>2384</v>
      </c>
      <c r="L325" s="944">
        <v>42875</v>
      </c>
      <c r="M325" s="945" t="s">
        <v>161</v>
      </c>
      <c r="N325" s="1274">
        <v>42900</v>
      </c>
      <c r="O325" s="947" t="s">
        <v>258</v>
      </c>
    </row>
    <row r="326" spans="2:16" hidden="1" outlineLevel="1">
      <c r="B326" s="889">
        <v>5</v>
      </c>
      <c r="C326" s="3478"/>
      <c r="D326" s="1037">
        <v>4</v>
      </c>
      <c r="E326" s="939" t="s">
        <v>133</v>
      </c>
      <c r="F326" s="940" t="s">
        <v>723</v>
      </c>
      <c r="G326" s="2508" t="s">
        <v>682</v>
      </c>
      <c r="H326" s="894">
        <v>470517</v>
      </c>
      <c r="I326" s="922" t="s">
        <v>183</v>
      </c>
      <c r="J326" s="922" t="s">
        <v>129</v>
      </c>
      <c r="K326" s="943" t="s">
        <v>2384</v>
      </c>
      <c r="L326" s="936">
        <v>42875</v>
      </c>
      <c r="M326" s="945" t="s">
        <v>161</v>
      </c>
      <c r="N326" s="1275">
        <v>42900</v>
      </c>
      <c r="O326" s="938" t="s">
        <v>258</v>
      </c>
    </row>
    <row r="327" spans="2:16" hidden="1" outlineLevel="1">
      <c r="B327" s="889">
        <v>6</v>
      </c>
      <c r="C327" s="3478"/>
      <c r="D327" s="1276">
        <v>5</v>
      </c>
      <c r="E327" s="949" t="s">
        <v>133</v>
      </c>
      <c r="F327" s="950" t="s">
        <v>723</v>
      </c>
      <c r="G327" s="1382" t="s">
        <v>682</v>
      </c>
      <c r="H327" s="894">
        <v>480517</v>
      </c>
      <c r="I327" s="922" t="s">
        <v>183</v>
      </c>
      <c r="J327" s="952" t="s">
        <v>129</v>
      </c>
      <c r="K327" s="953" t="s">
        <v>2384</v>
      </c>
      <c r="L327" s="954">
        <v>42875</v>
      </c>
      <c r="M327" s="955" t="s">
        <v>161</v>
      </c>
      <c r="N327" s="1277">
        <v>42900</v>
      </c>
      <c r="O327" s="957" t="s">
        <v>258</v>
      </c>
    </row>
    <row r="328" spans="2:16" hidden="1" outlineLevel="1">
      <c r="B328" s="889">
        <v>7</v>
      </c>
      <c r="C328" s="3478"/>
      <c r="D328" s="1037">
        <v>6</v>
      </c>
      <c r="E328" s="958" t="s">
        <v>133</v>
      </c>
      <c r="F328" s="959" t="s">
        <v>723</v>
      </c>
      <c r="G328" s="2508" t="s">
        <v>682</v>
      </c>
      <c r="H328" s="894">
        <v>490517</v>
      </c>
      <c r="I328" s="922" t="s">
        <v>183</v>
      </c>
      <c r="J328" s="934" t="s">
        <v>129</v>
      </c>
      <c r="K328" s="935" t="s">
        <v>2384</v>
      </c>
      <c r="L328" s="936">
        <v>42875</v>
      </c>
      <c r="M328" s="960" t="s">
        <v>161</v>
      </c>
      <c r="N328" s="1275">
        <v>42900</v>
      </c>
      <c r="O328" s="938" t="s">
        <v>258</v>
      </c>
    </row>
    <row r="329" spans="2:16" hidden="1" outlineLevel="1">
      <c r="B329" s="889">
        <v>8</v>
      </c>
      <c r="C329" s="3478"/>
      <c r="D329" s="1278">
        <v>7</v>
      </c>
      <c r="E329" s="891" t="s">
        <v>133</v>
      </c>
      <c r="F329" s="950" t="s">
        <v>723</v>
      </c>
      <c r="G329" s="2509" t="s">
        <v>682</v>
      </c>
      <c r="H329" s="894">
        <v>500517</v>
      </c>
      <c r="I329" s="922" t="s">
        <v>183</v>
      </c>
      <c r="J329" s="895" t="s">
        <v>129</v>
      </c>
      <c r="K329" s="896" t="s">
        <v>2384</v>
      </c>
      <c r="L329" s="897">
        <v>42875</v>
      </c>
      <c r="M329" s="852" t="s">
        <v>161</v>
      </c>
      <c r="N329" s="1279">
        <v>42900</v>
      </c>
      <c r="O329" s="899" t="s">
        <v>258</v>
      </c>
    </row>
    <row r="330" spans="2:16" hidden="1" outlineLevel="1">
      <c r="B330" s="889">
        <v>9</v>
      </c>
      <c r="C330" s="3478"/>
      <c r="D330" s="1278">
        <v>8</v>
      </c>
      <c r="E330" s="891" t="s">
        <v>133</v>
      </c>
      <c r="F330" s="892" t="s">
        <v>723</v>
      </c>
      <c r="G330" s="2509" t="s">
        <v>682</v>
      </c>
      <c r="H330" s="894">
        <v>510517</v>
      </c>
      <c r="I330" s="922" t="s">
        <v>183</v>
      </c>
      <c r="J330" s="895" t="s">
        <v>129</v>
      </c>
      <c r="K330" s="896" t="s">
        <v>2384</v>
      </c>
      <c r="L330" s="897">
        <v>42875</v>
      </c>
      <c r="M330" s="852" t="s">
        <v>161</v>
      </c>
      <c r="N330" s="1279">
        <v>42900</v>
      </c>
      <c r="O330" s="899" t="s">
        <v>258</v>
      </c>
    </row>
    <row r="331" spans="2:16" hidden="1" outlineLevel="1">
      <c r="B331" s="889">
        <v>10</v>
      </c>
      <c r="C331" s="3478"/>
      <c r="D331" s="1278">
        <v>9</v>
      </c>
      <c r="E331" s="891" t="s">
        <v>133</v>
      </c>
      <c r="F331" s="892" t="s">
        <v>723</v>
      </c>
      <c r="G331" s="2509" t="s">
        <v>682</v>
      </c>
      <c r="H331" s="894">
        <v>520517</v>
      </c>
      <c r="I331" s="922" t="s">
        <v>183</v>
      </c>
      <c r="J331" s="895" t="s">
        <v>129</v>
      </c>
      <c r="K331" s="896" t="s">
        <v>2384</v>
      </c>
      <c r="L331" s="897">
        <v>42875</v>
      </c>
      <c r="M331" s="852" t="s">
        <v>161</v>
      </c>
      <c r="N331" s="1279">
        <v>42900</v>
      </c>
      <c r="O331" s="899" t="s">
        <v>258</v>
      </c>
    </row>
    <row r="332" spans="2:16" ht="15.75" hidden="1" outlineLevel="1" thickBot="1">
      <c r="B332" s="900">
        <v>11</v>
      </c>
      <c r="C332" s="3479"/>
      <c r="D332" s="1280">
        <v>10</v>
      </c>
      <c r="E332" s="903" t="s">
        <v>133</v>
      </c>
      <c r="F332" s="904" t="s">
        <v>723</v>
      </c>
      <c r="G332" s="2516" t="s">
        <v>682</v>
      </c>
      <c r="H332" s="906">
        <v>530517</v>
      </c>
      <c r="I332" s="1295" t="s">
        <v>183</v>
      </c>
      <c r="J332" s="908" t="s">
        <v>129</v>
      </c>
      <c r="K332" s="909" t="s">
        <v>2384</v>
      </c>
      <c r="L332" s="910">
        <v>42875</v>
      </c>
      <c r="M332" s="911" t="s">
        <v>161</v>
      </c>
      <c r="N332" s="1281">
        <v>42900</v>
      </c>
      <c r="O332" s="913" t="s">
        <v>258</v>
      </c>
    </row>
    <row r="333" spans="2:16" ht="8.1" customHeight="1" collapsed="1">
      <c r="M333" s="2381"/>
      <c r="N333" s="2381"/>
      <c r="O333" s="2353"/>
    </row>
    <row r="334" spans="2:16" s="463" customFormat="1" ht="20.100000000000001" hidden="1" customHeight="1" outlineLevel="1" thickBot="1">
      <c r="B334" s="874" t="s">
        <v>704</v>
      </c>
      <c r="C334" s="875" t="s">
        <v>113</v>
      </c>
      <c r="D334" s="876" t="s">
        <v>176</v>
      </c>
      <c r="E334" s="877" t="s">
        <v>114</v>
      </c>
      <c r="F334" s="878" t="s">
        <v>705</v>
      </c>
      <c r="G334" s="2507" t="s">
        <v>115</v>
      </c>
      <c r="H334" s="880" t="s">
        <v>116</v>
      </c>
      <c r="I334" s="2554" t="s">
        <v>117</v>
      </c>
      <c r="J334" s="882" t="s">
        <v>118</v>
      </c>
      <c r="K334" s="883" t="s">
        <v>119</v>
      </c>
      <c r="L334" s="884" t="s">
        <v>713</v>
      </c>
      <c r="M334" s="885" t="s">
        <v>120</v>
      </c>
      <c r="N334" s="886" t="s">
        <v>121</v>
      </c>
      <c r="O334" s="887" t="s">
        <v>719</v>
      </c>
    </row>
    <row r="335" spans="2:16" ht="15.75" hidden="1" customHeight="1" outlineLevel="1" thickTop="1">
      <c r="B335" s="889">
        <v>1</v>
      </c>
      <c r="C335" s="3477" t="s">
        <v>264</v>
      </c>
      <c r="D335" s="1078">
        <v>1</v>
      </c>
      <c r="E335" s="2205" t="s">
        <v>376</v>
      </c>
      <c r="F335" s="940" t="s">
        <v>723</v>
      </c>
      <c r="G335" s="1381" t="s">
        <v>2287</v>
      </c>
      <c r="H335" s="894">
        <v>540617</v>
      </c>
      <c r="I335" s="922" t="s">
        <v>834</v>
      </c>
      <c r="J335" s="922" t="s">
        <v>129</v>
      </c>
      <c r="K335" s="982" t="s">
        <v>2587</v>
      </c>
      <c r="L335" s="944">
        <v>42895</v>
      </c>
      <c r="M335" s="2105" t="s">
        <v>2609</v>
      </c>
      <c r="N335" s="2282">
        <v>42917</v>
      </c>
      <c r="O335" s="1505" t="s">
        <v>2444</v>
      </c>
    </row>
    <row r="336" spans="2:16" hidden="1" outlineLevel="1">
      <c r="B336" s="889">
        <v>2</v>
      </c>
      <c r="C336" s="3478"/>
      <c r="D336" s="1037">
        <v>2</v>
      </c>
      <c r="E336" s="2205" t="s">
        <v>376</v>
      </c>
      <c r="F336" s="940" t="s">
        <v>723</v>
      </c>
      <c r="G336" s="2508" t="s">
        <v>2287</v>
      </c>
      <c r="H336" s="894">
        <v>550617</v>
      </c>
      <c r="I336" s="922" t="s">
        <v>834</v>
      </c>
      <c r="J336" s="922" t="s">
        <v>129</v>
      </c>
      <c r="K336" s="943" t="s">
        <v>2587</v>
      </c>
      <c r="L336" s="936">
        <v>42895</v>
      </c>
      <c r="M336" s="2276" t="s">
        <v>2609</v>
      </c>
      <c r="N336" s="2283">
        <v>42917</v>
      </c>
      <c r="O336" s="2277" t="s">
        <v>2444</v>
      </c>
    </row>
    <row r="337" spans="2:15" hidden="1" outlineLevel="1">
      <c r="B337" s="889">
        <v>3</v>
      </c>
      <c r="C337" s="3478"/>
      <c r="D337" s="1276">
        <v>3</v>
      </c>
      <c r="E337" s="2206" t="s">
        <v>376</v>
      </c>
      <c r="F337" s="950" t="s">
        <v>723</v>
      </c>
      <c r="G337" s="1382" t="s">
        <v>2287</v>
      </c>
      <c r="H337" s="894">
        <v>560617</v>
      </c>
      <c r="I337" s="922" t="s">
        <v>834</v>
      </c>
      <c r="J337" s="952" t="s">
        <v>129</v>
      </c>
      <c r="K337" s="953" t="s">
        <v>2587</v>
      </c>
      <c r="L337" s="954">
        <v>42895</v>
      </c>
      <c r="M337" s="2276" t="s">
        <v>2609</v>
      </c>
      <c r="N337" s="2284">
        <v>42917</v>
      </c>
      <c r="O337" s="2278" t="s">
        <v>2444</v>
      </c>
    </row>
    <row r="338" spans="2:15" hidden="1" outlineLevel="1">
      <c r="B338" s="889">
        <v>4</v>
      </c>
      <c r="C338" s="3478"/>
      <c r="D338" s="1037">
        <v>4</v>
      </c>
      <c r="E338" s="2207" t="s">
        <v>376</v>
      </c>
      <c r="F338" s="959" t="s">
        <v>723</v>
      </c>
      <c r="G338" s="2508" t="s">
        <v>2287</v>
      </c>
      <c r="H338" s="894">
        <v>570617</v>
      </c>
      <c r="I338" s="922" t="s">
        <v>834</v>
      </c>
      <c r="J338" s="934" t="s">
        <v>129</v>
      </c>
      <c r="K338" s="935" t="s">
        <v>2587</v>
      </c>
      <c r="L338" s="936">
        <v>42895</v>
      </c>
      <c r="M338" s="2276" t="s">
        <v>2609</v>
      </c>
      <c r="N338" s="2283">
        <v>42917</v>
      </c>
      <c r="O338" s="2277" t="s">
        <v>2444</v>
      </c>
    </row>
    <row r="339" spans="2:15" hidden="1" outlineLevel="1">
      <c r="B339" s="889">
        <v>5</v>
      </c>
      <c r="C339" s="3478"/>
      <c r="D339" s="1278">
        <v>5</v>
      </c>
      <c r="E339" s="2208" t="s">
        <v>376</v>
      </c>
      <c r="F339" s="950" t="s">
        <v>723</v>
      </c>
      <c r="G339" s="2509" t="s">
        <v>2287</v>
      </c>
      <c r="H339" s="894">
        <v>580617</v>
      </c>
      <c r="I339" s="922" t="s">
        <v>834</v>
      </c>
      <c r="J339" s="895" t="s">
        <v>129</v>
      </c>
      <c r="K339" s="896" t="s">
        <v>2587</v>
      </c>
      <c r="L339" s="897">
        <v>42895</v>
      </c>
      <c r="M339" s="2276" t="s">
        <v>2609</v>
      </c>
      <c r="N339" s="2285">
        <v>42917</v>
      </c>
      <c r="O339" s="2279" t="s">
        <v>2444</v>
      </c>
    </row>
    <row r="340" spans="2:15" hidden="1" outlineLevel="1">
      <c r="B340" s="889">
        <v>6</v>
      </c>
      <c r="C340" s="3478"/>
      <c r="D340" s="1278">
        <v>6</v>
      </c>
      <c r="E340" s="2208" t="s">
        <v>376</v>
      </c>
      <c r="F340" s="892" t="s">
        <v>723</v>
      </c>
      <c r="G340" s="2509" t="s">
        <v>2287</v>
      </c>
      <c r="H340" s="894">
        <v>590617</v>
      </c>
      <c r="I340" s="922" t="s">
        <v>834</v>
      </c>
      <c r="J340" s="895" t="s">
        <v>129</v>
      </c>
      <c r="K340" s="896" t="s">
        <v>2587</v>
      </c>
      <c r="L340" s="897">
        <v>42895</v>
      </c>
      <c r="M340" s="2276" t="s">
        <v>2609</v>
      </c>
      <c r="N340" s="2285">
        <v>42917</v>
      </c>
      <c r="O340" s="2279" t="s">
        <v>2444</v>
      </c>
    </row>
    <row r="341" spans="2:15" hidden="1" outlineLevel="1">
      <c r="B341" s="889">
        <v>7</v>
      </c>
      <c r="C341" s="3478"/>
      <c r="D341" s="1278">
        <v>7</v>
      </c>
      <c r="E341" s="2208" t="s">
        <v>376</v>
      </c>
      <c r="F341" s="892" t="s">
        <v>723</v>
      </c>
      <c r="G341" s="2509" t="s">
        <v>2287</v>
      </c>
      <c r="H341" s="894">
        <v>600617</v>
      </c>
      <c r="I341" s="922" t="s">
        <v>834</v>
      </c>
      <c r="J341" s="895" t="s">
        <v>129</v>
      </c>
      <c r="K341" s="896" t="s">
        <v>2587</v>
      </c>
      <c r="L341" s="897">
        <v>42895</v>
      </c>
      <c r="M341" s="2276" t="s">
        <v>2609</v>
      </c>
      <c r="N341" s="2285">
        <v>42917</v>
      </c>
      <c r="O341" s="2279" t="s">
        <v>2444</v>
      </c>
    </row>
    <row r="342" spans="2:15" hidden="1" outlineLevel="1">
      <c r="B342" s="889">
        <v>8</v>
      </c>
      <c r="C342" s="3478"/>
      <c r="D342" s="1278">
        <v>8</v>
      </c>
      <c r="E342" s="2208" t="s">
        <v>376</v>
      </c>
      <c r="F342" s="892" t="s">
        <v>723</v>
      </c>
      <c r="G342" s="2509" t="s">
        <v>2287</v>
      </c>
      <c r="H342" s="894">
        <v>610617</v>
      </c>
      <c r="I342" s="934" t="s">
        <v>834</v>
      </c>
      <c r="J342" s="895" t="s">
        <v>129</v>
      </c>
      <c r="K342" s="896" t="s">
        <v>2587</v>
      </c>
      <c r="L342" s="897">
        <v>42895</v>
      </c>
      <c r="M342" s="2276" t="s">
        <v>2609</v>
      </c>
      <c r="N342" s="2285">
        <v>42917</v>
      </c>
      <c r="O342" s="2279" t="s">
        <v>2444</v>
      </c>
    </row>
    <row r="343" spans="2:15" hidden="1" outlineLevel="1">
      <c r="B343" s="889">
        <v>9</v>
      </c>
      <c r="C343" s="3478"/>
      <c r="D343" s="1276">
        <v>9</v>
      </c>
      <c r="E343" s="2206" t="s">
        <v>376</v>
      </c>
      <c r="F343" s="950" t="s">
        <v>723</v>
      </c>
      <c r="G343" s="1382" t="s">
        <v>2287</v>
      </c>
      <c r="H343" s="894">
        <v>620617</v>
      </c>
      <c r="I343" s="922" t="s">
        <v>834</v>
      </c>
      <c r="J343" s="952" t="s">
        <v>129</v>
      </c>
      <c r="K343" s="953" t="s">
        <v>2587</v>
      </c>
      <c r="L343" s="954">
        <v>42895</v>
      </c>
      <c r="M343" s="2276" t="s">
        <v>2609</v>
      </c>
      <c r="N343" s="2284">
        <v>42919</v>
      </c>
      <c r="O343" s="2278" t="s">
        <v>2444</v>
      </c>
    </row>
    <row r="344" spans="2:15" hidden="1" outlineLevel="1">
      <c r="B344" s="889">
        <v>10</v>
      </c>
      <c r="C344" s="3478"/>
      <c r="D344" s="1037">
        <v>10</v>
      </c>
      <c r="E344" s="2207" t="s">
        <v>376</v>
      </c>
      <c r="F344" s="959" t="s">
        <v>723</v>
      </c>
      <c r="G344" s="2508" t="s">
        <v>2287</v>
      </c>
      <c r="H344" s="894">
        <v>630617</v>
      </c>
      <c r="I344" s="922" t="s">
        <v>834</v>
      </c>
      <c r="J344" s="934" t="s">
        <v>129</v>
      </c>
      <c r="K344" s="935" t="s">
        <v>2587</v>
      </c>
      <c r="L344" s="936">
        <v>42895</v>
      </c>
      <c r="M344" s="2276" t="s">
        <v>2609</v>
      </c>
      <c r="N344" s="2283">
        <v>42919</v>
      </c>
      <c r="O344" s="2277" t="s">
        <v>2444</v>
      </c>
    </row>
    <row r="345" spans="2:15" hidden="1" outlineLevel="1">
      <c r="B345" s="889">
        <v>11</v>
      </c>
      <c r="C345" s="3478"/>
      <c r="D345" s="1078">
        <v>11</v>
      </c>
      <c r="E345" s="2205" t="s">
        <v>376</v>
      </c>
      <c r="F345" s="940" t="s">
        <v>723</v>
      </c>
      <c r="G345" s="1381" t="s">
        <v>2287</v>
      </c>
      <c r="H345" s="942">
        <v>640617</v>
      </c>
      <c r="I345" s="922" t="s">
        <v>834</v>
      </c>
      <c r="J345" s="922" t="s">
        <v>129</v>
      </c>
      <c r="K345" s="943" t="s">
        <v>2587</v>
      </c>
      <c r="L345" s="944">
        <v>42895</v>
      </c>
      <c r="M345" s="2276" t="s">
        <v>2609</v>
      </c>
      <c r="N345" s="2286">
        <v>42919</v>
      </c>
      <c r="O345" s="2280" t="s">
        <v>2444</v>
      </c>
    </row>
    <row r="346" spans="2:15" ht="15.75" hidden="1" outlineLevel="1" thickBot="1">
      <c r="B346" s="2465">
        <v>12</v>
      </c>
      <c r="C346" s="3478"/>
      <c r="D346" s="1276">
        <v>12</v>
      </c>
      <c r="E346" s="2466" t="s">
        <v>376</v>
      </c>
      <c r="F346" s="2467" t="s">
        <v>723</v>
      </c>
      <c r="G346" s="1382" t="s">
        <v>2287</v>
      </c>
      <c r="H346" s="2468">
        <v>650617</v>
      </c>
      <c r="I346" s="1433" t="s">
        <v>834</v>
      </c>
      <c r="J346" s="1433" t="s">
        <v>129</v>
      </c>
      <c r="K346" s="1434" t="s">
        <v>2587</v>
      </c>
      <c r="L346" s="954">
        <v>42895</v>
      </c>
      <c r="M346" s="2469" t="s">
        <v>2609</v>
      </c>
      <c r="N346" s="2284">
        <v>42919</v>
      </c>
      <c r="O346" s="2281" t="s">
        <v>2444</v>
      </c>
    </row>
    <row r="347" spans="2:15" ht="15.75" hidden="1" customHeight="1" outlineLevel="1">
      <c r="B347" s="2593">
        <v>13</v>
      </c>
      <c r="C347" s="3478"/>
      <c r="D347" s="2600">
        <v>1</v>
      </c>
      <c r="E347" s="2592" t="s">
        <v>133</v>
      </c>
      <c r="F347" s="2470" t="s">
        <v>723</v>
      </c>
      <c r="G347" s="2517" t="s">
        <v>2652</v>
      </c>
      <c r="H347" s="2471">
        <v>660617</v>
      </c>
      <c r="I347" s="2472" t="s">
        <v>179</v>
      </c>
      <c r="J347" s="2472" t="s">
        <v>129</v>
      </c>
      <c r="K347" s="2473" t="s">
        <v>2607</v>
      </c>
      <c r="L347" s="2474">
        <v>42913</v>
      </c>
      <c r="M347" s="2475" t="s">
        <v>193</v>
      </c>
      <c r="N347" s="2476">
        <v>42913</v>
      </c>
      <c r="O347" s="1505" t="s">
        <v>2444</v>
      </c>
    </row>
    <row r="348" spans="2:15" ht="16.5" hidden="1" outlineLevel="1" thickBot="1">
      <c r="B348" s="2594">
        <v>14</v>
      </c>
      <c r="C348" s="3478"/>
      <c r="D348" s="2599">
        <v>2</v>
      </c>
      <c r="E348" s="2479" t="s">
        <v>133</v>
      </c>
      <c r="F348" s="2480" t="s">
        <v>723</v>
      </c>
      <c r="G348" s="2518" t="s">
        <v>2652</v>
      </c>
      <c r="H348" s="2481">
        <v>670617</v>
      </c>
      <c r="I348" s="2482" t="s">
        <v>179</v>
      </c>
      <c r="J348" s="2482" t="s">
        <v>129</v>
      </c>
      <c r="K348" s="2483" t="s">
        <v>2607</v>
      </c>
      <c r="L348" s="2484">
        <v>42913</v>
      </c>
      <c r="M348" s="2485" t="s">
        <v>193</v>
      </c>
      <c r="N348" s="2486">
        <v>42913</v>
      </c>
      <c r="O348" s="2277" t="s">
        <v>2444</v>
      </c>
    </row>
    <row r="349" spans="2:15" ht="15.75" hidden="1" outlineLevel="1">
      <c r="B349" s="2595">
        <v>15</v>
      </c>
      <c r="C349" s="3478"/>
      <c r="D349" s="2601">
        <v>1</v>
      </c>
      <c r="E349" s="2205" t="s">
        <v>133</v>
      </c>
      <c r="F349" s="940" t="s">
        <v>723</v>
      </c>
      <c r="G349" s="1381" t="s">
        <v>2652</v>
      </c>
      <c r="H349" s="942">
        <v>680617</v>
      </c>
      <c r="I349" s="922" t="s">
        <v>179</v>
      </c>
      <c r="J349" s="922" t="s">
        <v>129</v>
      </c>
      <c r="K349" s="943" t="s">
        <v>2607</v>
      </c>
      <c r="L349" s="944">
        <v>42913</v>
      </c>
      <c r="M349" s="2105" t="s">
        <v>2610</v>
      </c>
      <c r="N349" s="2286">
        <v>42914</v>
      </c>
      <c r="O349" s="2278" t="s">
        <v>2444</v>
      </c>
    </row>
    <row r="350" spans="2:15" ht="16.5" hidden="1" outlineLevel="1" thickBot="1">
      <c r="B350" s="2594">
        <v>16</v>
      </c>
      <c r="C350" s="3478"/>
      <c r="D350" s="2599">
        <v>2</v>
      </c>
      <c r="E350" s="2479" t="s">
        <v>133</v>
      </c>
      <c r="F350" s="2480" t="s">
        <v>723</v>
      </c>
      <c r="G350" s="2518" t="s">
        <v>2652</v>
      </c>
      <c r="H350" s="2481">
        <v>690617</v>
      </c>
      <c r="I350" s="2482" t="s">
        <v>179</v>
      </c>
      <c r="J350" s="2482" t="s">
        <v>129</v>
      </c>
      <c r="K350" s="2483" t="s">
        <v>2607</v>
      </c>
      <c r="L350" s="2484">
        <v>42913</v>
      </c>
      <c r="M350" s="2485" t="s">
        <v>2610</v>
      </c>
      <c r="N350" s="2486">
        <v>42914</v>
      </c>
      <c r="O350" s="2277" t="s">
        <v>2444</v>
      </c>
    </row>
    <row r="351" spans="2:15" ht="15.75" hidden="1" outlineLevel="1">
      <c r="B351" s="2596">
        <v>17</v>
      </c>
      <c r="C351" s="3478"/>
      <c r="D351" s="2598">
        <v>1</v>
      </c>
      <c r="E351" s="2208" t="s">
        <v>133</v>
      </c>
      <c r="F351" s="2478" t="s">
        <v>723</v>
      </c>
      <c r="G351" s="2509" t="s">
        <v>2652</v>
      </c>
      <c r="H351" s="894">
        <v>700617</v>
      </c>
      <c r="I351" s="934" t="s">
        <v>179</v>
      </c>
      <c r="J351" s="895" t="s">
        <v>129</v>
      </c>
      <c r="K351" s="896" t="s">
        <v>2607</v>
      </c>
      <c r="L351" s="897">
        <v>42913</v>
      </c>
      <c r="M351" s="852" t="s">
        <v>152</v>
      </c>
      <c r="N351" s="2285">
        <v>42916</v>
      </c>
      <c r="O351" s="2279" t="s">
        <v>2444</v>
      </c>
    </row>
    <row r="352" spans="2:15" ht="16.5" hidden="1" outlineLevel="1" thickBot="1">
      <c r="B352" s="2597">
        <v>18</v>
      </c>
      <c r="C352" s="3479"/>
      <c r="D352" s="2689">
        <v>2</v>
      </c>
      <c r="E352" s="2209" t="s">
        <v>133</v>
      </c>
      <c r="F352" s="2169" t="s">
        <v>723</v>
      </c>
      <c r="G352" s="1385" t="s">
        <v>2652</v>
      </c>
      <c r="H352" s="906">
        <v>710617</v>
      </c>
      <c r="I352" s="1295" t="s">
        <v>179</v>
      </c>
      <c r="J352" s="1295" t="s">
        <v>129</v>
      </c>
      <c r="K352" s="1256" t="s">
        <v>2607</v>
      </c>
      <c r="L352" s="1163">
        <v>42913</v>
      </c>
      <c r="M352" s="911" t="s">
        <v>152</v>
      </c>
      <c r="N352" s="2287">
        <v>42916</v>
      </c>
      <c r="O352" s="2572" t="s">
        <v>2444</v>
      </c>
    </row>
    <row r="353" spans="2:15" ht="8.1" customHeight="1" collapsed="1">
      <c r="B353" s="2158"/>
      <c r="C353" s="2452"/>
      <c r="D353" s="2691" t="s">
        <v>2806</v>
      </c>
      <c r="E353" s="2454"/>
      <c r="F353" s="2455"/>
      <c r="G353" s="2665"/>
      <c r="H353" s="2163"/>
      <c r="I353" s="2667"/>
      <c r="J353" s="2456"/>
      <c r="K353" s="71"/>
      <c r="L353" s="2457"/>
      <c r="M353" s="98"/>
      <c r="N353" s="2667"/>
      <c r="O353" s="1515"/>
    </row>
    <row r="354" spans="2:15" s="463" customFormat="1" ht="20.100000000000001" hidden="1" customHeight="1" outlineLevel="1" thickBot="1">
      <c r="B354" s="874" t="s">
        <v>704</v>
      </c>
      <c r="C354" s="875" t="s">
        <v>113</v>
      </c>
      <c r="D354" s="2690" t="s">
        <v>176</v>
      </c>
      <c r="E354" s="877" t="s">
        <v>114</v>
      </c>
      <c r="F354" s="878" t="s">
        <v>705</v>
      </c>
      <c r="G354" s="2507" t="s">
        <v>115</v>
      </c>
      <c r="H354" s="880" t="s">
        <v>116</v>
      </c>
      <c r="I354" s="2554" t="s">
        <v>117</v>
      </c>
      <c r="J354" s="882" t="s">
        <v>118</v>
      </c>
      <c r="K354" s="883" t="s">
        <v>119</v>
      </c>
      <c r="L354" s="884" t="s">
        <v>713</v>
      </c>
      <c r="M354" s="885" t="s">
        <v>120</v>
      </c>
      <c r="N354" s="886" t="s">
        <v>121</v>
      </c>
      <c r="O354" s="887" t="s">
        <v>719</v>
      </c>
    </row>
    <row r="355" spans="2:15" ht="16.5" hidden="1" outlineLevel="1" thickTop="1">
      <c r="B355" s="2596">
        <v>1</v>
      </c>
      <c r="C355" s="3480" t="s">
        <v>375</v>
      </c>
      <c r="D355" s="2598">
        <v>1</v>
      </c>
      <c r="E355" s="2208" t="s">
        <v>133</v>
      </c>
      <c r="F355" s="892" t="s">
        <v>723</v>
      </c>
      <c r="G355" s="2509" t="s">
        <v>2652</v>
      </c>
      <c r="H355" s="894">
        <v>720717</v>
      </c>
      <c r="I355" s="934" t="s">
        <v>179</v>
      </c>
      <c r="J355" s="895" t="s">
        <v>129</v>
      </c>
      <c r="K355" s="896" t="s">
        <v>2607</v>
      </c>
      <c r="L355" s="897">
        <v>42913</v>
      </c>
      <c r="M355" s="852" t="s">
        <v>164</v>
      </c>
      <c r="N355" s="2285">
        <v>42920</v>
      </c>
      <c r="O355" s="2279" t="s">
        <v>2444</v>
      </c>
    </row>
    <row r="356" spans="2:15" ht="16.5" hidden="1" outlineLevel="1" thickBot="1">
      <c r="B356" s="2594">
        <v>2</v>
      </c>
      <c r="C356" s="3481"/>
      <c r="D356" s="2599">
        <v>2</v>
      </c>
      <c r="E356" s="2479" t="s">
        <v>133</v>
      </c>
      <c r="F356" s="2480" t="s">
        <v>723</v>
      </c>
      <c r="G356" s="2518" t="s">
        <v>2652</v>
      </c>
      <c r="H356" s="2481">
        <v>730717</v>
      </c>
      <c r="I356" s="2482" t="s">
        <v>179</v>
      </c>
      <c r="J356" s="2482" t="s">
        <v>129</v>
      </c>
      <c r="K356" s="2483" t="s">
        <v>2607</v>
      </c>
      <c r="L356" s="2484">
        <v>42913</v>
      </c>
      <c r="M356" s="2485" t="s">
        <v>164</v>
      </c>
      <c r="N356" s="2486">
        <v>42920</v>
      </c>
      <c r="O356" s="2279" t="s">
        <v>2444</v>
      </c>
    </row>
    <row r="357" spans="2:15" ht="15.75" hidden="1" outlineLevel="1">
      <c r="B357" s="2596">
        <v>3</v>
      </c>
      <c r="C357" s="3481"/>
      <c r="D357" s="2598">
        <v>1</v>
      </c>
      <c r="E357" s="2477" t="s">
        <v>133</v>
      </c>
      <c r="F357" s="2478" t="s">
        <v>723</v>
      </c>
      <c r="G357" s="2508" t="s">
        <v>2652</v>
      </c>
      <c r="H357" s="2489">
        <v>740917</v>
      </c>
      <c r="I357" s="934" t="s">
        <v>179</v>
      </c>
      <c r="J357" s="934" t="s">
        <v>129</v>
      </c>
      <c r="K357" s="2606" t="s">
        <v>2607</v>
      </c>
      <c r="L357" s="936">
        <v>42913</v>
      </c>
      <c r="M357" s="2607" t="s">
        <v>153</v>
      </c>
      <c r="N357" s="2604">
        <v>42993</v>
      </c>
      <c r="O357" s="2279" t="s">
        <v>2444</v>
      </c>
    </row>
    <row r="358" spans="2:15" ht="16.5" hidden="1" outlineLevel="1" thickBot="1">
      <c r="B358" s="2629">
        <v>4</v>
      </c>
      <c r="C358" s="3481"/>
      <c r="D358" s="2630">
        <v>2</v>
      </c>
      <c r="E358" s="2631" t="s">
        <v>133</v>
      </c>
      <c r="F358" s="2632" t="s">
        <v>723</v>
      </c>
      <c r="G358" s="2633" t="s">
        <v>2652</v>
      </c>
      <c r="H358" s="2634">
        <v>750917</v>
      </c>
      <c r="I358" s="2613" t="s">
        <v>179</v>
      </c>
      <c r="J358" s="2613" t="s">
        <v>129</v>
      </c>
      <c r="K358" s="2635" t="s">
        <v>2607</v>
      </c>
      <c r="L358" s="2628">
        <v>42913</v>
      </c>
      <c r="M358" s="2636" t="s">
        <v>153</v>
      </c>
      <c r="N358" s="2637">
        <v>42993</v>
      </c>
      <c r="O358" s="1505" t="s">
        <v>2674</v>
      </c>
    </row>
    <row r="359" spans="2:15" ht="15.75" hidden="1" customHeight="1" outlineLevel="1">
      <c r="B359" s="977">
        <v>5</v>
      </c>
      <c r="C359" s="3481"/>
      <c r="D359" s="1078">
        <v>3</v>
      </c>
      <c r="E359" s="2205" t="s">
        <v>376</v>
      </c>
      <c r="F359" s="940" t="s">
        <v>723</v>
      </c>
      <c r="G359" s="1381" t="s">
        <v>2287</v>
      </c>
      <c r="H359" s="942">
        <v>760717</v>
      </c>
      <c r="I359" s="922" t="s">
        <v>834</v>
      </c>
      <c r="J359" s="922" t="s">
        <v>129</v>
      </c>
      <c r="K359" s="982" t="s">
        <v>2614</v>
      </c>
      <c r="L359" s="944">
        <v>42920</v>
      </c>
      <c r="M359" s="2105" t="s">
        <v>2622</v>
      </c>
      <c r="N359" s="2286">
        <v>42927</v>
      </c>
      <c r="O359" s="1505" t="s">
        <v>2655</v>
      </c>
    </row>
    <row r="360" spans="2:15" ht="15.75" hidden="1" outlineLevel="1" thickBot="1">
      <c r="B360" s="900">
        <v>6</v>
      </c>
      <c r="C360" s="3482"/>
      <c r="D360" s="1098">
        <v>4</v>
      </c>
      <c r="E360" s="2209" t="s">
        <v>376</v>
      </c>
      <c r="F360" s="2169" t="s">
        <v>723</v>
      </c>
      <c r="G360" s="1385" t="s">
        <v>2287</v>
      </c>
      <c r="H360" s="906">
        <v>770717</v>
      </c>
      <c r="I360" s="1295" t="s">
        <v>834</v>
      </c>
      <c r="J360" s="1295" t="s">
        <v>129</v>
      </c>
      <c r="K360" s="1299" t="s">
        <v>2614</v>
      </c>
      <c r="L360" s="1163">
        <v>42920</v>
      </c>
      <c r="M360" s="911" t="s">
        <v>2622</v>
      </c>
      <c r="N360" s="2287">
        <v>42927</v>
      </c>
      <c r="O360" s="2591" t="s">
        <v>2656</v>
      </c>
    </row>
    <row r="361" spans="2:15" ht="8.1" customHeight="1" collapsed="1">
      <c r="B361" s="2158"/>
      <c r="C361" s="2452"/>
      <c r="D361" s="2160"/>
      <c r="E361" s="2454"/>
      <c r="F361" s="2455"/>
      <c r="G361" s="2520"/>
      <c r="H361" s="2163"/>
      <c r="I361" s="2456"/>
      <c r="J361" s="2456"/>
      <c r="K361" s="71"/>
      <c r="L361" s="2457"/>
      <c r="M361" s="98"/>
      <c r="N361" s="2458"/>
      <c r="O361" s="1515"/>
    </row>
    <row r="362" spans="2:15" s="463" customFormat="1" ht="20.100000000000001" hidden="1" customHeight="1" outlineLevel="1" thickBot="1">
      <c r="B362" s="874" t="s">
        <v>704</v>
      </c>
      <c r="C362" s="875" t="s">
        <v>113</v>
      </c>
      <c r="D362" s="876" t="s">
        <v>176</v>
      </c>
      <c r="E362" s="877" t="s">
        <v>114</v>
      </c>
      <c r="F362" s="878" t="s">
        <v>705</v>
      </c>
      <c r="G362" s="2507" t="s">
        <v>115</v>
      </c>
      <c r="H362" s="880" t="s">
        <v>116</v>
      </c>
      <c r="I362" s="2554" t="s">
        <v>117</v>
      </c>
      <c r="J362" s="882" t="s">
        <v>118</v>
      </c>
      <c r="K362" s="883" t="s">
        <v>119</v>
      </c>
      <c r="L362" s="884" t="s">
        <v>713</v>
      </c>
      <c r="M362" s="885" t="s">
        <v>120</v>
      </c>
      <c r="N362" s="886" t="s">
        <v>121</v>
      </c>
      <c r="O362" s="887" t="s">
        <v>719</v>
      </c>
    </row>
    <row r="363" spans="2:15" ht="15.75" hidden="1" outlineLevel="1" thickTop="1">
      <c r="B363" s="889">
        <v>1</v>
      </c>
      <c r="C363" s="3477" t="s">
        <v>270</v>
      </c>
      <c r="D363" s="2641">
        <v>9</v>
      </c>
      <c r="E363" s="2206" t="s">
        <v>376</v>
      </c>
      <c r="F363" s="950" t="s">
        <v>723</v>
      </c>
      <c r="G363" s="2530" t="s">
        <v>2287</v>
      </c>
      <c r="H363" s="942">
        <v>780817</v>
      </c>
      <c r="I363" s="922" t="s">
        <v>834</v>
      </c>
      <c r="J363" s="952" t="s">
        <v>129</v>
      </c>
      <c r="K363" s="1317" t="s">
        <v>2659</v>
      </c>
      <c r="L363" s="1308">
        <v>42955</v>
      </c>
      <c r="M363" s="2105" t="s">
        <v>2443</v>
      </c>
      <c r="N363" s="2573">
        <v>42994</v>
      </c>
      <c r="O363" s="1505" t="s">
        <v>2658</v>
      </c>
    </row>
    <row r="364" spans="2:15" hidden="1" outlineLevel="1">
      <c r="B364" s="889">
        <v>2</v>
      </c>
      <c r="C364" s="3478"/>
      <c r="D364" s="2641">
        <v>10</v>
      </c>
      <c r="E364" s="2207" t="s">
        <v>376</v>
      </c>
      <c r="F364" s="959" t="s">
        <v>723</v>
      </c>
      <c r="G364" s="2508" t="s">
        <v>2287</v>
      </c>
      <c r="H364" s="894">
        <v>790917</v>
      </c>
      <c r="I364" s="922" t="s">
        <v>834</v>
      </c>
      <c r="J364" s="934" t="s">
        <v>129</v>
      </c>
      <c r="K364" s="846" t="s">
        <v>2669</v>
      </c>
      <c r="L364" s="936">
        <v>42966</v>
      </c>
      <c r="M364" s="2105" t="s">
        <v>2443</v>
      </c>
      <c r="N364" s="2283">
        <v>42994</v>
      </c>
      <c r="O364" s="1505" t="s">
        <v>2657</v>
      </c>
    </row>
    <row r="365" spans="2:15" hidden="1" outlineLevel="1">
      <c r="B365" s="889">
        <v>3</v>
      </c>
      <c r="C365" s="3478"/>
      <c r="D365" s="2641">
        <v>11</v>
      </c>
      <c r="E365" s="2208" t="s">
        <v>376</v>
      </c>
      <c r="F365" s="950" t="s">
        <v>723</v>
      </c>
      <c r="G365" s="2509" t="s">
        <v>2287</v>
      </c>
      <c r="H365" s="894">
        <v>800917</v>
      </c>
      <c r="I365" s="922" t="s">
        <v>834</v>
      </c>
      <c r="J365" s="895" t="s">
        <v>129</v>
      </c>
      <c r="K365" s="846" t="s">
        <v>2669</v>
      </c>
      <c r="L365" s="936">
        <v>42966</v>
      </c>
      <c r="M365" s="2105" t="s">
        <v>2443</v>
      </c>
      <c r="N365" s="2285">
        <v>42994</v>
      </c>
      <c r="O365" s="1505" t="s">
        <v>2654</v>
      </c>
    </row>
    <row r="366" spans="2:15" ht="15.75" hidden="1" outlineLevel="1" thickBot="1">
      <c r="B366" s="2608">
        <v>4</v>
      </c>
      <c r="C366" s="3478"/>
      <c r="D366" s="2642">
        <v>12</v>
      </c>
      <c r="E366" s="2609" t="s">
        <v>376</v>
      </c>
      <c r="F366" s="2625" t="s">
        <v>723</v>
      </c>
      <c r="G366" s="2611" t="s">
        <v>2287</v>
      </c>
      <c r="H366" s="2612">
        <v>810917</v>
      </c>
      <c r="I366" s="2626" t="s">
        <v>834</v>
      </c>
      <c r="J366" s="2614" t="s">
        <v>129</v>
      </c>
      <c r="K366" s="2627" t="s">
        <v>2669</v>
      </c>
      <c r="L366" s="2628">
        <v>42966</v>
      </c>
      <c r="M366" s="2617" t="s">
        <v>2443</v>
      </c>
      <c r="N366" s="2618">
        <v>42994</v>
      </c>
      <c r="O366" s="1505" t="s">
        <v>2653</v>
      </c>
    </row>
    <row r="367" spans="2:15" ht="15.75" hidden="1" outlineLevel="1">
      <c r="B367" s="2595">
        <f>1+B366</f>
        <v>5</v>
      </c>
      <c r="C367" s="3478"/>
      <c r="D367" s="2638">
        <v>1</v>
      </c>
      <c r="E367" s="2619" t="s">
        <v>133</v>
      </c>
      <c r="F367" s="2620" t="s">
        <v>723</v>
      </c>
      <c r="G367" s="2621" t="s">
        <v>2652</v>
      </c>
      <c r="H367" s="942">
        <v>820914</v>
      </c>
      <c r="I367" s="922" t="s">
        <v>179</v>
      </c>
      <c r="J367" s="2622" t="s">
        <v>129</v>
      </c>
      <c r="K367" s="2105" t="s">
        <v>2677</v>
      </c>
      <c r="L367" s="2623">
        <v>42992</v>
      </c>
      <c r="M367" s="2105" t="s">
        <v>156</v>
      </c>
      <c r="N367" s="2624">
        <v>42995</v>
      </c>
      <c r="O367" s="2279" t="s">
        <v>2444</v>
      </c>
    </row>
    <row r="368" spans="2:15" ht="16.5" hidden="1" outlineLevel="1" thickBot="1">
      <c r="B368" s="2629">
        <f t="shared" ref="B368:B380" si="9">1+B367</f>
        <v>6</v>
      </c>
      <c r="C368" s="3478"/>
      <c r="D368" s="2639">
        <v>2</v>
      </c>
      <c r="E368" s="2609" t="s">
        <v>133</v>
      </c>
      <c r="F368" s="2610" t="s">
        <v>723</v>
      </c>
      <c r="G368" s="2611" t="s">
        <v>2652</v>
      </c>
      <c r="H368" s="2612">
        <v>830917</v>
      </c>
      <c r="I368" s="2613" t="s">
        <v>179</v>
      </c>
      <c r="J368" s="2614" t="s">
        <v>129</v>
      </c>
      <c r="K368" s="2615" t="s">
        <v>2677</v>
      </c>
      <c r="L368" s="2616">
        <v>42992</v>
      </c>
      <c r="M368" s="2617" t="s">
        <v>156</v>
      </c>
      <c r="N368" s="2618">
        <v>42995</v>
      </c>
      <c r="O368" s="2279" t="s">
        <v>2444</v>
      </c>
    </row>
    <row r="369" spans="2:15" ht="15.75" hidden="1" customHeight="1" outlineLevel="1">
      <c r="B369" s="977">
        <f t="shared" si="9"/>
        <v>7</v>
      </c>
      <c r="C369" s="3478"/>
      <c r="D369" s="1078">
        <v>1</v>
      </c>
      <c r="E369" s="2205" t="s">
        <v>376</v>
      </c>
      <c r="F369" s="940" t="s">
        <v>723</v>
      </c>
      <c r="G369" s="1381" t="s">
        <v>2287</v>
      </c>
      <c r="H369" s="942">
        <v>840917</v>
      </c>
      <c r="I369" s="922" t="s">
        <v>834</v>
      </c>
      <c r="J369" s="922" t="s">
        <v>129</v>
      </c>
      <c r="K369" s="982" t="s">
        <v>2691</v>
      </c>
      <c r="L369" s="944">
        <v>42992</v>
      </c>
      <c r="M369" s="2105" t="s">
        <v>2692</v>
      </c>
      <c r="N369" s="2286">
        <v>42998</v>
      </c>
      <c r="O369" s="1505" t="s">
        <v>2444</v>
      </c>
    </row>
    <row r="370" spans="2:15" hidden="1" outlineLevel="1">
      <c r="B370" s="889">
        <f t="shared" si="9"/>
        <v>8</v>
      </c>
      <c r="C370" s="3478"/>
      <c r="D370" s="1037">
        <v>2</v>
      </c>
      <c r="E370" s="2205" t="s">
        <v>376</v>
      </c>
      <c r="F370" s="940" t="s">
        <v>723</v>
      </c>
      <c r="G370" s="2508" t="s">
        <v>2287</v>
      </c>
      <c r="H370" s="894">
        <v>850917</v>
      </c>
      <c r="I370" s="922" t="s">
        <v>834</v>
      </c>
      <c r="J370" s="922" t="s">
        <v>129</v>
      </c>
      <c r="K370" s="943" t="s">
        <v>2691</v>
      </c>
      <c r="L370" s="936">
        <v>42992</v>
      </c>
      <c r="M370" s="2276" t="s">
        <v>2692</v>
      </c>
      <c r="N370" s="2283">
        <v>42998</v>
      </c>
      <c r="O370" s="2277" t="s">
        <v>2444</v>
      </c>
    </row>
    <row r="371" spans="2:15" hidden="1" outlineLevel="1">
      <c r="B371" s="889">
        <f t="shared" si="9"/>
        <v>9</v>
      </c>
      <c r="C371" s="3478"/>
      <c r="D371" s="1276">
        <v>3</v>
      </c>
      <c r="E371" s="2206" t="s">
        <v>376</v>
      </c>
      <c r="F371" s="950" t="s">
        <v>723</v>
      </c>
      <c r="G371" s="1382" t="s">
        <v>2287</v>
      </c>
      <c r="H371" s="894">
        <v>860917</v>
      </c>
      <c r="I371" s="922" t="s">
        <v>834</v>
      </c>
      <c r="J371" s="952" t="s">
        <v>129</v>
      </c>
      <c r="K371" s="953" t="s">
        <v>2691</v>
      </c>
      <c r="L371" s="954">
        <v>42992</v>
      </c>
      <c r="M371" s="2276" t="s">
        <v>2692</v>
      </c>
      <c r="N371" s="2284">
        <v>42998</v>
      </c>
      <c r="O371" s="2278" t="s">
        <v>2444</v>
      </c>
    </row>
    <row r="372" spans="2:15" hidden="1" outlineLevel="1">
      <c r="B372" s="889">
        <f t="shared" si="9"/>
        <v>10</v>
      </c>
      <c r="C372" s="3478"/>
      <c r="D372" s="1037">
        <v>4</v>
      </c>
      <c r="E372" s="2207" t="s">
        <v>376</v>
      </c>
      <c r="F372" s="959" t="s">
        <v>723</v>
      </c>
      <c r="G372" s="2508" t="s">
        <v>2287</v>
      </c>
      <c r="H372" s="894">
        <v>870917</v>
      </c>
      <c r="I372" s="922" t="s">
        <v>834</v>
      </c>
      <c r="J372" s="934" t="s">
        <v>129</v>
      </c>
      <c r="K372" s="935" t="s">
        <v>2691</v>
      </c>
      <c r="L372" s="936">
        <v>42992</v>
      </c>
      <c r="M372" s="2276" t="s">
        <v>2692</v>
      </c>
      <c r="N372" s="2283">
        <v>42998</v>
      </c>
      <c r="O372" s="2277" t="s">
        <v>2444</v>
      </c>
    </row>
    <row r="373" spans="2:15" hidden="1" outlineLevel="1">
      <c r="B373" s="889">
        <f t="shared" si="9"/>
        <v>11</v>
      </c>
      <c r="C373" s="3478"/>
      <c r="D373" s="1278">
        <v>5</v>
      </c>
      <c r="E373" s="2208" t="s">
        <v>376</v>
      </c>
      <c r="F373" s="950" t="s">
        <v>723</v>
      </c>
      <c r="G373" s="2509" t="s">
        <v>2287</v>
      </c>
      <c r="H373" s="894">
        <v>880917</v>
      </c>
      <c r="I373" s="922" t="s">
        <v>834</v>
      </c>
      <c r="J373" s="895" t="s">
        <v>129</v>
      </c>
      <c r="K373" s="896" t="s">
        <v>2691</v>
      </c>
      <c r="L373" s="897">
        <v>42992</v>
      </c>
      <c r="M373" s="2276" t="s">
        <v>2692</v>
      </c>
      <c r="N373" s="2285">
        <v>42998</v>
      </c>
      <c r="O373" s="2279" t="s">
        <v>2444</v>
      </c>
    </row>
    <row r="374" spans="2:15" hidden="1" outlineLevel="1">
      <c r="B374" s="889">
        <f t="shared" si="9"/>
        <v>12</v>
      </c>
      <c r="C374" s="3478"/>
      <c r="D374" s="1278">
        <v>6</v>
      </c>
      <c r="E374" s="2208" t="s">
        <v>376</v>
      </c>
      <c r="F374" s="892" t="s">
        <v>723</v>
      </c>
      <c r="G374" s="2509" t="s">
        <v>2287</v>
      </c>
      <c r="H374" s="894">
        <v>890917</v>
      </c>
      <c r="I374" s="922" t="s">
        <v>834</v>
      </c>
      <c r="J374" s="895" t="s">
        <v>129</v>
      </c>
      <c r="K374" s="896" t="s">
        <v>2691</v>
      </c>
      <c r="L374" s="897">
        <v>42992</v>
      </c>
      <c r="M374" s="2276" t="s">
        <v>2692</v>
      </c>
      <c r="N374" s="2285">
        <v>42998</v>
      </c>
      <c r="O374" s="2279" t="s">
        <v>2444</v>
      </c>
    </row>
    <row r="375" spans="2:15" hidden="1" outlineLevel="1">
      <c r="B375" s="889">
        <f t="shared" si="9"/>
        <v>13</v>
      </c>
      <c r="C375" s="3478"/>
      <c r="D375" s="1278">
        <v>7</v>
      </c>
      <c r="E375" s="2208" t="s">
        <v>376</v>
      </c>
      <c r="F375" s="892" t="s">
        <v>723</v>
      </c>
      <c r="G375" s="2509" t="s">
        <v>2287</v>
      </c>
      <c r="H375" s="894">
        <v>900917</v>
      </c>
      <c r="I375" s="922" t="s">
        <v>834</v>
      </c>
      <c r="J375" s="895" t="s">
        <v>129</v>
      </c>
      <c r="K375" s="896" t="s">
        <v>2691</v>
      </c>
      <c r="L375" s="897">
        <v>42992</v>
      </c>
      <c r="M375" s="2276" t="s">
        <v>2692</v>
      </c>
      <c r="N375" s="2285">
        <v>42998</v>
      </c>
      <c r="O375" s="2279" t="s">
        <v>2444</v>
      </c>
    </row>
    <row r="376" spans="2:15" hidden="1" outlineLevel="1">
      <c r="B376" s="889">
        <f t="shared" si="9"/>
        <v>14</v>
      </c>
      <c r="C376" s="3478"/>
      <c r="D376" s="1278">
        <v>8</v>
      </c>
      <c r="E376" s="2208" t="s">
        <v>376</v>
      </c>
      <c r="F376" s="892" t="s">
        <v>723</v>
      </c>
      <c r="G376" s="2509" t="s">
        <v>2287</v>
      </c>
      <c r="H376" s="894">
        <v>910917</v>
      </c>
      <c r="I376" s="934" t="s">
        <v>834</v>
      </c>
      <c r="J376" s="895" t="s">
        <v>129</v>
      </c>
      <c r="K376" s="896" t="s">
        <v>2691</v>
      </c>
      <c r="L376" s="897">
        <v>42992</v>
      </c>
      <c r="M376" s="2276" t="s">
        <v>2692</v>
      </c>
      <c r="N376" s="2285">
        <v>42998</v>
      </c>
      <c r="O376" s="2279" t="s">
        <v>2444</v>
      </c>
    </row>
    <row r="377" spans="2:15" hidden="1" outlineLevel="1">
      <c r="B377" s="889">
        <f t="shared" si="9"/>
        <v>15</v>
      </c>
      <c r="C377" s="3478"/>
      <c r="D377" s="1276">
        <v>9</v>
      </c>
      <c r="E377" s="2206" t="s">
        <v>376</v>
      </c>
      <c r="F377" s="950" t="s">
        <v>723</v>
      </c>
      <c r="G377" s="1382" t="s">
        <v>2287</v>
      </c>
      <c r="H377" s="894">
        <v>920917</v>
      </c>
      <c r="I377" s="922" t="s">
        <v>834</v>
      </c>
      <c r="J377" s="952" t="s">
        <v>129</v>
      </c>
      <c r="K377" s="953" t="s">
        <v>2691</v>
      </c>
      <c r="L377" s="954">
        <v>42992</v>
      </c>
      <c r="M377" s="2276" t="s">
        <v>2692</v>
      </c>
      <c r="N377" s="2284">
        <v>42999</v>
      </c>
      <c r="O377" s="2278" t="s">
        <v>2444</v>
      </c>
    </row>
    <row r="378" spans="2:15" hidden="1" outlineLevel="1">
      <c r="B378" s="889">
        <f t="shared" si="9"/>
        <v>16</v>
      </c>
      <c r="C378" s="3478"/>
      <c r="D378" s="1037">
        <v>10</v>
      </c>
      <c r="E378" s="2207" t="s">
        <v>376</v>
      </c>
      <c r="F378" s="959" t="s">
        <v>723</v>
      </c>
      <c r="G378" s="2508" t="s">
        <v>2287</v>
      </c>
      <c r="H378" s="894">
        <v>930917</v>
      </c>
      <c r="I378" s="922" t="s">
        <v>834</v>
      </c>
      <c r="J378" s="934" t="s">
        <v>129</v>
      </c>
      <c r="K378" s="935" t="s">
        <v>2691</v>
      </c>
      <c r="L378" s="936">
        <v>42992</v>
      </c>
      <c r="M378" s="2276" t="s">
        <v>2692</v>
      </c>
      <c r="N378" s="2283">
        <v>42999</v>
      </c>
      <c r="O378" s="2277" t="s">
        <v>2444</v>
      </c>
    </row>
    <row r="379" spans="2:15" hidden="1" outlineLevel="1">
      <c r="B379" s="889">
        <f t="shared" si="9"/>
        <v>17</v>
      </c>
      <c r="C379" s="3478"/>
      <c r="D379" s="1078">
        <v>11</v>
      </c>
      <c r="E379" s="2205" t="s">
        <v>376</v>
      </c>
      <c r="F379" s="940" t="s">
        <v>723</v>
      </c>
      <c r="G379" s="1381" t="s">
        <v>2287</v>
      </c>
      <c r="H379" s="942">
        <v>940917</v>
      </c>
      <c r="I379" s="922" t="s">
        <v>834</v>
      </c>
      <c r="J379" s="922" t="s">
        <v>129</v>
      </c>
      <c r="K379" s="943" t="s">
        <v>2691</v>
      </c>
      <c r="L379" s="944">
        <v>42992</v>
      </c>
      <c r="M379" s="2276" t="s">
        <v>2692</v>
      </c>
      <c r="N379" s="2286">
        <v>42999</v>
      </c>
      <c r="O379" s="2280" t="s">
        <v>2444</v>
      </c>
    </row>
    <row r="380" spans="2:15" ht="15.75" hidden="1" outlineLevel="1" thickBot="1">
      <c r="B380" s="900">
        <f t="shared" si="9"/>
        <v>18</v>
      </c>
      <c r="C380" s="3479"/>
      <c r="D380" s="1098">
        <v>12</v>
      </c>
      <c r="E380" s="2209" t="s">
        <v>376</v>
      </c>
      <c r="F380" s="2169" t="s">
        <v>723</v>
      </c>
      <c r="G380" s="1385" t="s">
        <v>2287</v>
      </c>
      <c r="H380" s="906">
        <v>950917</v>
      </c>
      <c r="I380" s="1295" t="s">
        <v>834</v>
      </c>
      <c r="J380" s="1295" t="s">
        <v>129</v>
      </c>
      <c r="K380" s="1256" t="s">
        <v>2691</v>
      </c>
      <c r="L380" s="1163">
        <v>42992</v>
      </c>
      <c r="M380" s="909" t="s">
        <v>2692</v>
      </c>
      <c r="N380" s="2287">
        <v>42999</v>
      </c>
      <c r="O380" s="2281" t="s">
        <v>2444</v>
      </c>
    </row>
    <row r="381" spans="2:15" ht="8.1" customHeight="1" collapsed="1">
      <c r="B381" s="2158"/>
      <c r="C381" s="2452"/>
      <c r="D381" s="2453"/>
      <c r="E381" s="2454"/>
      <c r="F381" s="2455"/>
      <c r="G381" s="2665"/>
      <c r="H381" s="2163"/>
      <c r="I381" s="2667"/>
      <c r="J381" s="2456"/>
      <c r="K381" s="71"/>
      <c r="L381" s="2457"/>
      <c r="M381" s="98"/>
      <c r="N381" s="2667"/>
      <c r="O381" s="1515"/>
    </row>
    <row r="382" spans="2:15" s="463" customFormat="1" ht="20.100000000000001" hidden="1" customHeight="1" outlineLevel="1" thickBot="1">
      <c r="B382" s="874" t="s">
        <v>704</v>
      </c>
      <c r="C382" s="875" t="s">
        <v>113</v>
      </c>
      <c r="D382" s="876" t="s">
        <v>176</v>
      </c>
      <c r="E382" s="877" t="s">
        <v>114</v>
      </c>
      <c r="F382" s="878" t="s">
        <v>705</v>
      </c>
      <c r="G382" s="2507" t="s">
        <v>115</v>
      </c>
      <c r="H382" s="880" t="s">
        <v>116</v>
      </c>
      <c r="I382" s="2554" t="s">
        <v>117</v>
      </c>
      <c r="J382" s="882" t="s">
        <v>118</v>
      </c>
      <c r="K382" s="883" t="s">
        <v>119</v>
      </c>
      <c r="L382" s="884" t="s">
        <v>713</v>
      </c>
      <c r="M382" s="885" t="s">
        <v>120</v>
      </c>
      <c r="N382" s="886" t="s">
        <v>121</v>
      </c>
      <c r="O382" s="887" t="s">
        <v>719</v>
      </c>
    </row>
    <row r="383" spans="2:15" ht="15.75" hidden="1" customHeight="1" outlineLevel="1" thickTop="1">
      <c r="B383" s="977">
        <v>19</v>
      </c>
      <c r="C383" s="3477" t="s">
        <v>274</v>
      </c>
      <c r="D383" s="1078">
        <v>1</v>
      </c>
      <c r="E383" s="2205" t="s">
        <v>376</v>
      </c>
      <c r="F383" s="940" t="s">
        <v>723</v>
      </c>
      <c r="G383" s="1381" t="s">
        <v>2287</v>
      </c>
      <c r="H383" s="942">
        <v>961017</v>
      </c>
      <c r="I383" s="922" t="s">
        <v>834</v>
      </c>
      <c r="J383" s="922" t="s">
        <v>129</v>
      </c>
      <c r="K383" s="982" t="s">
        <v>2734</v>
      </c>
      <c r="L383" s="944">
        <v>43020</v>
      </c>
      <c r="M383" s="2105" t="s">
        <v>2622</v>
      </c>
      <c r="N383" s="2647">
        <v>43034</v>
      </c>
      <c r="O383" s="1505" t="s">
        <v>2731</v>
      </c>
    </row>
    <row r="384" spans="2:15" ht="15.75" hidden="1" outlineLevel="1" thickBot="1">
      <c r="B384" s="900">
        <v>20</v>
      </c>
      <c r="C384" s="3478"/>
      <c r="D384" s="1098">
        <v>2</v>
      </c>
      <c r="E384" s="2209" t="s">
        <v>376</v>
      </c>
      <c r="F384" s="2169" t="s">
        <v>723</v>
      </c>
      <c r="G384" s="1385" t="s">
        <v>2287</v>
      </c>
      <c r="H384" s="906">
        <v>971017</v>
      </c>
      <c r="I384" s="1295" t="s">
        <v>834</v>
      </c>
      <c r="J384" s="1295" t="s">
        <v>129</v>
      </c>
      <c r="K384" s="1299" t="s">
        <v>2734</v>
      </c>
      <c r="L384" s="1163">
        <v>43020</v>
      </c>
      <c r="M384" s="911" t="s">
        <v>2622</v>
      </c>
      <c r="N384" s="2648">
        <v>43034</v>
      </c>
      <c r="O384" s="2591" t="s">
        <v>2732</v>
      </c>
    </row>
    <row r="385" spans="2:15" ht="15.75" hidden="1" customHeight="1" outlineLevel="1">
      <c r="B385" s="977">
        <f t="shared" ref="B385:B408" si="10">1+B384</f>
        <v>21</v>
      </c>
      <c r="C385" s="3478"/>
      <c r="D385" s="1078">
        <v>1</v>
      </c>
      <c r="E385" s="2291" t="s">
        <v>133</v>
      </c>
      <c r="F385" s="940" t="s">
        <v>723</v>
      </c>
      <c r="G385" s="1381" t="s">
        <v>253</v>
      </c>
      <c r="H385" s="942">
        <v>981117</v>
      </c>
      <c r="I385" s="922" t="s">
        <v>179</v>
      </c>
      <c r="J385" s="922" t="s">
        <v>129</v>
      </c>
      <c r="K385" s="982" t="s">
        <v>2749</v>
      </c>
      <c r="L385" s="944">
        <v>43046</v>
      </c>
      <c r="M385" s="2105" t="s">
        <v>409</v>
      </c>
      <c r="N385" s="2286"/>
      <c r="O385" s="1505" t="s">
        <v>2748</v>
      </c>
    </row>
    <row r="386" spans="2:15" ht="15.75" hidden="1" outlineLevel="1" thickBot="1">
      <c r="B386" s="889">
        <f t="shared" si="10"/>
        <v>22</v>
      </c>
      <c r="C386" s="3478"/>
      <c r="D386" s="2651">
        <v>2</v>
      </c>
      <c r="E386" s="2659" t="s">
        <v>133</v>
      </c>
      <c r="F386" s="2480" t="s">
        <v>723</v>
      </c>
      <c r="G386" s="2518" t="s">
        <v>253</v>
      </c>
      <c r="H386" s="2481">
        <v>991117</v>
      </c>
      <c r="I386" s="2482" t="s">
        <v>179</v>
      </c>
      <c r="J386" s="2482" t="s">
        <v>129</v>
      </c>
      <c r="K386" s="2483" t="s">
        <v>2749</v>
      </c>
      <c r="L386" s="2484">
        <v>43046</v>
      </c>
      <c r="M386" s="2652" t="s">
        <v>409</v>
      </c>
      <c r="N386" s="2486"/>
      <c r="O386" s="2653" t="s">
        <v>2748</v>
      </c>
    </row>
    <row r="387" spans="2:15" hidden="1" outlineLevel="1">
      <c r="B387" s="889">
        <f t="shared" si="10"/>
        <v>23</v>
      </c>
      <c r="C387" s="3478"/>
      <c r="D387" s="1315">
        <v>3</v>
      </c>
      <c r="E387" s="2660" t="s">
        <v>133</v>
      </c>
      <c r="F387" s="950" t="s">
        <v>723</v>
      </c>
      <c r="G387" s="2530" t="s">
        <v>682</v>
      </c>
      <c r="H387" s="942">
        <v>1001117</v>
      </c>
      <c r="I387" s="922" t="s">
        <v>183</v>
      </c>
      <c r="J387" s="952" t="s">
        <v>129</v>
      </c>
      <c r="K387" s="953" t="s">
        <v>2749</v>
      </c>
      <c r="L387" s="1308">
        <v>43046</v>
      </c>
      <c r="M387" s="2276" t="s">
        <v>409</v>
      </c>
      <c r="N387" s="2573"/>
      <c r="O387" s="2280" t="s">
        <v>2748</v>
      </c>
    </row>
    <row r="388" spans="2:15" hidden="1" outlineLevel="1">
      <c r="B388" s="889">
        <f t="shared" si="10"/>
        <v>24</v>
      </c>
      <c r="C388" s="3478"/>
      <c r="D388" s="1037">
        <v>4</v>
      </c>
      <c r="E388" s="2661" t="s">
        <v>133</v>
      </c>
      <c r="F388" s="959" t="s">
        <v>723</v>
      </c>
      <c r="G388" s="2508" t="s">
        <v>682</v>
      </c>
      <c r="H388" s="894">
        <v>1011117</v>
      </c>
      <c r="I388" s="922" t="s">
        <v>183</v>
      </c>
      <c r="J388" s="934" t="s">
        <v>129</v>
      </c>
      <c r="K388" s="935" t="s">
        <v>2749</v>
      </c>
      <c r="L388" s="936">
        <v>43046</v>
      </c>
      <c r="M388" s="2276" t="s">
        <v>409</v>
      </c>
      <c r="N388" s="2283"/>
      <c r="O388" s="2277" t="s">
        <v>2748</v>
      </c>
    </row>
    <row r="389" spans="2:15" hidden="1" outlineLevel="1">
      <c r="B389" s="889">
        <f t="shared" si="10"/>
        <v>25</v>
      </c>
      <c r="C389" s="3478"/>
      <c r="D389" s="1278">
        <v>5</v>
      </c>
      <c r="E389" s="2662" t="s">
        <v>133</v>
      </c>
      <c r="F389" s="950" t="s">
        <v>723</v>
      </c>
      <c r="G389" s="2509" t="s">
        <v>682</v>
      </c>
      <c r="H389" s="894">
        <v>1021117</v>
      </c>
      <c r="I389" s="922" t="s">
        <v>183</v>
      </c>
      <c r="J389" s="895" t="s">
        <v>129</v>
      </c>
      <c r="K389" s="896" t="s">
        <v>2749</v>
      </c>
      <c r="L389" s="897">
        <v>43046</v>
      </c>
      <c r="M389" s="2276" t="s">
        <v>409</v>
      </c>
      <c r="N389" s="2285"/>
      <c r="O389" s="2279" t="s">
        <v>2748</v>
      </c>
    </row>
    <row r="390" spans="2:15" hidden="1" outlineLevel="1">
      <c r="B390" s="889">
        <f t="shared" si="10"/>
        <v>26</v>
      </c>
      <c r="C390" s="3478"/>
      <c r="D390" s="1278">
        <v>6</v>
      </c>
      <c r="E390" s="2662" t="s">
        <v>133</v>
      </c>
      <c r="F390" s="892" t="s">
        <v>723</v>
      </c>
      <c r="G390" s="2509" t="s">
        <v>682</v>
      </c>
      <c r="H390" s="894">
        <v>1031117</v>
      </c>
      <c r="I390" s="922" t="s">
        <v>183</v>
      </c>
      <c r="J390" s="895" t="s">
        <v>129</v>
      </c>
      <c r="K390" s="896" t="s">
        <v>2749</v>
      </c>
      <c r="L390" s="897">
        <v>43046</v>
      </c>
      <c r="M390" s="2276" t="s">
        <v>409</v>
      </c>
      <c r="N390" s="2285"/>
      <c r="O390" s="2279" t="s">
        <v>2748</v>
      </c>
    </row>
    <row r="391" spans="2:15" hidden="1" outlineLevel="1">
      <c r="B391" s="889">
        <f t="shared" si="10"/>
        <v>27</v>
      </c>
      <c r="C391" s="3478"/>
      <c r="D391" s="1278">
        <v>7</v>
      </c>
      <c r="E391" s="2662" t="s">
        <v>133</v>
      </c>
      <c r="F391" s="892" t="s">
        <v>723</v>
      </c>
      <c r="G391" s="2509" t="s">
        <v>682</v>
      </c>
      <c r="H391" s="894">
        <v>1041117</v>
      </c>
      <c r="I391" s="922" t="s">
        <v>183</v>
      </c>
      <c r="J391" s="895" t="s">
        <v>129</v>
      </c>
      <c r="K391" s="896" t="s">
        <v>2749</v>
      </c>
      <c r="L391" s="897">
        <v>43046</v>
      </c>
      <c r="M391" s="2276" t="s">
        <v>409</v>
      </c>
      <c r="N391" s="2285"/>
      <c r="O391" s="2279" t="s">
        <v>2748</v>
      </c>
    </row>
    <row r="392" spans="2:15" hidden="1" outlineLevel="1">
      <c r="B392" s="889">
        <f t="shared" si="10"/>
        <v>28</v>
      </c>
      <c r="C392" s="3478"/>
      <c r="D392" s="1278">
        <v>8</v>
      </c>
      <c r="E392" s="2662" t="s">
        <v>133</v>
      </c>
      <c r="F392" s="892" t="s">
        <v>723</v>
      </c>
      <c r="G392" s="2509" t="s">
        <v>682</v>
      </c>
      <c r="H392" s="894">
        <v>1051117</v>
      </c>
      <c r="I392" s="934" t="s">
        <v>183</v>
      </c>
      <c r="J392" s="895" t="s">
        <v>129</v>
      </c>
      <c r="K392" s="896" t="s">
        <v>2749</v>
      </c>
      <c r="L392" s="897">
        <v>43046</v>
      </c>
      <c r="M392" s="2276" t="s">
        <v>409</v>
      </c>
      <c r="N392" s="2285"/>
      <c r="O392" s="2279" t="s">
        <v>2748</v>
      </c>
    </row>
    <row r="393" spans="2:15" hidden="1" outlineLevel="1">
      <c r="B393" s="889">
        <f t="shared" si="10"/>
        <v>29</v>
      </c>
      <c r="C393" s="3478"/>
      <c r="D393" s="1276">
        <v>9</v>
      </c>
      <c r="E393" s="2660" t="s">
        <v>133</v>
      </c>
      <c r="F393" s="950" t="s">
        <v>723</v>
      </c>
      <c r="G393" s="1382" t="s">
        <v>682</v>
      </c>
      <c r="H393" s="894">
        <v>1061117</v>
      </c>
      <c r="I393" s="922" t="s">
        <v>183</v>
      </c>
      <c r="J393" s="952" t="s">
        <v>129</v>
      </c>
      <c r="K393" s="953" t="s">
        <v>2749</v>
      </c>
      <c r="L393" s="954">
        <v>43046</v>
      </c>
      <c r="M393" s="2276" t="s">
        <v>409</v>
      </c>
      <c r="N393" s="2284"/>
      <c r="O393" s="2278" t="s">
        <v>2748</v>
      </c>
    </row>
    <row r="394" spans="2:15" hidden="1" outlineLevel="1">
      <c r="B394" s="889">
        <f t="shared" si="10"/>
        <v>30</v>
      </c>
      <c r="C394" s="3483"/>
      <c r="D394" s="1037">
        <v>10</v>
      </c>
      <c r="E394" s="2661" t="s">
        <v>133</v>
      </c>
      <c r="F394" s="959" t="s">
        <v>723</v>
      </c>
      <c r="G394" s="2508" t="s">
        <v>682</v>
      </c>
      <c r="H394" s="894">
        <v>1071117</v>
      </c>
      <c r="I394" s="922" t="s">
        <v>183</v>
      </c>
      <c r="J394" s="934" t="s">
        <v>129</v>
      </c>
      <c r="K394" s="935" t="s">
        <v>2749</v>
      </c>
      <c r="L394" s="936">
        <v>43046</v>
      </c>
      <c r="M394" s="2276" t="s">
        <v>409</v>
      </c>
      <c r="N394" s="2283"/>
      <c r="O394" s="2277" t="s">
        <v>2748</v>
      </c>
    </row>
    <row r="395" spans="2:15" s="366" customFormat="1" ht="8.1" customHeight="1" collapsed="1" thickBot="1">
      <c r="B395" s="2680"/>
      <c r="C395" s="2452"/>
      <c r="D395" s="2681"/>
      <c r="E395" s="2682"/>
      <c r="F395" s="2683"/>
      <c r="G395" s="2684"/>
      <c r="H395" s="2685"/>
      <c r="I395" s="2686"/>
      <c r="J395" s="2686"/>
      <c r="K395" s="84"/>
      <c r="L395" s="2687"/>
      <c r="M395" s="108"/>
      <c r="N395" s="2688"/>
      <c r="O395" s="1541"/>
    </row>
    <row r="396" spans="2:15" s="463" customFormat="1" ht="20.100000000000001" customHeight="1" thickBot="1">
      <c r="B396" s="874" t="s">
        <v>704</v>
      </c>
      <c r="C396" s="875" t="s">
        <v>113</v>
      </c>
      <c r="D396" s="876" t="s">
        <v>176</v>
      </c>
      <c r="E396" s="877" t="s">
        <v>114</v>
      </c>
      <c r="F396" s="878" t="s">
        <v>705</v>
      </c>
      <c r="G396" s="2507" t="s">
        <v>115</v>
      </c>
      <c r="H396" s="880" t="s">
        <v>116</v>
      </c>
      <c r="I396" s="2554" t="s">
        <v>117</v>
      </c>
      <c r="J396" s="882" t="s">
        <v>118</v>
      </c>
      <c r="K396" s="883" t="s">
        <v>119</v>
      </c>
      <c r="L396" s="884" t="s">
        <v>713</v>
      </c>
      <c r="M396" s="885" t="s">
        <v>120</v>
      </c>
      <c r="N396" s="886" t="s">
        <v>121</v>
      </c>
      <c r="O396" s="887" t="s">
        <v>719</v>
      </c>
    </row>
    <row r="397" spans="2:15" ht="15.75" hidden="1" customHeight="1" outlineLevel="1" thickTop="1">
      <c r="B397" s="977">
        <f>1+B394</f>
        <v>31</v>
      </c>
      <c r="C397" s="2452"/>
      <c r="D397" s="1078">
        <v>1</v>
      </c>
      <c r="E397" s="2205" t="s">
        <v>376</v>
      </c>
      <c r="F397" s="940" t="s">
        <v>723</v>
      </c>
      <c r="G397" s="1381" t="s">
        <v>2287</v>
      </c>
      <c r="H397" s="942">
        <v>1081217</v>
      </c>
      <c r="I397" s="922" t="s">
        <v>834</v>
      </c>
      <c r="J397" s="922" t="s">
        <v>129</v>
      </c>
      <c r="K397" s="982" t="s">
        <v>2804</v>
      </c>
      <c r="L397" s="944">
        <v>43074</v>
      </c>
      <c r="M397" s="2105" t="s">
        <v>2805</v>
      </c>
      <c r="N397" s="2286">
        <v>43087</v>
      </c>
      <c r="O397" s="1505" t="s">
        <v>2807</v>
      </c>
    </row>
    <row r="398" spans="2:15" hidden="1" outlineLevel="1">
      <c r="B398" s="889">
        <f t="shared" si="10"/>
        <v>32</v>
      </c>
      <c r="C398" s="2452"/>
      <c r="D398" s="1037">
        <v>2</v>
      </c>
      <c r="E398" s="2205" t="s">
        <v>376</v>
      </c>
      <c r="F398" s="940" t="s">
        <v>723</v>
      </c>
      <c r="G398" s="2508" t="s">
        <v>2287</v>
      </c>
      <c r="H398" s="894">
        <v>1091217</v>
      </c>
      <c r="I398" s="922" t="s">
        <v>834</v>
      </c>
      <c r="J398" s="922" t="s">
        <v>129</v>
      </c>
      <c r="K398" s="982" t="s">
        <v>2804</v>
      </c>
      <c r="L398" s="944">
        <v>43074</v>
      </c>
      <c r="M398" s="2105" t="s">
        <v>2805</v>
      </c>
      <c r="N398" s="2283">
        <v>43087</v>
      </c>
      <c r="O398" s="2277" t="s">
        <v>2807</v>
      </c>
    </row>
    <row r="399" spans="2:15" hidden="1" outlineLevel="1">
      <c r="B399" s="889">
        <f t="shared" si="10"/>
        <v>33</v>
      </c>
      <c r="C399" s="2452"/>
      <c r="D399" s="1276">
        <v>3</v>
      </c>
      <c r="E399" s="2206" t="s">
        <v>376</v>
      </c>
      <c r="F399" s="950" t="s">
        <v>723</v>
      </c>
      <c r="G399" s="1382" t="s">
        <v>2287</v>
      </c>
      <c r="H399" s="894">
        <v>1101217</v>
      </c>
      <c r="I399" s="922" t="s">
        <v>834</v>
      </c>
      <c r="J399" s="952" t="s">
        <v>129</v>
      </c>
      <c r="K399" s="982" t="s">
        <v>2804</v>
      </c>
      <c r="L399" s="944">
        <v>43074</v>
      </c>
      <c r="M399" s="2105" t="s">
        <v>2805</v>
      </c>
      <c r="N399" s="2284">
        <v>43087</v>
      </c>
      <c r="O399" s="2278" t="s">
        <v>2807</v>
      </c>
    </row>
    <row r="400" spans="2:15" hidden="1" outlineLevel="1">
      <c r="B400" s="889">
        <f t="shared" si="10"/>
        <v>34</v>
      </c>
      <c r="C400" s="2452"/>
      <c r="D400" s="1037">
        <v>4</v>
      </c>
      <c r="E400" s="2207" t="s">
        <v>376</v>
      </c>
      <c r="F400" s="959" t="s">
        <v>723</v>
      </c>
      <c r="G400" s="2508" t="s">
        <v>2287</v>
      </c>
      <c r="H400" s="894">
        <v>1111217</v>
      </c>
      <c r="I400" s="922" t="s">
        <v>834</v>
      </c>
      <c r="J400" s="934" t="s">
        <v>129</v>
      </c>
      <c r="K400" s="982" t="s">
        <v>2804</v>
      </c>
      <c r="L400" s="944">
        <v>43074</v>
      </c>
      <c r="M400" s="2105" t="s">
        <v>2805</v>
      </c>
      <c r="N400" s="2283">
        <v>43087</v>
      </c>
      <c r="O400" s="2277" t="s">
        <v>2807</v>
      </c>
    </row>
    <row r="401" spans="2:16" hidden="1" outlineLevel="1">
      <c r="B401" s="889">
        <f t="shared" si="10"/>
        <v>35</v>
      </c>
      <c r="C401" s="2452"/>
      <c r="D401" s="1278">
        <v>5</v>
      </c>
      <c r="E401" s="2208" t="s">
        <v>376</v>
      </c>
      <c r="F401" s="950" t="s">
        <v>723</v>
      </c>
      <c r="G401" s="2509" t="s">
        <v>2287</v>
      </c>
      <c r="H401" s="894">
        <v>1121217</v>
      </c>
      <c r="I401" s="922" t="s">
        <v>834</v>
      </c>
      <c r="J401" s="895" t="s">
        <v>129</v>
      </c>
      <c r="K401" s="982" t="s">
        <v>2804</v>
      </c>
      <c r="L401" s="944">
        <v>43074</v>
      </c>
      <c r="M401" s="2105" t="s">
        <v>2805</v>
      </c>
      <c r="N401" s="2285">
        <v>43087</v>
      </c>
      <c r="O401" s="2279" t="s">
        <v>2807</v>
      </c>
    </row>
    <row r="402" spans="2:16" hidden="1" outlineLevel="1">
      <c r="B402" s="889">
        <f t="shared" si="10"/>
        <v>36</v>
      </c>
      <c r="C402" s="2452"/>
      <c r="D402" s="1278">
        <v>6</v>
      </c>
      <c r="E402" s="2208" t="s">
        <v>376</v>
      </c>
      <c r="F402" s="892" t="s">
        <v>723</v>
      </c>
      <c r="G402" s="2509" t="s">
        <v>2287</v>
      </c>
      <c r="H402" s="894">
        <v>1131217</v>
      </c>
      <c r="I402" s="922" t="s">
        <v>834</v>
      </c>
      <c r="J402" s="895" t="s">
        <v>129</v>
      </c>
      <c r="K402" s="982" t="s">
        <v>2804</v>
      </c>
      <c r="L402" s="944">
        <v>43074</v>
      </c>
      <c r="M402" s="2105" t="s">
        <v>2805</v>
      </c>
      <c r="N402" s="2285">
        <v>43087</v>
      </c>
      <c r="O402" s="2279" t="s">
        <v>2807</v>
      </c>
    </row>
    <row r="403" spans="2:16" hidden="1" outlineLevel="1">
      <c r="B403" s="889">
        <f t="shared" si="10"/>
        <v>37</v>
      </c>
      <c r="C403" s="2452"/>
      <c r="D403" s="1278">
        <v>7</v>
      </c>
      <c r="E403" s="2208" t="s">
        <v>376</v>
      </c>
      <c r="F403" s="892" t="s">
        <v>723</v>
      </c>
      <c r="G403" s="2509" t="s">
        <v>2287</v>
      </c>
      <c r="H403" s="894">
        <v>1141217</v>
      </c>
      <c r="I403" s="922" t="s">
        <v>834</v>
      </c>
      <c r="J403" s="895" t="s">
        <v>129</v>
      </c>
      <c r="K403" s="982" t="s">
        <v>2804</v>
      </c>
      <c r="L403" s="944">
        <v>43074</v>
      </c>
      <c r="M403" s="2105" t="s">
        <v>2805</v>
      </c>
      <c r="N403" s="2285">
        <v>43087</v>
      </c>
      <c r="O403" s="2279" t="s">
        <v>2807</v>
      </c>
    </row>
    <row r="404" spans="2:16" hidden="1" outlineLevel="1">
      <c r="B404" s="889">
        <f t="shared" si="10"/>
        <v>38</v>
      </c>
      <c r="C404" s="2452"/>
      <c r="D404" s="1278">
        <v>8</v>
      </c>
      <c r="E404" s="2208" t="s">
        <v>376</v>
      </c>
      <c r="F404" s="892" t="s">
        <v>723</v>
      </c>
      <c r="G404" s="2509" t="s">
        <v>2287</v>
      </c>
      <c r="H404" s="894">
        <v>1151217</v>
      </c>
      <c r="I404" s="934" t="s">
        <v>834</v>
      </c>
      <c r="J404" s="895" t="s">
        <v>129</v>
      </c>
      <c r="K404" s="982" t="s">
        <v>2804</v>
      </c>
      <c r="L404" s="944">
        <v>43074</v>
      </c>
      <c r="M404" s="2105" t="s">
        <v>2805</v>
      </c>
      <c r="N404" s="2285">
        <v>43087</v>
      </c>
      <c r="O404" s="2279" t="s">
        <v>2807</v>
      </c>
    </row>
    <row r="405" spans="2:16" hidden="1" outlineLevel="1">
      <c r="B405" s="889">
        <f t="shared" si="10"/>
        <v>39</v>
      </c>
      <c r="C405" s="2452"/>
      <c r="D405" s="1276">
        <v>9</v>
      </c>
      <c r="E405" s="2206" t="s">
        <v>376</v>
      </c>
      <c r="F405" s="950" t="s">
        <v>723</v>
      </c>
      <c r="G405" s="1382" t="s">
        <v>2287</v>
      </c>
      <c r="H405" s="894">
        <v>1161217</v>
      </c>
      <c r="I405" s="922" t="s">
        <v>834</v>
      </c>
      <c r="J405" s="952" t="s">
        <v>129</v>
      </c>
      <c r="K405" s="982" t="s">
        <v>2804</v>
      </c>
      <c r="L405" s="944">
        <v>43074</v>
      </c>
      <c r="M405" s="2105" t="s">
        <v>2805</v>
      </c>
      <c r="N405" s="2284">
        <v>43087</v>
      </c>
      <c r="O405" s="2278" t="s">
        <v>2807</v>
      </c>
    </row>
    <row r="406" spans="2:16" hidden="1" outlineLevel="1">
      <c r="B406" s="889">
        <f t="shared" si="10"/>
        <v>40</v>
      </c>
      <c r="C406" s="2452"/>
      <c r="D406" s="1037">
        <v>10</v>
      </c>
      <c r="E406" s="2207" t="s">
        <v>376</v>
      </c>
      <c r="F406" s="959" t="s">
        <v>723</v>
      </c>
      <c r="G406" s="2508" t="s">
        <v>2287</v>
      </c>
      <c r="H406" s="894">
        <v>1171217</v>
      </c>
      <c r="I406" s="922" t="s">
        <v>834</v>
      </c>
      <c r="J406" s="934" t="s">
        <v>129</v>
      </c>
      <c r="K406" s="982" t="s">
        <v>2804</v>
      </c>
      <c r="L406" s="944">
        <v>43074</v>
      </c>
      <c r="M406" s="2105" t="s">
        <v>2805</v>
      </c>
      <c r="N406" s="2283">
        <v>43087</v>
      </c>
      <c r="O406" s="2277" t="s">
        <v>2807</v>
      </c>
    </row>
    <row r="407" spans="2:16" hidden="1" outlineLevel="1">
      <c r="B407" s="889">
        <f t="shared" si="10"/>
        <v>41</v>
      </c>
      <c r="C407" s="2452"/>
      <c r="D407" s="1078">
        <v>11</v>
      </c>
      <c r="E407" s="2205" t="s">
        <v>376</v>
      </c>
      <c r="F407" s="940" t="s">
        <v>723</v>
      </c>
      <c r="G407" s="1381" t="s">
        <v>2287</v>
      </c>
      <c r="H407" s="942">
        <v>1181217</v>
      </c>
      <c r="I407" s="922" t="s">
        <v>834</v>
      </c>
      <c r="J407" s="922" t="s">
        <v>129</v>
      </c>
      <c r="K407" s="982" t="s">
        <v>2804</v>
      </c>
      <c r="L407" s="944">
        <v>43074</v>
      </c>
      <c r="M407" s="2105" t="s">
        <v>2805</v>
      </c>
      <c r="N407" s="2286">
        <v>43087</v>
      </c>
      <c r="O407" s="2280" t="s">
        <v>2807</v>
      </c>
    </row>
    <row r="408" spans="2:16" ht="15.75" hidden="1" outlineLevel="1" thickBot="1">
      <c r="B408" s="900">
        <f t="shared" si="10"/>
        <v>42</v>
      </c>
      <c r="C408" s="2452"/>
      <c r="D408" s="1098">
        <v>12</v>
      </c>
      <c r="E408" s="2209" t="s">
        <v>376</v>
      </c>
      <c r="F408" s="2169" t="s">
        <v>723</v>
      </c>
      <c r="G408" s="1385" t="s">
        <v>2287</v>
      </c>
      <c r="H408" s="906">
        <v>1191217</v>
      </c>
      <c r="I408" s="1295" t="s">
        <v>834</v>
      </c>
      <c r="J408" s="1295" t="s">
        <v>129</v>
      </c>
      <c r="K408" s="1299" t="s">
        <v>2804</v>
      </c>
      <c r="L408" s="1163">
        <v>43074</v>
      </c>
      <c r="M408" s="911" t="s">
        <v>2805</v>
      </c>
      <c r="N408" s="2287">
        <v>43087</v>
      </c>
      <c r="O408" s="2281" t="s">
        <v>2807</v>
      </c>
    </row>
    <row r="409" spans="2:16" ht="15.75" collapsed="1" thickTop="1">
      <c r="B409" s="2158"/>
      <c r="C409" s="2452"/>
      <c r="D409" s="2453"/>
      <c r="E409" s="2454"/>
      <c r="F409" s="2455"/>
      <c r="G409" s="2520"/>
      <c r="H409" s="2163"/>
      <c r="I409" s="2456"/>
      <c r="J409" s="2456"/>
      <c r="K409" s="71"/>
      <c r="L409" s="2457"/>
      <c r="M409" s="98"/>
      <c r="N409" s="2458"/>
      <c r="O409" s="1515"/>
    </row>
    <row r="410" spans="2:16">
      <c r="B410" s="2158"/>
      <c r="C410" s="2452"/>
      <c r="D410" s="2453"/>
      <c r="E410" s="2454"/>
      <c r="F410" s="2455"/>
      <c r="G410" s="2520"/>
      <c r="H410" s="2163"/>
      <c r="I410" s="2456"/>
      <c r="J410" s="2456"/>
      <c r="K410" s="71"/>
      <c r="L410" s="2457"/>
      <c r="M410" s="98"/>
      <c r="N410" s="2458"/>
      <c r="O410" s="1515"/>
    </row>
    <row r="411" spans="2:16" ht="21" thickBot="1">
      <c r="C411" s="867" t="s">
        <v>466</v>
      </c>
      <c r="D411" s="914"/>
    </row>
    <row r="412" spans="2:16" ht="15.75" thickBot="1">
      <c r="M412" s="3475" t="s">
        <v>175</v>
      </c>
      <c r="N412" s="3476"/>
      <c r="O412" s="2353">
        <v>42734</v>
      </c>
    </row>
    <row r="413" spans="2:16" s="463" customFormat="1" ht="20.100000000000001" customHeight="1" thickBot="1">
      <c r="B413" s="874" t="s">
        <v>704</v>
      </c>
      <c r="C413" s="875" t="s">
        <v>113</v>
      </c>
      <c r="D413" s="876" t="s">
        <v>176</v>
      </c>
      <c r="E413" s="877" t="s">
        <v>114</v>
      </c>
      <c r="F413" s="878" t="s">
        <v>705</v>
      </c>
      <c r="G413" s="2507" t="s">
        <v>115</v>
      </c>
      <c r="H413" s="880" t="s">
        <v>116</v>
      </c>
      <c r="I413" s="2554" t="s">
        <v>117</v>
      </c>
      <c r="J413" s="882" t="s">
        <v>118</v>
      </c>
      <c r="K413" s="883" t="s">
        <v>119</v>
      </c>
      <c r="L413" s="884" t="s">
        <v>713</v>
      </c>
      <c r="M413" s="1378" t="s">
        <v>120</v>
      </c>
      <c r="N413" s="1379" t="s">
        <v>121</v>
      </c>
      <c r="O413" s="2355" t="s">
        <v>719</v>
      </c>
    </row>
    <row r="414" spans="2:16" s="463" customFormat="1" ht="5.25" customHeight="1" thickTop="1">
      <c r="B414" s="2018"/>
      <c r="C414" s="661"/>
      <c r="D414" s="2019"/>
      <c r="E414" s="2020"/>
      <c r="F414" s="2021"/>
      <c r="G414" s="2521"/>
      <c r="H414" s="2022"/>
      <c r="I414" s="2558"/>
      <c r="J414" s="2023"/>
      <c r="K414" s="2024"/>
      <c r="L414" s="2025"/>
      <c r="M414" s="2026"/>
      <c r="N414" s="2027"/>
      <c r="O414" s="2354"/>
    </row>
    <row r="415" spans="2:16" ht="15.2" hidden="1" customHeight="1" outlineLevel="1" thickTop="1">
      <c r="B415" s="889">
        <v>1</v>
      </c>
      <c r="C415" s="3492" t="s">
        <v>504</v>
      </c>
      <c r="D415" s="1024">
        <v>1</v>
      </c>
      <c r="E415" s="917" t="s">
        <v>133</v>
      </c>
      <c r="F415" s="918" t="s">
        <v>723</v>
      </c>
      <c r="G415" s="1384" t="s">
        <v>2009</v>
      </c>
      <c r="H415" s="920">
        <v>10116</v>
      </c>
      <c r="I415" s="1292" t="s">
        <v>179</v>
      </c>
      <c r="J415" s="923" t="s">
        <v>129</v>
      </c>
      <c r="K415" s="923" t="s">
        <v>467</v>
      </c>
      <c r="L415" s="924">
        <v>42383</v>
      </c>
      <c r="M415" s="925" t="s">
        <v>173</v>
      </c>
      <c r="N415" s="1248">
        <v>42391</v>
      </c>
      <c r="O415" s="927" t="s">
        <v>258</v>
      </c>
      <c r="P415" s="928"/>
    </row>
    <row r="416" spans="2:16" hidden="1" outlineLevel="1">
      <c r="B416" s="889">
        <v>2</v>
      </c>
      <c r="C416" s="3493"/>
      <c r="D416" s="1264">
        <v>2</v>
      </c>
      <c r="E416" s="1265" t="s">
        <v>133</v>
      </c>
      <c r="F416" s="1266" t="s">
        <v>723</v>
      </c>
      <c r="G416" s="2522" t="s">
        <v>2009</v>
      </c>
      <c r="H416" s="1267">
        <v>20115</v>
      </c>
      <c r="I416" s="1268" t="s">
        <v>179</v>
      </c>
      <c r="J416" s="1268" t="s">
        <v>129</v>
      </c>
      <c r="K416" s="1269" t="s">
        <v>467</v>
      </c>
      <c r="L416" s="1270">
        <v>42383</v>
      </c>
      <c r="M416" s="1271" t="s">
        <v>173</v>
      </c>
      <c r="N416" s="1272">
        <v>42391</v>
      </c>
      <c r="O416" s="1273" t="s">
        <v>258</v>
      </c>
      <c r="P416" s="928"/>
    </row>
    <row r="417" spans="2:16" hidden="1" outlineLevel="1">
      <c r="B417" s="889">
        <v>3</v>
      </c>
      <c r="C417" s="3493"/>
      <c r="D417" s="1078">
        <v>3</v>
      </c>
      <c r="E417" s="2028" t="s">
        <v>267</v>
      </c>
      <c r="F417" s="940" t="s">
        <v>723</v>
      </c>
      <c r="G417" s="1381" t="s">
        <v>259</v>
      </c>
      <c r="H417" s="894">
        <v>30116</v>
      </c>
      <c r="I417" s="922" t="s">
        <v>183</v>
      </c>
      <c r="J417" s="922" t="s">
        <v>129</v>
      </c>
      <c r="K417" s="943" t="s">
        <v>467</v>
      </c>
      <c r="L417" s="944">
        <v>42383</v>
      </c>
      <c r="M417" s="945" t="s">
        <v>173</v>
      </c>
      <c r="N417" s="1274">
        <v>42391</v>
      </c>
      <c r="O417" s="947" t="s">
        <v>258</v>
      </c>
    </row>
    <row r="418" spans="2:16" hidden="1" outlineLevel="1">
      <c r="B418" s="889">
        <v>4</v>
      </c>
      <c r="C418" s="3493"/>
      <c r="D418" s="1037">
        <v>4</v>
      </c>
      <c r="E418" s="2028" t="s">
        <v>267</v>
      </c>
      <c r="F418" s="940" t="s">
        <v>723</v>
      </c>
      <c r="G418" s="2508" t="s">
        <v>259</v>
      </c>
      <c r="H418" s="894">
        <v>40116</v>
      </c>
      <c r="I418" s="922" t="s">
        <v>183</v>
      </c>
      <c r="J418" s="922" t="s">
        <v>129</v>
      </c>
      <c r="K418" s="943" t="s">
        <v>467</v>
      </c>
      <c r="L418" s="936">
        <v>42383</v>
      </c>
      <c r="M418" s="945" t="s">
        <v>173</v>
      </c>
      <c r="N418" s="1275">
        <v>42391</v>
      </c>
      <c r="O418" s="938" t="s">
        <v>258</v>
      </c>
    </row>
    <row r="419" spans="2:16" hidden="1" outlineLevel="1">
      <c r="B419" s="889">
        <v>5</v>
      </c>
      <c r="C419" s="3493"/>
      <c r="D419" s="1276">
        <v>5</v>
      </c>
      <c r="E419" s="2029" t="s">
        <v>267</v>
      </c>
      <c r="F419" s="950" t="s">
        <v>723</v>
      </c>
      <c r="G419" s="1382" t="s">
        <v>259</v>
      </c>
      <c r="H419" s="894">
        <v>50116</v>
      </c>
      <c r="I419" s="922" t="s">
        <v>183</v>
      </c>
      <c r="J419" s="952" t="s">
        <v>129</v>
      </c>
      <c r="K419" s="953" t="s">
        <v>467</v>
      </c>
      <c r="L419" s="954">
        <v>42383</v>
      </c>
      <c r="M419" s="955" t="s">
        <v>173</v>
      </c>
      <c r="N419" s="1277">
        <v>42391</v>
      </c>
      <c r="O419" s="957" t="s">
        <v>258</v>
      </c>
    </row>
    <row r="420" spans="2:16" hidden="1" outlineLevel="1">
      <c r="B420" s="889">
        <v>6</v>
      </c>
      <c r="C420" s="3493"/>
      <c r="D420" s="1037">
        <v>6</v>
      </c>
      <c r="E420" s="2030" t="s">
        <v>267</v>
      </c>
      <c r="F420" s="959" t="s">
        <v>723</v>
      </c>
      <c r="G420" s="2508" t="s">
        <v>259</v>
      </c>
      <c r="H420" s="894">
        <v>60116</v>
      </c>
      <c r="I420" s="922" t="s">
        <v>183</v>
      </c>
      <c r="J420" s="934" t="s">
        <v>129</v>
      </c>
      <c r="K420" s="935" t="s">
        <v>467</v>
      </c>
      <c r="L420" s="936">
        <v>42383</v>
      </c>
      <c r="M420" s="960" t="s">
        <v>173</v>
      </c>
      <c r="N420" s="1275">
        <v>42391</v>
      </c>
      <c r="O420" s="938" t="s">
        <v>258</v>
      </c>
    </row>
    <row r="421" spans="2:16" hidden="1" outlineLevel="1">
      <c r="B421" s="889">
        <v>7</v>
      </c>
      <c r="C421" s="3493"/>
      <c r="D421" s="1278">
        <v>7</v>
      </c>
      <c r="E421" s="2031" t="s">
        <v>267</v>
      </c>
      <c r="F421" s="950" t="s">
        <v>723</v>
      </c>
      <c r="G421" s="2509" t="s">
        <v>259</v>
      </c>
      <c r="H421" s="894">
        <v>70116</v>
      </c>
      <c r="I421" s="922" t="s">
        <v>183</v>
      </c>
      <c r="J421" s="895" t="s">
        <v>129</v>
      </c>
      <c r="K421" s="896" t="s">
        <v>467</v>
      </c>
      <c r="L421" s="897">
        <v>42383</v>
      </c>
      <c r="M421" s="852" t="s">
        <v>173</v>
      </c>
      <c r="N421" s="1279">
        <v>42391</v>
      </c>
      <c r="O421" s="899" t="s">
        <v>258</v>
      </c>
    </row>
    <row r="422" spans="2:16" hidden="1" outlineLevel="1">
      <c r="B422" s="889">
        <v>8</v>
      </c>
      <c r="C422" s="3493"/>
      <c r="D422" s="1278">
        <v>8</v>
      </c>
      <c r="E422" s="2031" t="s">
        <v>267</v>
      </c>
      <c r="F422" s="892" t="s">
        <v>723</v>
      </c>
      <c r="G422" s="2509" t="s">
        <v>259</v>
      </c>
      <c r="H422" s="894">
        <v>80116</v>
      </c>
      <c r="I422" s="922" t="s">
        <v>183</v>
      </c>
      <c r="J422" s="895" t="s">
        <v>129</v>
      </c>
      <c r="K422" s="896" t="s">
        <v>467</v>
      </c>
      <c r="L422" s="897">
        <v>42383</v>
      </c>
      <c r="M422" s="852" t="s">
        <v>173</v>
      </c>
      <c r="N422" s="1279">
        <v>42391</v>
      </c>
      <c r="O422" s="899" t="s">
        <v>258</v>
      </c>
    </row>
    <row r="423" spans="2:16" hidden="1" outlineLevel="1">
      <c r="B423" s="889">
        <v>9</v>
      </c>
      <c r="C423" s="3493"/>
      <c r="D423" s="1278">
        <v>9</v>
      </c>
      <c r="E423" s="2031" t="s">
        <v>267</v>
      </c>
      <c r="F423" s="892" t="s">
        <v>723</v>
      </c>
      <c r="G423" s="2509" t="s">
        <v>259</v>
      </c>
      <c r="H423" s="894">
        <v>90116</v>
      </c>
      <c r="I423" s="922" t="s">
        <v>183</v>
      </c>
      <c r="J423" s="895" t="s">
        <v>129</v>
      </c>
      <c r="K423" s="896" t="s">
        <v>467</v>
      </c>
      <c r="L423" s="897">
        <v>42383</v>
      </c>
      <c r="M423" s="852" t="s">
        <v>173</v>
      </c>
      <c r="N423" s="1279">
        <v>42391</v>
      </c>
      <c r="O423" s="899" t="s">
        <v>258</v>
      </c>
    </row>
    <row r="424" spans="2:16" ht="15.75" hidden="1" outlineLevel="1" thickBot="1">
      <c r="B424" s="900">
        <v>10</v>
      </c>
      <c r="C424" s="3493"/>
      <c r="D424" s="1280">
        <v>10</v>
      </c>
      <c r="E424" s="2032" t="s">
        <v>267</v>
      </c>
      <c r="F424" s="904" t="s">
        <v>723</v>
      </c>
      <c r="G424" s="2516" t="s">
        <v>259</v>
      </c>
      <c r="H424" s="906">
        <v>100116</v>
      </c>
      <c r="I424" s="1295" t="s">
        <v>183</v>
      </c>
      <c r="J424" s="908" t="s">
        <v>129</v>
      </c>
      <c r="K424" s="909" t="s">
        <v>467</v>
      </c>
      <c r="L424" s="910">
        <v>42383</v>
      </c>
      <c r="M424" s="911" t="s">
        <v>173</v>
      </c>
      <c r="N424" s="1281">
        <v>42391</v>
      </c>
      <c r="O424" s="913" t="s">
        <v>258</v>
      </c>
    </row>
    <row r="425" spans="2:16" ht="15.2" hidden="1" customHeight="1" outlineLevel="1">
      <c r="B425" s="1283">
        <v>1</v>
      </c>
      <c r="C425" s="3493"/>
      <c r="D425" s="1024">
        <v>1</v>
      </c>
      <c r="E425" s="917" t="s">
        <v>133</v>
      </c>
      <c r="F425" s="918" t="s">
        <v>723</v>
      </c>
      <c r="G425" s="1384" t="s">
        <v>2009</v>
      </c>
      <c r="H425" s="920">
        <v>110116</v>
      </c>
      <c r="I425" s="1292" t="s">
        <v>179</v>
      </c>
      <c r="J425" s="922" t="s">
        <v>129</v>
      </c>
      <c r="K425" s="923" t="s">
        <v>467</v>
      </c>
      <c r="L425" s="924">
        <v>42383</v>
      </c>
      <c r="M425" s="925" t="s">
        <v>191</v>
      </c>
      <c r="N425" s="1248">
        <v>42385</v>
      </c>
      <c r="O425" s="927" t="s">
        <v>258</v>
      </c>
      <c r="P425" s="928"/>
    </row>
    <row r="426" spans="2:16" hidden="1" outlineLevel="1">
      <c r="B426" s="889">
        <v>2</v>
      </c>
      <c r="C426" s="3493"/>
      <c r="D426" s="1264">
        <v>2</v>
      </c>
      <c r="E426" s="1265" t="s">
        <v>133</v>
      </c>
      <c r="F426" s="1266" t="s">
        <v>723</v>
      </c>
      <c r="G426" s="2522" t="s">
        <v>2009</v>
      </c>
      <c r="H426" s="1267">
        <v>120116</v>
      </c>
      <c r="I426" s="1268" t="s">
        <v>179</v>
      </c>
      <c r="J426" s="1268" t="s">
        <v>129</v>
      </c>
      <c r="K426" s="1269" t="s">
        <v>467</v>
      </c>
      <c r="L426" s="1270">
        <v>42383</v>
      </c>
      <c r="M426" s="1271" t="s">
        <v>191</v>
      </c>
      <c r="N426" s="1272">
        <v>42385</v>
      </c>
      <c r="O426" s="1273" t="s">
        <v>258</v>
      </c>
      <c r="P426" s="928"/>
    </row>
    <row r="427" spans="2:16" hidden="1" outlineLevel="1">
      <c r="B427" s="889">
        <v>3</v>
      </c>
      <c r="C427" s="3493"/>
      <c r="D427" s="1078">
        <v>3</v>
      </c>
      <c r="E427" s="1287" t="s">
        <v>267</v>
      </c>
      <c r="F427" s="940" t="s">
        <v>723</v>
      </c>
      <c r="G427" s="1381" t="s">
        <v>259</v>
      </c>
      <c r="H427" s="894">
        <v>130116</v>
      </c>
      <c r="I427" s="922" t="s">
        <v>183</v>
      </c>
      <c r="J427" s="922" t="s">
        <v>129</v>
      </c>
      <c r="K427" s="943" t="s">
        <v>467</v>
      </c>
      <c r="L427" s="944">
        <v>42383</v>
      </c>
      <c r="M427" s="945" t="s">
        <v>191</v>
      </c>
      <c r="N427" s="1274">
        <v>42385</v>
      </c>
      <c r="O427" s="947" t="s">
        <v>258</v>
      </c>
    </row>
    <row r="428" spans="2:16" hidden="1" outlineLevel="1">
      <c r="B428" s="889">
        <v>4</v>
      </c>
      <c r="C428" s="3493"/>
      <c r="D428" s="1037">
        <v>4</v>
      </c>
      <c r="E428" s="1287" t="s">
        <v>267</v>
      </c>
      <c r="F428" s="940" t="s">
        <v>723</v>
      </c>
      <c r="G428" s="2508" t="s">
        <v>259</v>
      </c>
      <c r="H428" s="894">
        <v>140116</v>
      </c>
      <c r="I428" s="922" t="s">
        <v>183</v>
      </c>
      <c r="J428" s="922" t="s">
        <v>129</v>
      </c>
      <c r="K428" s="943" t="s">
        <v>467</v>
      </c>
      <c r="L428" s="936">
        <v>42383</v>
      </c>
      <c r="M428" s="945" t="s">
        <v>191</v>
      </c>
      <c r="N428" s="1275">
        <v>42385</v>
      </c>
      <c r="O428" s="938" t="s">
        <v>258</v>
      </c>
    </row>
    <row r="429" spans="2:16" hidden="1" outlineLevel="1">
      <c r="B429" s="889">
        <v>5</v>
      </c>
      <c r="C429" s="3493"/>
      <c r="D429" s="1276">
        <v>5</v>
      </c>
      <c r="E429" s="1288" t="s">
        <v>267</v>
      </c>
      <c r="F429" s="950" t="s">
        <v>723</v>
      </c>
      <c r="G429" s="1382" t="s">
        <v>259</v>
      </c>
      <c r="H429" s="894">
        <v>150116</v>
      </c>
      <c r="I429" s="922" t="s">
        <v>183</v>
      </c>
      <c r="J429" s="952" t="s">
        <v>129</v>
      </c>
      <c r="K429" s="953" t="s">
        <v>467</v>
      </c>
      <c r="L429" s="954">
        <v>42383</v>
      </c>
      <c r="M429" s="955" t="s">
        <v>191</v>
      </c>
      <c r="N429" s="1277">
        <v>42385</v>
      </c>
      <c r="O429" s="957" t="s">
        <v>258</v>
      </c>
    </row>
    <row r="430" spans="2:16" hidden="1" outlineLevel="1">
      <c r="B430" s="889">
        <v>6</v>
      </c>
      <c r="C430" s="3493"/>
      <c r="D430" s="1037">
        <v>6</v>
      </c>
      <c r="E430" s="1289" t="s">
        <v>267</v>
      </c>
      <c r="F430" s="959" t="s">
        <v>723</v>
      </c>
      <c r="G430" s="2508" t="s">
        <v>259</v>
      </c>
      <c r="H430" s="894">
        <v>160116</v>
      </c>
      <c r="I430" s="922" t="s">
        <v>183</v>
      </c>
      <c r="J430" s="934" t="s">
        <v>129</v>
      </c>
      <c r="K430" s="935" t="s">
        <v>467</v>
      </c>
      <c r="L430" s="936">
        <v>42383</v>
      </c>
      <c r="M430" s="960" t="s">
        <v>191</v>
      </c>
      <c r="N430" s="1275">
        <v>42385</v>
      </c>
      <c r="O430" s="938" t="s">
        <v>258</v>
      </c>
    </row>
    <row r="431" spans="2:16" hidden="1" outlineLevel="1">
      <c r="B431" s="889">
        <v>7</v>
      </c>
      <c r="C431" s="3493"/>
      <c r="D431" s="1278">
        <v>7</v>
      </c>
      <c r="E431" s="1290" t="s">
        <v>267</v>
      </c>
      <c r="F431" s="950" t="s">
        <v>723</v>
      </c>
      <c r="G431" s="2509" t="s">
        <v>259</v>
      </c>
      <c r="H431" s="894">
        <v>170116</v>
      </c>
      <c r="I431" s="922" t="s">
        <v>183</v>
      </c>
      <c r="J431" s="895" t="s">
        <v>129</v>
      </c>
      <c r="K431" s="896" t="s">
        <v>467</v>
      </c>
      <c r="L431" s="897">
        <v>42383</v>
      </c>
      <c r="M431" s="852" t="s">
        <v>191</v>
      </c>
      <c r="N431" s="1279">
        <v>42385</v>
      </c>
      <c r="O431" s="899" t="s">
        <v>258</v>
      </c>
    </row>
    <row r="432" spans="2:16" hidden="1" outlineLevel="1">
      <c r="B432" s="889">
        <v>8</v>
      </c>
      <c r="C432" s="3493"/>
      <c r="D432" s="1278">
        <v>8</v>
      </c>
      <c r="E432" s="1290" t="s">
        <v>267</v>
      </c>
      <c r="F432" s="892" t="s">
        <v>723</v>
      </c>
      <c r="G432" s="2509" t="s">
        <v>259</v>
      </c>
      <c r="H432" s="894">
        <v>180116</v>
      </c>
      <c r="I432" s="922" t="s">
        <v>183</v>
      </c>
      <c r="J432" s="895" t="s">
        <v>129</v>
      </c>
      <c r="K432" s="896" t="s">
        <v>467</v>
      </c>
      <c r="L432" s="897">
        <v>42383</v>
      </c>
      <c r="M432" s="852" t="s">
        <v>191</v>
      </c>
      <c r="N432" s="1279">
        <v>42385</v>
      </c>
      <c r="O432" s="899" t="s">
        <v>258</v>
      </c>
    </row>
    <row r="433" spans="2:16" hidden="1" outlineLevel="1">
      <c r="B433" s="889">
        <v>9</v>
      </c>
      <c r="C433" s="3493"/>
      <c r="D433" s="1278">
        <v>9</v>
      </c>
      <c r="E433" s="1290" t="s">
        <v>267</v>
      </c>
      <c r="F433" s="892" t="s">
        <v>723</v>
      </c>
      <c r="G433" s="2509" t="s">
        <v>259</v>
      </c>
      <c r="H433" s="894">
        <v>190116</v>
      </c>
      <c r="I433" s="922" t="s">
        <v>183</v>
      </c>
      <c r="J433" s="895" t="s">
        <v>129</v>
      </c>
      <c r="K433" s="896" t="s">
        <v>467</v>
      </c>
      <c r="L433" s="897">
        <v>42383</v>
      </c>
      <c r="M433" s="852" t="s">
        <v>191</v>
      </c>
      <c r="N433" s="1279">
        <v>42385</v>
      </c>
      <c r="O433" s="899" t="s">
        <v>258</v>
      </c>
    </row>
    <row r="434" spans="2:16" ht="15.75" hidden="1" outlineLevel="1" thickBot="1">
      <c r="B434" s="900">
        <v>10</v>
      </c>
      <c r="C434" s="3494"/>
      <c r="D434" s="1280">
        <v>10</v>
      </c>
      <c r="E434" s="1291" t="s">
        <v>267</v>
      </c>
      <c r="F434" s="904" t="s">
        <v>723</v>
      </c>
      <c r="G434" s="2516" t="s">
        <v>259</v>
      </c>
      <c r="H434" s="906">
        <v>200116</v>
      </c>
      <c r="I434" s="1295" t="s">
        <v>183</v>
      </c>
      <c r="J434" s="908" t="s">
        <v>129</v>
      </c>
      <c r="K434" s="909" t="s">
        <v>467</v>
      </c>
      <c r="L434" s="910">
        <v>42383</v>
      </c>
      <c r="M434" s="911" t="s">
        <v>191</v>
      </c>
      <c r="N434" s="1281">
        <v>42385</v>
      </c>
      <c r="O434" s="913" t="s">
        <v>258</v>
      </c>
    </row>
    <row r="435" spans="2:16" ht="8.1" customHeight="1" collapsed="1">
      <c r="D435" s="914"/>
    </row>
    <row r="436" spans="2:16" s="463" customFormat="1" ht="20.100000000000001" hidden="1" customHeight="1" outlineLevel="1" thickBot="1">
      <c r="B436" s="874" t="s">
        <v>704</v>
      </c>
      <c r="C436" s="875" t="s">
        <v>113</v>
      </c>
      <c r="D436" s="876" t="s">
        <v>176</v>
      </c>
      <c r="E436" s="877" t="s">
        <v>114</v>
      </c>
      <c r="F436" s="878" t="s">
        <v>705</v>
      </c>
      <c r="G436" s="2507" t="s">
        <v>115</v>
      </c>
      <c r="H436" s="880" t="s">
        <v>116</v>
      </c>
      <c r="I436" s="2554" t="s">
        <v>117</v>
      </c>
      <c r="J436" s="882" t="s">
        <v>118</v>
      </c>
      <c r="K436" s="883" t="s">
        <v>119</v>
      </c>
      <c r="L436" s="884" t="s">
        <v>713</v>
      </c>
      <c r="M436" s="885" t="s">
        <v>120</v>
      </c>
      <c r="N436" s="886" t="s">
        <v>121</v>
      </c>
      <c r="O436" s="887" t="s">
        <v>719</v>
      </c>
    </row>
    <row r="437" spans="2:16" ht="15.2" hidden="1" customHeight="1" outlineLevel="2" thickTop="1">
      <c r="B437" s="889">
        <v>1</v>
      </c>
      <c r="C437" s="3463" t="s">
        <v>540</v>
      </c>
      <c r="D437" s="1024">
        <v>1</v>
      </c>
      <c r="E437" s="917" t="s">
        <v>133</v>
      </c>
      <c r="F437" s="918" t="s">
        <v>723</v>
      </c>
      <c r="G437" s="1384" t="s">
        <v>253</v>
      </c>
      <c r="H437" s="920">
        <v>210316</v>
      </c>
      <c r="I437" s="1292" t="s">
        <v>179</v>
      </c>
      <c r="J437" s="922" t="s">
        <v>129</v>
      </c>
      <c r="K437" s="923" t="s">
        <v>254</v>
      </c>
      <c r="L437" s="924">
        <v>42017</v>
      </c>
      <c r="M437" s="925" t="s">
        <v>168</v>
      </c>
      <c r="N437" s="1248">
        <v>42443</v>
      </c>
      <c r="O437" s="927" t="s">
        <v>258</v>
      </c>
      <c r="P437" s="928"/>
    </row>
    <row r="438" spans="2:16" hidden="1" outlineLevel="2">
      <c r="B438" s="889">
        <v>2</v>
      </c>
      <c r="C438" s="3464"/>
      <c r="D438" s="1264">
        <v>2</v>
      </c>
      <c r="E438" s="1265" t="s">
        <v>133</v>
      </c>
      <c r="F438" s="1266" t="s">
        <v>723</v>
      </c>
      <c r="G438" s="2522" t="s">
        <v>253</v>
      </c>
      <c r="H438" s="1267">
        <v>220316</v>
      </c>
      <c r="I438" s="1268" t="s">
        <v>179</v>
      </c>
      <c r="J438" s="1268" t="s">
        <v>129</v>
      </c>
      <c r="K438" s="1269" t="s">
        <v>254</v>
      </c>
      <c r="L438" s="1270">
        <v>42017</v>
      </c>
      <c r="M438" s="1271" t="s">
        <v>168</v>
      </c>
      <c r="N438" s="1272">
        <v>42443</v>
      </c>
      <c r="O438" s="1273" t="s">
        <v>258</v>
      </c>
      <c r="P438" s="928"/>
    </row>
    <row r="439" spans="2:16" hidden="1" outlineLevel="2">
      <c r="B439" s="889">
        <v>3</v>
      </c>
      <c r="C439" s="3464"/>
      <c r="D439" s="1078">
        <v>3</v>
      </c>
      <c r="E439" s="1287" t="s">
        <v>267</v>
      </c>
      <c r="F439" s="940" t="s">
        <v>723</v>
      </c>
      <c r="G439" s="1381" t="s">
        <v>259</v>
      </c>
      <c r="H439" s="894">
        <v>230316</v>
      </c>
      <c r="I439" s="922" t="s">
        <v>183</v>
      </c>
      <c r="J439" s="922" t="s">
        <v>129</v>
      </c>
      <c r="K439" s="943" t="s">
        <v>254</v>
      </c>
      <c r="L439" s="944">
        <v>42017</v>
      </c>
      <c r="M439" s="945" t="s">
        <v>168</v>
      </c>
      <c r="N439" s="1274">
        <v>42443</v>
      </c>
      <c r="O439" s="947" t="s">
        <v>258</v>
      </c>
    </row>
    <row r="440" spans="2:16" hidden="1" outlineLevel="2">
      <c r="B440" s="889">
        <v>4</v>
      </c>
      <c r="C440" s="3464"/>
      <c r="D440" s="1037">
        <v>4</v>
      </c>
      <c r="E440" s="1287" t="s">
        <v>267</v>
      </c>
      <c r="F440" s="940" t="s">
        <v>723</v>
      </c>
      <c r="G440" s="2508" t="s">
        <v>259</v>
      </c>
      <c r="H440" s="894">
        <v>240316</v>
      </c>
      <c r="I440" s="922" t="s">
        <v>183</v>
      </c>
      <c r="J440" s="922" t="s">
        <v>129</v>
      </c>
      <c r="K440" s="943" t="s">
        <v>254</v>
      </c>
      <c r="L440" s="936">
        <v>42017</v>
      </c>
      <c r="M440" s="945" t="s">
        <v>168</v>
      </c>
      <c r="N440" s="1275">
        <v>42443</v>
      </c>
      <c r="O440" s="938" t="s">
        <v>258</v>
      </c>
    </row>
    <row r="441" spans="2:16" hidden="1" outlineLevel="2">
      <c r="B441" s="889">
        <v>5</v>
      </c>
      <c r="C441" s="3464"/>
      <c r="D441" s="1276">
        <v>5</v>
      </c>
      <c r="E441" s="1288" t="s">
        <v>267</v>
      </c>
      <c r="F441" s="950" t="s">
        <v>723</v>
      </c>
      <c r="G441" s="1382" t="s">
        <v>259</v>
      </c>
      <c r="H441" s="894">
        <v>250316</v>
      </c>
      <c r="I441" s="922" t="s">
        <v>183</v>
      </c>
      <c r="J441" s="952" t="s">
        <v>129</v>
      </c>
      <c r="K441" s="953" t="s">
        <v>254</v>
      </c>
      <c r="L441" s="954">
        <v>42017</v>
      </c>
      <c r="M441" s="955" t="s">
        <v>168</v>
      </c>
      <c r="N441" s="1277">
        <v>42443</v>
      </c>
      <c r="O441" s="957" t="s">
        <v>258</v>
      </c>
    </row>
    <row r="442" spans="2:16" hidden="1" outlineLevel="2">
      <c r="B442" s="889">
        <v>6</v>
      </c>
      <c r="C442" s="3465"/>
      <c r="D442" s="1037">
        <v>6</v>
      </c>
      <c r="E442" s="1289" t="s">
        <v>267</v>
      </c>
      <c r="F442" s="959" t="s">
        <v>723</v>
      </c>
      <c r="G442" s="2508" t="s">
        <v>259</v>
      </c>
      <c r="H442" s="894">
        <v>260316</v>
      </c>
      <c r="I442" s="922" t="s">
        <v>183</v>
      </c>
      <c r="J442" s="934" t="s">
        <v>129</v>
      </c>
      <c r="K442" s="935" t="s">
        <v>254</v>
      </c>
      <c r="L442" s="936">
        <v>42017</v>
      </c>
      <c r="M442" s="960" t="s">
        <v>168</v>
      </c>
      <c r="N442" s="1275">
        <v>42443</v>
      </c>
      <c r="O442" s="938" t="s">
        <v>258</v>
      </c>
    </row>
    <row r="443" spans="2:16" hidden="1" outlineLevel="2">
      <c r="B443" s="889">
        <v>7</v>
      </c>
      <c r="C443" s="3465"/>
      <c r="D443" s="1278">
        <v>7</v>
      </c>
      <c r="E443" s="1290" t="s">
        <v>267</v>
      </c>
      <c r="F443" s="950" t="s">
        <v>723</v>
      </c>
      <c r="G443" s="2509" t="s">
        <v>259</v>
      </c>
      <c r="H443" s="894">
        <v>270316</v>
      </c>
      <c r="I443" s="922" t="s">
        <v>183</v>
      </c>
      <c r="J443" s="895" t="s">
        <v>129</v>
      </c>
      <c r="K443" s="896" t="s">
        <v>254</v>
      </c>
      <c r="L443" s="897">
        <v>42017</v>
      </c>
      <c r="M443" s="852" t="s">
        <v>168</v>
      </c>
      <c r="N443" s="1279">
        <v>42443</v>
      </c>
      <c r="O443" s="899" t="s">
        <v>258</v>
      </c>
    </row>
    <row r="444" spans="2:16" hidden="1" outlineLevel="2">
      <c r="B444" s="889">
        <v>8</v>
      </c>
      <c r="C444" s="3465"/>
      <c r="D444" s="1278">
        <v>8</v>
      </c>
      <c r="E444" s="1290" t="s">
        <v>267</v>
      </c>
      <c r="F444" s="892" t="s">
        <v>723</v>
      </c>
      <c r="G444" s="2509" t="s">
        <v>259</v>
      </c>
      <c r="H444" s="894">
        <v>280316</v>
      </c>
      <c r="I444" s="922" t="s">
        <v>183</v>
      </c>
      <c r="J444" s="895" t="s">
        <v>129</v>
      </c>
      <c r="K444" s="896" t="s">
        <v>254</v>
      </c>
      <c r="L444" s="897">
        <v>42017</v>
      </c>
      <c r="M444" s="852" t="s">
        <v>168</v>
      </c>
      <c r="N444" s="1279">
        <v>42443</v>
      </c>
      <c r="O444" s="899" t="s">
        <v>258</v>
      </c>
    </row>
    <row r="445" spans="2:16" hidden="1" outlineLevel="2">
      <c r="B445" s="889">
        <v>9</v>
      </c>
      <c r="C445" s="3465"/>
      <c r="D445" s="1278">
        <v>9</v>
      </c>
      <c r="E445" s="1290" t="s">
        <v>267</v>
      </c>
      <c r="F445" s="892" t="s">
        <v>723</v>
      </c>
      <c r="G445" s="2509" t="s">
        <v>259</v>
      </c>
      <c r="H445" s="894">
        <v>290316</v>
      </c>
      <c r="I445" s="922" t="s">
        <v>183</v>
      </c>
      <c r="J445" s="895" t="s">
        <v>129</v>
      </c>
      <c r="K445" s="896" t="s">
        <v>254</v>
      </c>
      <c r="L445" s="897">
        <v>42017</v>
      </c>
      <c r="M445" s="852" t="s">
        <v>168</v>
      </c>
      <c r="N445" s="1279">
        <v>42443</v>
      </c>
      <c r="O445" s="899" t="s">
        <v>258</v>
      </c>
    </row>
    <row r="446" spans="2:16" ht="15.75" hidden="1" outlineLevel="2" thickBot="1">
      <c r="B446" s="900">
        <v>10</v>
      </c>
      <c r="C446" s="3466"/>
      <c r="D446" s="1280">
        <v>10</v>
      </c>
      <c r="E446" s="1291" t="s">
        <v>267</v>
      </c>
      <c r="F446" s="904" t="s">
        <v>723</v>
      </c>
      <c r="G446" s="2516" t="s">
        <v>259</v>
      </c>
      <c r="H446" s="906">
        <v>300316</v>
      </c>
      <c r="I446" s="1295" t="s">
        <v>183</v>
      </c>
      <c r="J446" s="908" t="s">
        <v>129</v>
      </c>
      <c r="K446" s="909" t="s">
        <v>254</v>
      </c>
      <c r="L446" s="910">
        <v>42017</v>
      </c>
      <c r="M446" s="911" t="s">
        <v>168</v>
      </c>
      <c r="N446" s="1281">
        <v>42443</v>
      </c>
      <c r="O446" s="913" t="s">
        <v>258</v>
      </c>
    </row>
    <row r="447" spans="2:16" ht="8.1" customHeight="1" collapsed="1">
      <c r="D447" s="914"/>
    </row>
    <row r="448" spans="2:16" s="463" customFormat="1" ht="20.100000000000001" hidden="1" customHeight="1" outlineLevel="1" thickBot="1">
      <c r="B448" s="874" t="s">
        <v>704</v>
      </c>
      <c r="C448" s="875" t="s">
        <v>113</v>
      </c>
      <c r="D448" s="876" t="s">
        <v>176</v>
      </c>
      <c r="E448" s="877" t="s">
        <v>114</v>
      </c>
      <c r="F448" s="878" t="s">
        <v>705</v>
      </c>
      <c r="G448" s="2507" t="s">
        <v>115</v>
      </c>
      <c r="H448" s="880" t="s">
        <v>116</v>
      </c>
      <c r="I448" s="2554" t="s">
        <v>117</v>
      </c>
      <c r="J448" s="882" t="s">
        <v>118</v>
      </c>
      <c r="K448" s="883" t="s">
        <v>119</v>
      </c>
      <c r="L448" s="884" t="s">
        <v>713</v>
      </c>
      <c r="M448" s="885" t="s">
        <v>120</v>
      </c>
      <c r="N448" s="886" t="s">
        <v>121</v>
      </c>
      <c r="O448" s="887" t="s">
        <v>719</v>
      </c>
    </row>
    <row r="449" spans="2:16" ht="15.2" hidden="1" customHeight="1" outlineLevel="2" thickTop="1">
      <c r="B449" s="889">
        <v>1</v>
      </c>
      <c r="C449" s="3463" t="s">
        <v>477</v>
      </c>
      <c r="D449" s="1024">
        <v>1</v>
      </c>
      <c r="E449" s="917" t="s">
        <v>133</v>
      </c>
      <c r="F449" s="918" t="s">
        <v>723</v>
      </c>
      <c r="G449" s="1384" t="s">
        <v>253</v>
      </c>
      <c r="H449" s="920">
        <v>430616</v>
      </c>
      <c r="I449" s="1292" t="s">
        <v>179</v>
      </c>
      <c r="J449" s="922" t="s">
        <v>129</v>
      </c>
      <c r="K449" s="923" t="s">
        <v>681</v>
      </c>
      <c r="L449" s="924">
        <v>42492</v>
      </c>
      <c r="M449" s="925" t="s">
        <v>154</v>
      </c>
      <c r="N449" s="1248">
        <v>42541</v>
      </c>
      <c r="O449" s="927" t="s">
        <v>258</v>
      </c>
      <c r="P449" s="928"/>
    </row>
    <row r="450" spans="2:16" ht="15.75" hidden="1" outlineLevel="2" thickBot="1">
      <c r="B450" s="889">
        <v>2</v>
      </c>
      <c r="C450" s="3464"/>
      <c r="D450" s="2068">
        <v>2</v>
      </c>
      <c r="E450" s="2069" t="s">
        <v>133</v>
      </c>
      <c r="F450" s="2070" t="s">
        <v>723</v>
      </c>
      <c r="G450" s="2523" t="s">
        <v>253</v>
      </c>
      <c r="H450" s="2071">
        <v>440616</v>
      </c>
      <c r="I450" s="2072" t="s">
        <v>179</v>
      </c>
      <c r="J450" s="2072" t="s">
        <v>129</v>
      </c>
      <c r="K450" s="2073" t="s">
        <v>681</v>
      </c>
      <c r="L450" s="2074">
        <v>42492</v>
      </c>
      <c r="M450" s="2075" t="s">
        <v>154</v>
      </c>
      <c r="N450" s="2076">
        <v>42541</v>
      </c>
      <c r="O450" s="2077" t="s">
        <v>258</v>
      </c>
      <c r="P450" s="928"/>
    </row>
    <row r="451" spans="2:16" ht="15.2" hidden="1" customHeight="1" outlineLevel="2" thickTop="1">
      <c r="B451" s="889">
        <v>3</v>
      </c>
      <c r="C451" s="3464"/>
      <c r="D451" s="1078">
        <v>1</v>
      </c>
      <c r="E451" s="978" t="s">
        <v>133</v>
      </c>
      <c r="F451" s="979" t="s">
        <v>723</v>
      </c>
      <c r="G451" s="1381" t="s">
        <v>253</v>
      </c>
      <c r="H451" s="981">
        <v>330516</v>
      </c>
      <c r="I451" s="922" t="s">
        <v>179</v>
      </c>
      <c r="J451" s="922" t="s">
        <v>129</v>
      </c>
      <c r="K451" s="943" t="s">
        <v>681</v>
      </c>
      <c r="L451" s="944">
        <v>42492</v>
      </c>
      <c r="M451" s="982" t="s">
        <v>130</v>
      </c>
      <c r="N451" s="983">
        <v>42508</v>
      </c>
      <c r="O451" s="1296" t="s">
        <v>258</v>
      </c>
      <c r="P451" s="928"/>
    </row>
    <row r="452" spans="2:16" hidden="1" outlineLevel="2">
      <c r="B452" s="889">
        <v>4</v>
      </c>
      <c r="C452" s="3464"/>
      <c r="D452" s="1264">
        <v>2</v>
      </c>
      <c r="E452" s="1265" t="s">
        <v>133</v>
      </c>
      <c r="F452" s="1266" t="s">
        <v>723</v>
      </c>
      <c r="G452" s="2522" t="s">
        <v>253</v>
      </c>
      <c r="H452" s="1267">
        <v>340516</v>
      </c>
      <c r="I452" s="1268" t="s">
        <v>179</v>
      </c>
      <c r="J452" s="1268" t="s">
        <v>129</v>
      </c>
      <c r="K452" s="1269" t="s">
        <v>681</v>
      </c>
      <c r="L452" s="1270">
        <v>42492</v>
      </c>
      <c r="M452" s="1271" t="s">
        <v>130</v>
      </c>
      <c r="N452" s="1272">
        <v>42508</v>
      </c>
      <c r="O452" s="1273" t="s">
        <v>258</v>
      </c>
      <c r="P452" s="928"/>
    </row>
    <row r="453" spans="2:16" hidden="1" outlineLevel="2">
      <c r="B453" s="889">
        <v>5</v>
      </c>
      <c r="C453" s="3464"/>
      <c r="D453" s="1078">
        <v>3</v>
      </c>
      <c r="E453" s="939" t="s">
        <v>133</v>
      </c>
      <c r="F453" s="940" t="s">
        <v>723</v>
      </c>
      <c r="G453" s="1381" t="s">
        <v>682</v>
      </c>
      <c r="H453" s="894">
        <v>350516</v>
      </c>
      <c r="I453" s="922" t="s">
        <v>183</v>
      </c>
      <c r="J453" s="922" t="s">
        <v>129</v>
      </c>
      <c r="K453" s="943" t="s">
        <v>681</v>
      </c>
      <c r="L453" s="944">
        <v>42492</v>
      </c>
      <c r="M453" s="945" t="s">
        <v>130</v>
      </c>
      <c r="N453" s="1274">
        <v>42508</v>
      </c>
      <c r="O453" s="947" t="s">
        <v>258</v>
      </c>
    </row>
    <row r="454" spans="2:16" hidden="1" outlineLevel="2">
      <c r="B454" s="889">
        <v>6</v>
      </c>
      <c r="C454" s="3464"/>
      <c r="D454" s="1037">
        <v>4</v>
      </c>
      <c r="E454" s="939" t="s">
        <v>133</v>
      </c>
      <c r="F454" s="940" t="s">
        <v>723</v>
      </c>
      <c r="G454" s="2508" t="s">
        <v>682</v>
      </c>
      <c r="H454" s="894">
        <v>360516</v>
      </c>
      <c r="I454" s="922" t="s">
        <v>183</v>
      </c>
      <c r="J454" s="922" t="s">
        <v>129</v>
      </c>
      <c r="K454" s="943" t="s">
        <v>681</v>
      </c>
      <c r="L454" s="936">
        <v>42492</v>
      </c>
      <c r="M454" s="945" t="s">
        <v>130</v>
      </c>
      <c r="N454" s="1275">
        <v>42508</v>
      </c>
      <c r="O454" s="938" t="s">
        <v>258</v>
      </c>
    </row>
    <row r="455" spans="2:16" hidden="1" outlineLevel="2">
      <c r="B455" s="889">
        <v>7</v>
      </c>
      <c r="C455" s="3464"/>
      <c r="D455" s="1276">
        <v>5</v>
      </c>
      <c r="E455" s="949" t="s">
        <v>133</v>
      </c>
      <c r="F455" s="950" t="s">
        <v>723</v>
      </c>
      <c r="G455" s="1382" t="s">
        <v>682</v>
      </c>
      <c r="H455" s="894">
        <v>370516</v>
      </c>
      <c r="I455" s="922" t="s">
        <v>183</v>
      </c>
      <c r="J455" s="952" t="s">
        <v>129</v>
      </c>
      <c r="K455" s="953" t="s">
        <v>681</v>
      </c>
      <c r="L455" s="954">
        <v>42492</v>
      </c>
      <c r="M455" s="955" t="s">
        <v>130</v>
      </c>
      <c r="N455" s="1277">
        <v>42508</v>
      </c>
      <c r="O455" s="957" t="s">
        <v>258</v>
      </c>
    </row>
    <row r="456" spans="2:16" hidden="1" outlineLevel="2">
      <c r="B456" s="889">
        <v>8</v>
      </c>
      <c r="C456" s="3465"/>
      <c r="D456" s="1037">
        <v>6</v>
      </c>
      <c r="E456" s="958" t="s">
        <v>133</v>
      </c>
      <c r="F456" s="959" t="s">
        <v>723</v>
      </c>
      <c r="G456" s="2508" t="s">
        <v>682</v>
      </c>
      <c r="H456" s="894">
        <v>380516</v>
      </c>
      <c r="I456" s="922" t="s">
        <v>183</v>
      </c>
      <c r="J456" s="934" t="s">
        <v>129</v>
      </c>
      <c r="K456" s="935" t="s">
        <v>681</v>
      </c>
      <c r="L456" s="936">
        <v>42492</v>
      </c>
      <c r="M456" s="960" t="s">
        <v>130</v>
      </c>
      <c r="N456" s="1275">
        <v>42508</v>
      </c>
      <c r="O456" s="938" t="s">
        <v>258</v>
      </c>
    </row>
    <row r="457" spans="2:16" hidden="1" outlineLevel="2">
      <c r="B457" s="889">
        <v>9</v>
      </c>
      <c r="C457" s="3465"/>
      <c r="D457" s="1278">
        <v>7</v>
      </c>
      <c r="E457" s="891" t="s">
        <v>133</v>
      </c>
      <c r="F457" s="950" t="s">
        <v>723</v>
      </c>
      <c r="G457" s="2509" t="s">
        <v>682</v>
      </c>
      <c r="H457" s="894">
        <v>390516</v>
      </c>
      <c r="I457" s="922" t="s">
        <v>183</v>
      </c>
      <c r="J457" s="895" t="s">
        <v>129</v>
      </c>
      <c r="K457" s="896" t="s">
        <v>681</v>
      </c>
      <c r="L457" s="897">
        <v>42492</v>
      </c>
      <c r="M457" s="852" t="s">
        <v>130</v>
      </c>
      <c r="N457" s="1279">
        <v>42508</v>
      </c>
      <c r="O457" s="899" t="s">
        <v>258</v>
      </c>
    </row>
    <row r="458" spans="2:16" hidden="1" outlineLevel="2">
      <c r="B458" s="889">
        <v>10</v>
      </c>
      <c r="C458" s="3465"/>
      <c r="D458" s="1278">
        <v>8</v>
      </c>
      <c r="E458" s="891" t="s">
        <v>133</v>
      </c>
      <c r="F458" s="892" t="s">
        <v>723</v>
      </c>
      <c r="G458" s="2509" t="s">
        <v>682</v>
      </c>
      <c r="H458" s="894">
        <v>400516</v>
      </c>
      <c r="I458" s="922" t="s">
        <v>183</v>
      </c>
      <c r="J458" s="895" t="s">
        <v>129</v>
      </c>
      <c r="K458" s="896" t="s">
        <v>681</v>
      </c>
      <c r="L458" s="897">
        <v>42492</v>
      </c>
      <c r="M458" s="852" t="s">
        <v>130</v>
      </c>
      <c r="N458" s="1279">
        <v>42508</v>
      </c>
      <c r="O458" s="899" t="s">
        <v>258</v>
      </c>
    </row>
    <row r="459" spans="2:16" hidden="1" outlineLevel="2">
      <c r="B459" s="889">
        <v>11</v>
      </c>
      <c r="C459" s="3465"/>
      <c r="D459" s="1278">
        <v>9</v>
      </c>
      <c r="E459" s="891" t="s">
        <v>133</v>
      </c>
      <c r="F459" s="892" t="s">
        <v>723</v>
      </c>
      <c r="G459" s="2509" t="s">
        <v>682</v>
      </c>
      <c r="H459" s="894">
        <v>410516</v>
      </c>
      <c r="I459" s="922" t="s">
        <v>183</v>
      </c>
      <c r="J459" s="895" t="s">
        <v>129</v>
      </c>
      <c r="K459" s="896" t="s">
        <v>681</v>
      </c>
      <c r="L459" s="897">
        <v>42492</v>
      </c>
      <c r="M459" s="852" t="s">
        <v>130</v>
      </c>
      <c r="N459" s="1279">
        <v>42508</v>
      </c>
      <c r="O459" s="899" t="s">
        <v>258</v>
      </c>
    </row>
    <row r="460" spans="2:16" ht="15.75" hidden="1" outlineLevel="2" thickBot="1">
      <c r="B460" s="900">
        <v>12</v>
      </c>
      <c r="C460" s="3466"/>
      <c r="D460" s="1280">
        <v>10</v>
      </c>
      <c r="E460" s="903" t="s">
        <v>133</v>
      </c>
      <c r="F460" s="904" t="s">
        <v>723</v>
      </c>
      <c r="G460" s="2516" t="s">
        <v>682</v>
      </c>
      <c r="H460" s="906">
        <v>420516</v>
      </c>
      <c r="I460" s="1295" t="s">
        <v>183</v>
      </c>
      <c r="J460" s="908" t="s">
        <v>129</v>
      </c>
      <c r="K460" s="909" t="s">
        <v>681</v>
      </c>
      <c r="L460" s="910">
        <v>42492</v>
      </c>
      <c r="M460" s="911" t="s">
        <v>130</v>
      </c>
      <c r="N460" s="1281">
        <v>42508</v>
      </c>
      <c r="O460" s="913" t="s">
        <v>258</v>
      </c>
    </row>
    <row r="461" spans="2:16" ht="8.1" customHeight="1" collapsed="1">
      <c r="D461" s="914"/>
    </row>
    <row r="462" spans="2:16" s="463" customFormat="1" ht="20.100000000000001" hidden="1" customHeight="1" outlineLevel="1" thickBot="1">
      <c r="B462" s="874" t="s">
        <v>704</v>
      </c>
      <c r="C462" s="875" t="s">
        <v>113</v>
      </c>
      <c r="D462" s="876" t="s">
        <v>176</v>
      </c>
      <c r="E462" s="877" t="s">
        <v>114</v>
      </c>
      <c r="F462" s="878" t="s">
        <v>705</v>
      </c>
      <c r="G462" s="2507" t="s">
        <v>115</v>
      </c>
      <c r="H462" s="880" t="s">
        <v>116</v>
      </c>
      <c r="I462" s="2554" t="s">
        <v>117</v>
      </c>
      <c r="J462" s="882" t="s">
        <v>118</v>
      </c>
      <c r="K462" s="883" t="s">
        <v>119</v>
      </c>
      <c r="L462" s="884" t="s">
        <v>713</v>
      </c>
      <c r="M462" s="885" t="s">
        <v>120</v>
      </c>
      <c r="N462" s="886" t="s">
        <v>121</v>
      </c>
      <c r="O462" s="887" t="s">
        <v>719</v>
      </c>
    </row>
    <row r="463" spans="2:16" ht="15.2" hidden="1" customHeight="1" outlineLevel="2" thickTop="1">
      <c r="B463" s="889">
        <v>1</v>
      </c>
      <c r="C463" s="3463" t="s">
        <v>204</v>
      </c>
      <c r="D463" s="1078">
        <v>1</v>
      </c>
      <c r="E463" s="978" t="s">
        <v>133</v>
      </c>
      <c r="F463" s="979" t="s">
        <v>723</v>
      </c>
      <c r="G463" s="1381" t="s">
        <v>253</v>
      </c>
      <c r="H463" s="981">
        <v>450616</v>
      </c>
      <c r="I463" s="922" t="s">
        <v>179</v>
      </c>
      <c r="J463" s="922" t="s">
        <v>129</v>
      </c>
      <c r="K463" s="943" t="s">
        <v>689</v>
      </c>
      <c r="L463" s="944">
        <v>42548</v>
      </c>
      <c r="M463" s="982" t="s">
        <v>173</v>
      </c>
      <c r="N463" s="983">
        <v>42557</v>
      </c>
      <c r="O463" s="1296" t="s">
        <v>258</v>
      </c>
      <c r="P463" s="928"/>
    </row>
    <row r="464" spans="2:16" hidden="1" outlineLevel="2">
      <c r="B464" s="889">
        <v>2</v>
      </c>
      <c r="C464" s="3464"/>
      <c r="D464" s="1264">
        <v>2</v>
      </c>
      <c r="E464" s="1265" t="s">
        <v>133</v>
      </c>
      <c r="F464" s="1266" t="s">
        <v>723</v>
      </c>
      <c r="G464" s="2522" t="s">
        <v>253</v>
      </c>
      <c r="H464" s="1267">
        <v>460616</v>
      </c>
      <c r="I464" s="1268" t="s">
        <v>179</v>
      </c>
      <c r="J464" s="1268" t="s">
        <v>129</v>
      </c>
      <c r="K464" s="1269" t="s">
        <v>689</v>
      </c>
      <c r="L464" s="1270">
        <v>42548</v>
      </c>
      <c r="M464" s="2106" t="s">
        <v>173</v>
      </c>
      <c r="N464" s="1272">
        <v>42557</v>
      </c>
      <c r="O464" s="1273" t="s">
        <v>258</v>
      </c>
      <c r="P464" s="928"/>
    </row>
    <row r="465" spans="2:16" hidden="1" outlineLevel="2">
      <c r="B465" s="889">
        <v>3</v>
      </c>
      <c r="C465" s="3464"/>
      <c r="D465" s="1078">
        <v>3</v>
      </c>
      <c r="E465" s="939" t="s">
        <v>133</v>
      </c>
      <c r="F465" s="940" t="s">
        <v>723</v>
      </c>
      <c r="G465" s="1381" t="s">
        <v>682</v>
      </c>
      <c r="H465" s="894">
        <v>470616</v>
      </c>
      <c r="I465" s="922" t="s">
        <v>183</v>
      </c>
      <c r="J465" s="922" t="s">
        <v>129</v>
      </c>
      <c r="K465" s="943" t="s">
        <v>689</v>
      </c>
      <c r="L465" s="944">
        <v>42548</v>
      </c>
      <c r="M465" s="2105" t="s">
        <v>173</v>
      </c>
      <c r="N465" s="1274">
        <v>42557</v>
      </c>
      <c r="O465" s="947" t="s">
        <v>258</v>
      </c>
    </row>
    <row r="466" spans="2:16" hidden="1" outlineLevel="2">
      <c r="B466" s="889">
        <v>4</v>
      </c>
      <c r="C466" s="3464"/>
      <c r="D466" s="1037">
        <v>4</v>
      </c>
      <c r="E466" s="939" t="s">
        <v>133</v>
      </c>
      <c r="F466" s="940" t="s">
        <v>723</v>
      </c>
      <c r="G466" s="2508" t="s">
        <v>682</v>
      </c>
      <c r="H466" s="894">
        <v>480616</v>
      </c>
      <c r="I466" s="922" t="s">
        <v>183</v>
      </c>
      <c r="J466" s="922" t="s">
        <v>129</v>
      </c>
      <c r="K466" s="943" t="s">
        <v>689</v>
      </c>
      <c r="L466" s="936">
        <v>42548</v>
      </c>
      <c r="M466" s="852" t="s">
        <v>173</v>
      </c>
      <c r="N466" s="1275">
        <v>42557</v>
      </c>
      <c r="O466" s="938" t="s">
        <v>258</v>
      </c>
    </row>
    <row r="467" spans="2:16" hidden="1" outlineLevel="2">
      <c r="B467" s="889">
        <v>5</v>
      </c>
      <c r="C467" s="3464"/>
      <c r="D467" s="1276">
        <v>5</v>
      </c>
      <c r="E467" s="949" t="s">
        <v>133</v>
      </c>
      <c r="F467" s="950" t="s">
        <v>723</v>
      </c>
      <c r="G467" s="1382" t="s">
        <v>682</v>
      </c>
      <c r="H467" s="894">
        <v>490616</v>
      </c>
      <c r="I467" s="922" t="s">
        <v>183</v>
      </c>
      <c r="J467" s="952" t="s">
        <v>129</v>
      </c>
      <c r="K467" s="953" t="s">
        <v>689</v>
      </c>
      <c r="L467" s="954">
        <v>42548</v>
      </c>
      <c r="M467" s="852" t="s">
        <v>173</v>
      </c>
      <c r="N467" s="1277">
        <v>42557</v>
      </c>
      <c r="O467" s="957" t="s">
        <v>258</v>
      </c>
    </row>
    <row r="468" spans="2:16" hidden="1" outlineLevel="2">
      <c r="B468" s="889">
        <v>6</v>
      </c>
      <c r="C468" s="3465"/>
      <c r="D468" s="1037">
        <v>6</v>
      </c>
      <c r="E468" s="958" t="s">
        <v>133</v>
      </c>
      <c r="F468" s="959" t="s">
        <v>723</v>
      </c>
      <c r="G468" s="2508" t="s">
        <v>682</v>
      </c>
      <c r="H468" s="894">
        <v>501616</v>
      </c>
      <c r="I468" s="922" t="s">
        <v>183</v>
      </c>
      <c r="J468" s="934" t="s">
        <v>129</v>
      </c>
      <c r="K468" s="935" t="s">
        <v>689</v>
      </c>
      <c r="L468" s="936">
        <v>42548</v>
      </c>
      <c r="M468" s="852" t="s">
        <v>173</v>
      </c>
      <c r="N468" s="1275">
        <v>42557</v>
      </c>
      <c r="O468" s="938" t="s">
        <v>258</v>
      </c>
    </row>
    <row r="469" spans="2:16" hidden="1" outlineLevel="2">
      <c r="B469" s="889">
        <v>7</v>
      </c>
      <c r="C469" s="3465"/>
      <c r="D469" s="1278">
        <v>7</v>
      </c>
      <c r="E469" s="891" t="s">
        <v>133</v>
      </c>
      <c r="F469" s="950" t="s">
        <v>723</v>
      </c>
      <c r="G469" s="2509" t="s">
        <v>682</v>
      </c>
      <c r="H469" s="894">
        <v>511606</v>
      </c>
      <c r="I469" s="922" t="s">
        <v>183</v>
      </c>
      <c r="J469" s="895" t="s">
        <v>129</v>
      </c>
      <c r="K469" s="896" t="s">
        <v>689</v>
      </c>
      <c r="L469" s="897">
        <v>42548</v>
      </c>
      <c r="M469" s="852" t="s">
        <v>173</v>
      </c>
      <c r="N469" s="1279">
        <v>42557</v>
      </c>
      <c r="O469" s="899" t="s">
        <v>258</v>
      </c>
    </row>
    <row r="470" spans="2:16" hidden="1" outlineLevel="2">
      <c r="B470" s="889">
        <v>8</v>
      </c>
      <c r="C470" s="3465"/>
      <c r="D470" s="1278">
        <v>8</v>
      </c>
      <c r="E470" s="891" t="s">
        <v>133</v>
      </c>
      <c r="F470" s="892" t="s">
        <v>723</v>
      </c>
      <c r="G470" s="2509" t="s">
        <v>682</v>
      </c>
      <c r="H470" s="894">
        <v>520616</v>
      </c>
      <c r="I470" s="922" t="s">
        <v>183</v>
      </c>
      <c r="J470" s="895" t="s">
        <v>129</v>
      </c>
      <c r="K470" s="896" t="s">
        <v>689</v>
      </c>
      <c r="L470" s="897">
        <v>42548</v>
      </c>
      <c r="M470" s="852" t="s">
        <v>173</v>
      </c>
      <c r="N470" s="1279">
        <v>42557</v>
      </c>
      <c r="O470" s="899" t="s">
        <v>258</v>
      </c>
    </row>
    <row r="471" spans="2:16" hidden="1" outlineLevel="2">
      <c r="B471" s="889">
        <v>9</v>
      </c>
      <c r="C471" s="3465"/>
      <c r="D471" s="1278">
        <v>9</v>
      </c>
      <c r="E471" s="891" t="s">
        <v>133</v>
      </c>
      <c r="F471" s="892" t="s">
        <v>723</v>
      </c>
      <c r="G471" s="2509" t="s">
        <v>682</v>
      </c>
      <c r="H471" s="894">
        <v>530616</v>
      </c>
      <c r="I471" s="922" t="s">
        <v>183</v>
      </c>
      <c r="J471" s="895" t="s">
        <v>129</v>
      </c>
      <c r="K471" s="896" t="s">
        <v>689</v>
      </c>
      <c r="L471" s="897">
        <v>42548</v>
      </c>
      <c r="M471" s="852" t="s">
        <v>173</v>
      </c>
      <c r="N471" s="1279">
        <v>42557</v>
      </c>
      <c r="O471" s="899" t="s">
        <v>258</v>
      </c>
    </row>
    <row r="472" spans="2:16" ht="15.75" hidden="1" outlineLevel="2" thickBot="1">
      <c r="B472" s="900">
        <v>10</v>
      </c>
      <c r="C472" s="3466"/>
      <c r="D472" s="1280">
        <v>10</v>
      </c>
      <c r="E472" s="903" t="s">
        <v>133</v>
      </c>
      <c r="F472" s="904" t="s">
        <v>723</v>
      </c>
      <c r="G472" s="2516" t="s">
        <v>682</v>
      </c>
      <c r="H472" s="906">
        <v>540616</v>
      </c>
      <c r="I472" s="1295" t="s">
        <v>183</v>
      </c>
      <c r="J472" s="908" t="s">
        <v>129</v>
      </c>
      <c r="K472" s="909" t="s">
        <v>689</v>
      </c>
      <c r="L472" s="910">
        <v>42548</v>
      </c>
      <c r="M472" s="911" t="s">
        <v>173</v>
      </c>
      <c r="N472" s="1281">
        <v>42557</v>
      </c>
      <c r="O472" s="913" t="s">
        <v>258</v>
      </c>
    </row>
    <row r="473" spans="2:16" ht="8.1" customHeight="1" collapsed="1"/>
    <row r="474" spans="2:16" s="463" customFormat="1" ht="20.100000000000001" hidden="1" customHeight="1" outlineLevel="1" thickBot="1">
      <c r="B474" s="874" t="s">
        <v>704</v>
      </c>
      <c r="C474" s="875" t="s">
        <v>113</v>
      </c>
      <c r="D474" s="876" t="s">
        <v>176</v>
      </c>
      <c r="E474" s="877" t="s">
        <v>114</v>
      </c>
      <c r="F474" s="878" t="s">
        <v>705</v>
      </c>
      <c r="G474" s="2507" t="s">
        <v>115</v>
      </c>
      <c r="H474" s="880" t="s">
        <v>116</v>
      </c>
      <c r="I474" s="2554" t="s">
        <v>117</v>
      </c>
      <c r="J474" s="882" t="s">
        <v>118</v>
      </c>
      <c r="K474" s="883" t="s">
        <v>119</v>
      </c>
      <c r="L474" s="884" t="s">
        <v>713</v>
      </c>
      <c r="M474" s="885" t="s">
        <v>120</v>
      </c>
      <c r="N474" s="886" t="s">
        <v>121</v>
      </c>
      <c r="O474" s="887" t="s">
        <v>719</v>
      </c>
    </row>
    <row r="475" spans="2:16" ht="15.2" hidden="1" customHeight="1" outlineLevel="2" thickTop="1">
      <c r="B475" s="889">
        <v>1</v>
      </c>
      <c r="C475" s="3463" t="s">
        <v>444</v>
      </c>
      <c r="D475" s="2326">
        <v>1</v>
      </c>
      <c r="E475" s="2111" t="s">
        <v>133</v>
      </c>
      <c r="F475" s="2112" t="s">
        <v>723</v>
      </c>
      <c r="G475" s="2524" t="s">
        <v>1859</v>
      </c>
      <c r="H475" s="981">
        <v>550716</v>
      </c>
      <c r="I475" s="922" t="s">
        <v>1860</v>
      </c>
      <c r="J475" s="922" t="s">
        <v>129</v>
      </c>
      <c r="K475" s="943" t="s">
        <v>1864</v>
      </c>
      <c r="L475" s="944">
        <v>42569</v>
      </c>
      <c r="M475" s="982" t="s">
        <v>1806</v>
      </c>
      <c r="N475" s="983">
        <v>42569</v>
      </c>
      <c r="O475" s="1296" t="s">
        <v>1141</v>
      </c>
      <c r="P475" s="928"/>
    </row>
    <row r="476" spans="2:16" ht="15.75" hidden="1" outlineLevel="2">
      <c r="B476" s="889">
        <v>2</v>
      </c>
      <c r="C476" s="3464"/>
      <c r="D476" s="2327">
        <v>2</v>
      </c>
      <c r="E476" s="2138" t="s">
        <v>133</v>
      </c>
      <c r="F476" s="2139" t="s">
        <v>723</v>
      </c>
      <c r="G476" s="2525" t="s">
        <v>1859</v>
      </c>
      <c r="H476" s="933">
        <v>560716</v>
      </c>
      <c r="I476" s="934" t="s">
        <v>1860</v>
      </c>
      <c r="J476" s="934" t="s">
        <v>129</v>
      </c>
      <c r="K476" s="935" t="s">
        <v>1864</v>
      </c>
      <c r="L476" s="936">
        <v>42569</v>
      </c>
      <c r="M476" s="852" t="s">
        <v>1806</v>
      </c>
      <c r="N476" s="976">
        <v>42569</v>
      </c>
      <c r="O476" s="938" t="s">
        <v>1141</v>
      </c>
      <c r="P476" s="928"/>
    </row>
    <row r="477" spans="2:16" ht="15.75" hidden="1" outlineLevel="2">
      <c r="B477" s="889">
        <v>3</v>
      </c>
      <c r="C477" s="3464"/>
      <c r="D477" s="2326">
        <v>3</v>
      </c>
      <c r="E477" s="2113" t="s">
        <v>133</v>
      </c>
      <c r="F477" s="2114" t="s">
        <v>723</v>
      </c>
      <c r="G477" s="2524" t="s">
        <v>1859</v>
      </c>
      <c r="H477" s="942">
        <v>570716</v>
      </c>
      <c r="I477" s="922" t="s">
        <v>1860</v>
      </c>
      <c r="J477" s="922" t="s">
        <v>129</v>
      </c>
      <c r="K477" s="943" t="s">
        <v>1864</v>
      </c>
      <c r="L477" s="944">
        <v>42569</v>
      </c>
      <c r="M477" s="2105" t="s">
        <v>1806</v>
      </c>
      <c r="N477" s="983">
        <v>42569</v>
      </c>
      <c r="O477" s="947" t="s">
        <v>1141</v>
      </c>
    </row>
    <row r="478" spans="2:16" ht="15.75" hidden="1" outlineLevel="2">
      <c r="B478" s="889">
        <v>4</v>
      </c>
      <c r="C478" s="3464"/>
      <c r="D478" s="2327">
        <v>4</v>
      </c>
      <c r="E478" s="2113" t="s">
        <v>133</v>
      </c>
      <c r="F478" s="2114" t="s">
        <v>723</v>
      </c>
      <c r="G478" s="2525" t="s">
        <v>1859</v>
      </c>
      <c r="H478" s="894">
        <v>580716</v>
      </c>
      <c r="I478" s="922" t="s">
        <v>1860</v>
      </c>
      <c r="J478" s="922" t="s">
        <v>129</v>
      </c>
      <c r="K478" s="943" t="s">
        <v>1864</v>
      </c>
      <c r="L478" s="936">
        <v>42569</v>
      </c>
      <c r="M478" s="852" t="s">
        <v>1806</v>
      </c>
      <c r="N478" s="976">
        <v>42569</v>
      </c>
      <c r="O478" s="938" t="s">
        <v>1142</v>
      </c>
    </row>
    <row r="479" spans="2:16" ht="15.75" hidden="1" outlineLevel="2">
      <c r="B479" s="889">
        <v>5</v>
      </c>
      <c r="C479" s="3464"/>
      <c r="D479" s="2328">
        <v>5</v>
      </c>
      <c r="E479" s="2117" t="s">
        <v>133</v>
      </c>
      <c r="F479" s="2118" t="s">
        <v>723</v>
      </c>
      <c r="G479" s="2526" t="s">
        <v>1859</v>
      </c>
      <c r="H479" s="894">
        <v>590716</v>
      </c>
      <c r="I479" s="922" t="s">
        <v>1860</v>
      </c>
      <c r="J479" s="952" t="s">
        <v>129</v>
      </c>
      <c r="K479" s="953" t="s">
        <v>1864</v>
      </c>
      <c r="L479" s="954">
        <v>42569</v>
      </c>
      <c r="M479" s="852" t="s">
        <v>1806</v>
      </c>
      <c r="N479" s="1284">
        <v>42569</v>
      </c>
      <c r="O479" s="957" t="s">
        <v>1141</v>
      </c>
    </row>
    <row r="480" spans="2:16" ht="15.75" hidden="1" outlineLevel="2">
      <c r="B480" s="889">
        <v>6</v>
      </c>
      <c r="C480" s="3465"/>
      <c r="D480" s="2329">
        <v>6</v>
      </c>
      <c r="E480" s="2131" t="s">
        <v>133</v>
      </c>
      <c r="F480" s="2132" t="s">
        <v>723</v>
      </c>
      <c r="G480" s="2527" t="s">
        <v>1859</v>
      </c>
      <c r="H480" s="2133">
        <v>600716</v>
      </c>
      <c r="I480" s="2134" t="s">
        <v>1860</v>
      </c>
      <c r="J480" s="2134" t="s">
        <v>129</v>
      </c>
      <c r="K480" s="2135" t="s">
        <v>1864</v>
      </c>
      <c r="L480" s="2136">
        <v>42569</v>
      </c>
      <c r="M480" s="2106" t="s">
        <v>1806</v>
      </c>
      <c r="N480" s="2154">
        <v>42569</v>
      </c>
      <c r="O480" s="2137" t="s">
        <v>1141</v>
      </c>
    </row>
    <row r="481" spans="2:16" ht="15.75" hidden="1" outlineLevel="2" thickBot="1">
      <c r="B481" s="900">
        <v>7</v>
      </c>
      <c r="C481" s="3466"/>
      <c r="D481" s="2330" t="s">
        <v>1865</v>
      </c>
      <c r="E481" s="2123" t="s">
        <v>133</v>
      </c>
      <c r="F481" s="2124" t="s">
        <v>723</v>
      </c>
      <c r="G481" s="2528" t="s">
        <v>1859</v>
      </c>
      <c r="H481" s="2125">
        <v>610716</v>
      </c>
      <c r="I481" s="991" t="s">
        <v>1860</v>
      </c>
      <c r="J481" s="2126" t="s">
        <v>129</v>
      </c>
      <c r="K481" s="2127" t="s">
        <v>1864</v>
      </c>
      <c r="L481" s="2128">
        <v>42569</v>
      </c>
      <c r="M481" s="2129" t="s">
        <v>1806</v>
      </c>
      <c r="N481" s="1132">
        <v>42569</v>
      </c>
      <c r="O481" s="2130" t="s">
        <v>1141</v>
      </c>
    </row>
    <row r="482" spans="2:16" ht="8.1" customHeight="1" collapsed="1"/>
    <row r="483" spans="2:16" s="463" customFormat="1" ht="20.100000000000001" hidden="1" customHeight="1" outlineLevel="1" thickBot="1">
      <c r="B483" s="874" t="s">
        <v>704</v>
      </c>
      <c r="C483" s="875" t="s">
        <v>113</v>
      </c>
      <c r="D483" s="876" t="s">
        <v>176</v>
      </c>
      <c r="E483" s="877" t="s">
        <v>114</v>
      </c>
      <c r="F483" s="878" t="s">
        <v>705</v>
      </c>
      <c r="G483" s="2507" t="s">
        <v>115</v>
      </c>
      <c r="H483" s="880" t="s">
        <v>116</v>
      </c>
      <c r="I483" s="2554" t="s">
        <v>117</v>
      </c>
      <c r="J483" s="882" t="s">
        <v>118</v>
      </c>
      <c r="K483" s="883" t="s">
        <v>119</v>
      </c>
      <c r="L483" s="884" t="s">
        <v>713</v>
      </c>
      <c r="M483" s="885" t="s">
        <v>120</v>
      </c>
      <c r="N483" s="886" t="s">
        <v>121</v>
      </c>
      <c r="O483" s="887" t="s">
        <v>719</v>
      </c>
    </row>
    <row r="484" spans="2:16" ht="15.2" hidden="1" customHeight="1" outlineLevel="2" thickTop="1">
      <c r="B484" s="889">
        <v>1</v>
      </c>
      <c r="C484" s="3463" t="s">
        <v>447</v>
      </c>
      <c r="D484" s="1078">
        <v>1</v>
      </c>
      <c r="E484" s="2111" t="s">
        <v>1795</v>
      </c>
      <c r="F484" s="2112" t="s">
        <v>723</v>
      </c>
      <c r="G484" s="2524" t="s">
        <v>1796</v>
      </c>
      <c r="H484" s="981">
        <v>620816</v>
      </c>
      <c r="I484" s="922" t="s">
        <v>179</v>
      </c>
      <c r="J484" s="922" t="s">
        <v>1798</v>
      </c>
      <c r="K484" s="1313" t="s">
        <v>1805</v>
      </c>
      <c r="L484" s="944">
        <v>42551</v>
      </c>
      <c r="M484" s="982" t="s">
        <v>1799</v>
      </c>
      <c r="N484" s="1006">
        <v>42592</v>
      </c>
      <c r="O484" s="974" t="s">
        <v>1800</v>
      </c>
      <c r="P484" s="928"/>
    </row>
    <row r="485" spans="2:16" hidden="1" outlineLevel="2">
      <c r="B485" s="889">
        <v>2</v>
      </c>
      <c r="C485" s="3464"/>
      <c r="D485" s="2325">
        <v>2</v>
      </c>
      <c r="E485" s="2144" t="s">
        <v>1795</v>
      </c>
      <c r="F485" s="2145" t="s">
        <v>723</v>
      </c>
      <c r="G485" s="2529" t="s">
        <v>1796</v>
      </c>
      <c r="H485" s="2146">
        <v>630816</v>
      </c>
      <c r="I485" s="2147" t="s">
        <v>179</v>
      </c>
      <c r="J485" s="2147" t="s">
        <v>1798</v>
      </c>
      <c r="K485" s="2151" t="s">
        <v>1805</v>
      </c>
      <c r="L485" s="2148">
        <v>42551</v>
      </c>
      <c r="M485" s="2149" t="s">
        <v>1799</v>
      </c>
      <c r="N485" s="2150">
        <v>42592</v>
      </c>
      <c r="O485" s="938" t="s">
        <v>1800</v>
      </c>
      <c r="P485" s="928"/>
    </row>
    <row r="486" spans="2:16" ht="15.75" hidden="1" outlineLevel="2">
      <c r="B486" s="889">
        <v>3</v>
      </c>
      <c r="C486" s="3464"/>
      <c r="D486" s="2326">
        <v>3</v>
      </c>
      <c r="E486" s="2113" t="s">
        <v>1795</v>
      </c>
      <c r="F486" s="2114" t="s">
        <v>723</v>
      </c>
      <c r="G486" s="2524" t="s">
        <v>1797</v>
      </c>
      <c r="H486" s="942">
        <v>640816</v>
      </c>
      <c r="I486" s="922" t="s">
        <v>1860</v>
      </c>
      <c r="J486" s="922" t="s">
        <v>1798</v>
      </c>
      <c r="K486" s="1313" t="s">
        <v>1805</v>
      </c>
      <c r="L486" s="944">
        <v>42551</v>
      </c>
      <c r="M486" s="2105" t="s">
        <v>1799</v>
      </c>
      <c r="N486" s="983">
        <v>42592</v>
      </c>
      <c r="O486" s="938" t="s">
        <v>1801</v>
      </c>
    </row>
    <row r="487" spans="2:16" ht="15.75" hidden="1" outlineLevel="2">
      <c r="B487" s="889">
        <v>4</v>
      </c>
      <c r="C487" s="3464"/>
      <c r="D487" s="2327">
        <v>4</v>
      </c>
      <c r="E487" s="2113" t="s">
        <v>1795</v>
      </c>
      <c r="F487" s="2114" t="s">
        <v>723</v>
      </c>
      <c r="G487" s="2525" t="s">
        <v>1797</v>
      </c>
      <c r="H487" s="894">
        <v>650816</v>
      </c>
      <c r="I487" s="922" t="s">
        <v>1860</v>
      </c>
      <c r="J487" s="922" t="s">
        <v>1798</v>
      </c>
      <c r="K487" s="1313" t="s">
        <v>1805</v>
      </c>
      <c r="L487" s="936">
        <v>42551</v>
      </c>
      <c r="M487" s="852" t="s">
        <v>1799</v>
      </c>
      <c r="N487" s="976">
        <v>42592</v>
      </c>
      <c r="O487" s="938" t="s">
        <v>1801</v>
      </c>
    </row>
    <row r="488" spans="2:16" ht="15.75" hidden="1" outlineLevel="2">
      <c r="B488" s="889">
        <v>5</v>
      </c>
      <c r="C488" s="3464"/>
      <c r="D488" s="2328">
        <v>5</v>
      </c>
      <c r="E488" s="2117" t="s">
        <v>1795</v>
      </c>
      <c r="F488" s="2118" t="s">
        <v>723</v>
      </c>
      <c r="G488" s="2526" t="s">
        <v>1797</v>
      </c>
      <c r="H488" s="894">
        <v>660816</v>
      </c>
      <c r="I488" s="922" t="s">
        <v>1860</v>
      </c>
      <c r="J488" s="952" t="s">
        <v>1798</v>
      </c>
      <c r="K488" s="1316" t="s">
        <v>1805</v>
      </c>
      <c r="L488" s="954">
        <v>42551</v>
      </c>
      <c r="M488" s="852" t="s">
        <v>1799</v>
      </c>
      <c r="N488" s="1284">
        <v>42592</v>
      </c>
      <c r="O488" s="938" t="s">
        <v>1801</v>
      </c>
    </row>
    <row r="489" spans="2:16" ht="15.75" hidden="1" outlineLevel="2">
      <c r="B489" s="889">
        <v>6</v>
      </c>
      <c r="C489" s="3465"/>
      <c r="D489" s="2329">
        <v>6</v>
      </c>
      <c r="E489" s="2131" t="s">
        <v>1795</v>
      </c>
      <c r="F489" s="2132" t="s">
        <v>723</v>
      </c>
      <c r="G489" s="2527" t="s">
        <v>1797</v>
      </c>
      <c r="H489" s="2133">
        <v>670816</v>
      </c>
      <c r="I489" s="2134" t="s">
        <v>1860</v>
      </c>
      <c r="J489" s="2134" t="s">
        <v>1798</v>
      </c>
      <c r="K489" s="2152" t="s">
        <v>1805</v>
      </c>
      <c r="L489" s="2136">
        <v>42551</v>
      </c>
      <c r="M489" s="2106" t="s">
        <v>1799</v>
      </c>
      <c r="N489" s="2154">
        <v>42592</v>
      </c>
      <c r="O489" s="938" t="s">
        <v>1801</v>
      </c>
    </row>
    <row r="490" spans="2:16" ht="15.75" hidden="1" outlineLevel="2" thickBot="1">
      <c r="B490" s="900">
        <v>7</v>
      </c>
      <c r="C490" s="3466"/>
      <c r="D490" s="2122" t="s">
        <v>1865</v>
      </c>
      <c r="E490" s="2123" t="s">
        <v>1795</v>
      </c>
      <c r="F490" s="2124" t="s">
        <v>723</v>
      </c>
      <c r="G490" s="2528" t="s">
        <v>1796</v>
      </c>
      <c r="H490" s="2125">
        <v>690816</v>
      </c>
      <c r="I490" s="991" t="s">
        <v>179</v>
      </c>
      <c r="J490" s="2126" t="s">
        <v>1798</v>
      </c>
      <c r="K490" s="2153" t="s">
        <v>1805</v>
      </c>
      <c r="L490" s="2128">
        <v>42551</v>
      </c>
      <c r="M490" s="2129" t="s">
        <v>1799</v>
      </c>
      <c r="N490" s="1132">
        <v>42592</v>
      </c>
      <c r="O490" s="996" t="s">
        <v>1800</v>
      </c>
    </row>
    <row r="491" spans="2:16" ht="6.95" customHeight="1" collapsed="1"/>
    <row r="492" spans="2:16" s="463" customFormat="1" ht="20.100000000000001" hidden="1" customHeight="1" outlineLevel="1" thickBot="1">
      <c r="B492" s="874" t="s">
        <v>704</v>
      </c>
      <c r="C492" s="875" t="s">
        <v>113</v>
      </c>
      <c r="D492" s="876" t="s">
        <v>176</v>
      </c>
      <c r="E492" s="877" t="s">
        <v>114</v>
      </c>
      <c r="F492" s="878" t="s">
        <v>705</v>
      </c>
      <c r="G492" s="2507" t="s">
        <v>115</v>
      </c>
      <c r="H492" s="880" t="s">
        <v>116</v>
      </c>
      <c r="I492" s="2554" t="s">
        <v>117</v>
      </c>
      <c r="J492" s="882" t="s">
        <v>118</v>
      </c>
      <c r="K492" s="883" t="s">
        <v>119</v>
      </c>
      <c r="L492" s="884" t="s">
        <v>713</v>
      </c>
      <c r="M492" s="885" t="s">
        <v>120</v>
      </c>
      <c r="N492" s="886" t="s">
        <v>121</v>
      </c>
      <c r="O492" s="887" t="s">
        <v>719</v>
      </c>
    </row>
    <row r="493" spans="2:16" ht="15.75" hidden="1" outlineLevel="1" thickTop="1">
      <c r="B493" s="889">
        <v>1</v>
      </c>
      <c r="C493" s="3472" t="s">
        <v>455</v>
      </c>
      <c r="D493" s="1078">
        <v>3</v>
      </c>
      <c r="E493" s="939" t="s">
        <v>133</v>
      </c>
      <c r="F493" s="940" t="s">
        <v>723</v>
      </c>
      <c r="G493" s="1381" t="s">
        <v>682</v>
      </c>
      <c r="H493" s="894">
        <v>701016</v>
      </c>
      <c r="I493" s="922" t="s">
        <v>183</v>
      </c>
      <c r="J493" s="922" t="s">
        <v>129</v>
      </c>
      <c r="K493" s="943" t="s">
        <v>57</v>
      </c>
      <c r="L493" s="944">
        <v>42649</v>
      </c>
      <c r="M493" s="2105" t="s">
        <v>137</v>
      </c>
      <c r="N493" s="1274">
        <v>42653</v>
      </c>
      <c r="O493" s="947" t="s">
        <v>258</v>
      </c>
    </row>
    <row r="494" spans="2:16" hidden="1" outlineLevel="1">
      <c r="B494" s="889">
        <v>2</v>
      </c>
      <c r="C494" s="3473"/>
      <c r="D494" s="1037">
        <v>4</v>
      </c>
      <c r="E494" s="939" t="s">
        <v>133</v>
      </c>
      <c r="F494" s="940" t="s">
        <v>723</v>
      </c>
      <c r="G494" s="2508" t="s">
        <v>682</v>
      </c>
      <c r="H494" s="894">
        <v>711016</v>
      </c>
      <c r="I494" s="922" t="s">
        <v>183</v>
      </c>
      <c r="J494" s="922" t="s">
        <v>129</v>
      </c>
      <c r="K494" s="943" t="s">
        <v>57</v>
      </c>
      <c r="L494" s="936">
        <v>42649</v>
      </c>
      <c r="M494" s="852" t="s">
        <v>137</v>
      </c>
      <c r="N494" s="1275">
        <v>42653</v>
      </c>
      <c r="O494" s="938" t="s">
        <v>258</v>
      </c>
    </row>
    <row r="495" spans="2:16" hidden="1" outlineLevel="1">
      <c r="B495" s="889">
        <v>3</v>
      </c>
      <c r="C495" s="3473"/>
      <c r="D495" s="1276">
        <v>5</v>
      </c>
      <c r="E495" s="949" t="s">
        <v>133</v>
      </c>
      <c r="F495" s="950" t="s">
        <v>723</v>
      </c>
      <c r="G495" s="1382" t="s">
        <v>682</v>
      </c>
      <c r="H495" s="894">
        <v>721016</v>
      </c>
      <c r="I495" s="922" t="s">
        <v>183</v>
      </c>
      <c r="J495" s="952" t="s">
        <v>129</v>
      </c>
      <c r="K495" s="953" t="s">
        <v>57</v>
      </c>
      <c r="L495" s="954">
        <v>42649</v>
      </c>
      <c r="M495" s="852" t="s">
        <v>137</v>
      </c>
      <c r="N495" s="1277">
        <v>42653</v>
      </c>
      <c r="O495" s="957" t="s">
        <v>258</v>
      </c>
    </row>
    <row r="496" spans="2:16" hidden="1" outlineLevel="1">
      <c r="B496" s="889">
        <v>4</v>
      </c>
      <c r="C496" s="3473"/>
      <c r="D496" s="1037">
        <v>6</v>
      </c>
      <c r="E496" s="958" t="s">
        <v>133</v>
      </c>
      <c r="F496" s="959" t="s">
        <v>723</v>
      </c>
      <c r="G496" s="2508" t="s">
        <v>682</v>
      </c>
      <c r="H496" s="894">
        <v>731016</v>
      </c>
      <c r="I496" s="922" t="s">
        <v>183</v>
      </c>
      <c r="J496" s="934" t="s">
        <v>129</v>
      </c>
      <c r="K496" s="935" t="s">
        <v>57</v>
      </c>
      <c r="L496" s="936">
        <v>42649</v>
      </c>
      <c r="M496" s="852" t="s">
        <v>137</v>
      </c>
      <c r="N496" s="1275">
        <v>42653</v>
      </c>
      <c r="O496" s="938" t="s">
        <v>258</v>
      </c>
    </row>
    <row r="497" spans="2:15" hidden="1" outlineLevel="1">
      <c r="B497" s="889">
        <v>5</v>
      </c>
      <c r="C497" s="3473"/>
      <c r="D497" s="1278">
        <v>7</v>
      </c>
      <c r="E497" s="891" t="s">
        <v>133</v>
      </c>
      <c r="F497" s="950" t="s">
        <v>723</v>
      </c>
      <c r="G497" s="2509" t="s">
        <v>682</v>
      </c>
      <c r="H497" s="894">
        <v>741016</v>
      </c>
      <c r="I497" s="922" t="s">
        <v>183</v>
      </c>
      <c r="J497" s="895" t="s">
        <v>129</v>
      </c>
      <c r="K497" s="896" t="s">
        <v>57</v>
      </c>
      <c r="L497" s="897">
        <v>42649</v>
      </c>
      <c r="M497" s="852" t="s">
        <v>137</v>
      </c>
      <c r="N497" s="1279">
        <v>42653</v>
      </c>
      <c r="O497" s="899" t="s">
        <v>258</v>
      </c>
    </row>
    <row r="498" spans="2:15" hidden="1" outlineLevel="1">
      <c r="B498" s="889">
        <v>6</v>
      </c>
      <c r="C498" s="3473"/>
      <c r="D498" s="1278">
        <v>8</v>
      </c>
      <c r="E498" s="891" t="s">
        <v>133</v>
      </c>
      <c r="F498" s="892" t="s">
        <v>723</v>
      </c>
      <c r="G498" s="2509" t="s">
        <v>682</v>
      </c>
      <c r="H498" s="894">
        <v>751016</v>
      </c>
      <c r="I498" s="922" t="s">
        <v>183</v>
      </c>
      <c r="J498" s="895" t="s">
        <v>129</v>
      </c>
      <c r="K498" s="896" t="s">
        <v>57</v>
      </c>
      <c r="L498" s="897">
        <v>42649</v>
      </c>
      <c r="M498" s="852" t="s">
        <v>137</v>
      </c>
      <c r="N498" s="1279">
        <v>42653</v>
      </c>
      <c r="O498" s="899" t="s">
        <v>258</v>
      </c>
    </row>
    <row r="499" spans="2:15" hidden="1" outlineLevel="1">
      <c r="B499" s="889">
        <v>7</v>
      </c>
      <c r="C499" s="3473"/>
      <c r="D499" s="1278">
        <v>9</v>
      </c>
      <c r="E499" s="891" t="s">
        <v>133</v>
      </c>
      <c r="F499" s="892" t="s">
        <v>723</v>
      </c>
      <c r="G499" s="2509" t="s">
        <v>682</v>
      </c>
      <c r="H499" s="894">
        <v>761016</v>
      </c>
      <c r="I499" s="922" t="s">
        <v>183</v>
      </c>
      <c r="J499" s="895" t="s">
        <v>129</v>
      </c>
      <c r="K499" s="896" t="s">
        <v>57</v>
      </c>
      <c r="L499" s="897">
        <v>42649</v>
      </c>
      <c r="M499" s="852" t="s">
        <v>137</v>
      </c>
      <c r="N499" s="1279">
        <v>42653</v>
      </c>
      <c r="O499" s="899" t="s">
        <v>258</v>
      </c>
    </row>
    <row r="500" spans="2:15" ht="15.75" hidden="1" outlineLevel="1" thickBot="1">
      <c r="B500" s="900">
        <v>8</v>
      </c>
      <c r="C500" s="3473"/>
      <c r="D500" s="1280">
        <v>10</v>
      </c>
      <c r="E500" s="903" t="s">
        <v>133</v>
      </c>
      <c r="F500" s="904" t="s">
        <v>723</v>
      </c>
      <c r="G500" s="2516" t="s">
        <v>682</v>
      </c>
      <c r="H500" s="906">
        <v>771016</v>
      </c>
      <c r="I500" s="1295" t="s">
        <v>183</v>
      </c>
      <c r="J500" s="908" t="s">
        <v>129</v>
      </c>
      <c r="K500" s="909" t="s">
        <v>57</v>
      </c>
      <c r="L500" s="910">
        <v>42649</v>
      </c>
      <c r="M500" s="911" t="s">
        <v>137</v>
      </c>
      <c r="N500" s="1281">
        <v>42653</v>
      </c>
      <c r="O500" s="913" t="s">
        <v>258</v>
      </c>
    </row>
    <row r="501" spans="2:15" hidden="1" outlineLevel="1">
      <c r="B501" s="889">
        <v>1</v>
      </c>
      <c r="C501" s="3473"/>
      <c r="D501" s="1078">
        <v>1</v>
      </c>
      <c r="E501" s="1287" t="s">
        <v>833</v>
      </c>
      <c r="F501" s="940" t="s">
        <v>723</v>
      </c>
      <c r="G501" s="1381" t="s">
        <v>518</v>
      </c>
      <c r="H501" s="894">
        <v>781016</v>
      </c>
      <c r="I501" s="922" t="s">
        <v>834</v>
      </c>
      <c r="J501" s="922" t="s">
        <v>835</v>
      </c>
      <c r="K501" s="943" t="s">
        <v>2200</v>
      </c>
      <c r="L501" s="944">
        <v>42668</v>
      </c>
      <c r="M501" s="2105" t="s">
        <v>134</v>
      </c>
      <c r="N501" s="1274">
        <v>42669</v>
      </c>
      <c r="O501" s="1296" t="s">
        <v>836</v>
      </c>
    </row>
    <row r="502" spans="2:15" ht="15.75" hidden="1" outlineLevel="1" thickBot="1">
      <c r="B502" s="900">
        <v>2</v>
      </c>
      <c r="C502" s="3473"/>
      <c r="D502" s="1098">
        <v>2</v>
      </c>
      <c r="E502" s="1293" t="s">
        <v>833</v>
      </c>
      <c r="F502" s="2169" t="s">
        <v>723</v>
      </c>
      <c r="G502" s="1385" t="s">
        <v>518</v>
      </c>
      <c r="H502" s="906">
        <v>791016</v>
      </c>
      <c r="I502" s="1295" t="s">
        <v>834</v>
      </c>
      <c r="J502" s="1295" t="s">
        <v>835</v>
      </c>
      <c r="K502" s="1256" t="s">
        <v>2200</v>
      </c>
      <c r="L502" s="1163">
        <v>42668</v>
      </c>
      <c r="M502" s="911" t="s">
        <v>134</v>
      </c>
      <c r="N502" s="2170">
        <v>42669</v>
      </c>
      <c r="O502" s="1259" t="s">
        <v>836</v>
      </c>
    </row>
    <row r="503" spans="2:15" hidden="1" outlineLevel="1">
      <c r="B503" s="1283">
        <v>1</v>
      </c>
      <c r="C503" s="3473"/>
      <c r="D503" s="1078">
        <v>1</v>
      </c>
      <c r="E503" s="939" t="s">
        <v>133</v>
      </c>
      <c r="F503" s="940" t="s">
        <v>723</v>
      </c>
      <c r="G503" s="1381" t="s">
        <v>253</v>
      </c>
      <c r="H503" s="894">
        <v>1001216</v>
      </c>
      <c r="I503" s="922" t="s">
        <v>179</v>
      </c>
      <c r="J503" s="922" t="s">
        <v>129</v>
      </c>
      <c r="K503" s="943" t="s">
        <v>2199</v>
      </c>
      <c r="L503" s="944">
        <v>42676</v>
      </c>
      <c r="M503" s="2105" t="s">
        <v>159</v>
      </c>
      <c r="N503" s="2214">
        <v>42724</v>
      </c>
      <c r="O503" s="1296" t="s">
        <v>1868</v>
      </c>
    </row>
    <row r="504" spans="2:15" hidden="1" outlineLevel="1">
      <c r="B504" s="2193">
        <v>2</v>
      </c>
      <c r="C504" s="3473"/>
      <c r="D504" s="1264">
        <v>2</v>
      </c>
      <c r="E504" s="2180" t="s">
        <v>133</v>
      </c>
      <c r="F504" s="2177" t="s">
        <v>723</v>
      </c>
      <c r="G504" s="2522" t="s">
        <v>253</v>
      </c>
      <c r="H504" s="2178">
        <v>1011216</v>
      </c>
      <c r="I504" s="1268" t="s">
        <v>179</v>
      </c>
      <c r="J504" s="1268" t="s">
        <v>129</v>
      </c>
      <c r="K504" s="1269" t="s">
        <v>2199</v>
      </c>
      <c r="L504" s="1270">
        <v>42676</v>
      </c>
      <c r="M504" s="2179" t="s">
        <v>159</v>
      </c>
      <c r="N504" s="2215">
        <v>42724</v>
      </c>
      <c r="O504" s="1273" t="s">
        <v>1868</v>
      </c>
    </row>
    <row r="505" spans="2:15" hidden="1" outlineLevel="1">
      <c r="B505" s="977">
        <v>3</v>
      </c>
      <c r="C505" s="3473"/>
      <c r="D505" s="1315">
        <v>3</v>
      </c>
      <c r="E505" s="949" t="s">
        <v>133</v>
      </c>
      <c r="F505" s="950" t="s">
        <v>723</v>
      </c>
      <c r="G505" s="2530" t="s">
        <v>682</v>
      </c>
      <c r="H505" s="942">
        <v>1021216</v>
      </c>
      <c r="I505" s="922" t="s">
        <v>183</v>
      </c>
      <c r="J505" s="2199" t="s">
        <v>129</v>
      </c>
      <c r="K505" s="2200" t="s">
        <v>57</v>
      </c>
      <c r="L505" s="1308">
        <v>42676</v>
      </c>
      <c r="M505" s="2105" t="s">
        <v>159</v>
      </c>
      <c r="N505" s="2216">
        <v>42724</v>
      </c>
      <c r="O505" s="1296" t="s">
        <v>1868</v>
      </c>
    </row>
    <row r="506" spans="2:15" hidden="1" outlineLevel="1">
      <c r="B506" s="889">
        <v>4</v>
      </c>
      <c r="C506" s="3473"/>
      <c r="D506" s="1037">
        <v>4</v>
      </c>
      <c r="E506" s="939" t="s">
        <v>133</v>
      </c>
      <c r="F506" s="940" t="s">
        <v>723</v>
      </c>
      <c r="G506" s="2508" t="s">
        <v>682</v>
      </c>
      <c r="H506" s="894">
        <v>1031216</v>
      </c>
      <c r="I506" s="922" t="s">
        <v>183</v>
      </c>
      <c r="J506" s="922" t="s">
        <v>129</v>
      </c>
      <c r="K506" s="2195" t="s">
        <v>57</v>
      </c>
      <c r="L506" s="936">
        <v>42676</v>
      </c>
      <c r="M506" s="852" t="s">
        <v>159</v>
      </c>
      <c r="N506" s="2217">
        <v>42724</v>
      </c>
      <c r="O506" s="938" t="s">
        <v>1868</v>
      </c>
    </row>
    <row r="507" spans="2:15" hidden="1" outlineLevel="1">
      <c r="B507" s="889">
        <v>5</v>
      </c>
      <c r="C507" s="3473"/>
      <c r="D507" s="1276">
        <v>5</v>
      </c>
      <c r="E507" s="949" t="s">
        <v>133</v>
      </c>
      <c r="F507" s="950" t="s">
        <v>723</v>
      </c>
      <c r="G507" s="1382" t="s">
        <v>682</v>
      </c>
      <c r="H507" s="894">
        <v>1041216</v>
      </c>
      <c r="I507" s="922" t="s">
        <v>183</v>
      </c>
      <c r="J507" s="952" t="s">
        <v>129</v>
      </c>
      <c r="K507" s="2194" t="s">
        <v>57</v>
      </c>
      <c r="L507" s="954">
        <v>42676</v>
      </c>
      <c r="M507" s="852" t="s">
        <v>159</v>
      </c>
      <c r="N507" s="2218">
        <v>42724</v>
      </c>
      <c r="O507" s="957" t="s">
        <v>1868</v>
      </c>
    </row>
    <row r="508" spans="2:15" hidden="1" outlineLevel="1">
      <c r="B508" s="889">
        <v>6</v>
      </c>
      <c r="C508" s="3473"/>
      <c r="D508" s="1037">
        <v>6</v>
      </c>
      <c r="E508" s="958" t="s">
        <v>133</v>
      </c>
      <c r="F508" s="959" t="s">
        <v>723</v>
      </c>
      <c r="G508" s="2508" t="s">
        <v>682</v>
      </c>
      <c r="H508" s="894">
        <v>1051216</v>
      </c>
      <c r="I508" s="922" t="s">
        <v>183</v>
      </c>
      <c r="J508" s="934" t="s">
        <v>129</v>
      </c>
      <c r="K508" s="2196" t="s">
        <v>57</v>
      </c>
      <c r="L508" s="936">
        <v>42676</v>
      </c>
      <c r="M508" s="852" t="s">
        <v>159</v>
      </c>
      <c r="N508" s="2217">
        <v>42724</v>
      </c>
      <c r="O508" s="938" t="s">
        <v>1868</v>
      </c>
    </row>
    <row r="509" spans="2:15" hidden="1" outlineLevel="1">
      <c r="B509" s="889">
        <v>7</v>
      </c>
      <c r="C509" s="3473"/>
      <c r="D509" s="1278">
        <v>7</v>
      </c>
      <c r="E509" s="891" t="s">
        <v>133</v>
      </c>
      <c r="F509" s="950" t="s">
        <v>723</v>
      </c>
      <c r="G509" s="2509" t="s">
        <v>682</v>
      </c>
      <c r="H509" s="894">
        <v>1061216</v>
      </c>
      <c r="I509" s="922" t="s">
        <v>183</v>
      </c>
      <c r="J509" s="895" t="s">
        <v>129</v>
      </c>
      <c r="K509" s="2197" t="s">
        <v>57</v>
      </c>
      <c r="L509" s="897">
        <v>42676</v>
      </c>
      <c r="M509" s="852" t="s">
        <v>159</v>
      </c>
      <c r="N509" s="2219">
        <v>42724</v>
      </c>
      <c r="O509" s="899" t="s">
        <v>1868</v>
      </c>
    </row>
    <row r="510" spans="2:15" hidden="1" outlineLevel="1">
      <c r="B510" s="889">
        <v>8</v>
      </c>
      <c r="C510" s="3473"/>
      <c r="D510" s="1278">
        <v>8</v>
      </c>
      <c r="E510" s="891" t="s">
        <v>133</v>
      </c>
      <c r="F510" s="892" t="s">
        <v>723</v>
      </c>
      <c r="G510" s="2509" t="s">
        <v>682</v>
      </c>
      <c r="H510" s="894">
        <v>1071216</v>
      </c>
      <c r="I510" s="922" t="s">
        <v>183</v>
      </c>
      <c r="J510" s="895" t="s">
        <v>129</v>
      </c>
      <c r="K510" s="2197" t="s">
        <v>57</v>
      </c>
      <c r="L510" s="897">
        <v>42676</v>
      </c>
      <c r="M510" s="852" t="s">
        <v>159</v>
      </c>
      <c r="N510" s="2219">
        <v>42724</v>
      </c>
      <c r="O510" s="899" t="s">
        <v>1868</v>
      </c>
    </row>
    <row r="511" spans="2:15" hidden="1" outlineLevel="1">
      <c r="B511" s="889">
        <v>9</v>
      </c>
      <c r="C511" s="3473"/>
      <c r="D511" s="1278">
        <v>9</v>
      </c>
      <c r="E511" s="891" t="s">
        <v>133</v>
      </c>
      <c r="F511" s="892" t="s">
        <v>723</v>
      </c>
      <c r="G511" s="2509" t="s">
        <v>682</v>
      </c>
      <c r="H511" s="894">
        <v>1081216</v>
      </c>
      <c r="I511" s="922" t="s">
        <v>183</v>
      </c>
      <c r="J511" s="895" t="s">
        <v>129</v>
      </c>
      <c r="K511" s="2197" t="s">
        <v>57</v>
      </c>
      <c r="L511" s="897">
        <v>42676</v>
      </c>
      <c r="M511" s="852" t="s">
        <v>159</v>
      </c>
      <c r="N511" s="2219">
        <v>42724</v>
      </c>
      <c r="O511" s="899" t="s">
        <v>1868</v>
      </c>
    </row>
    <row r="512" spans="2:15" ht="15.75" hidden="1" outlineLevel="1" thickBot="1">
      <c r="B512" s="900">
        <v>10</v>
      </c>
      <c r="C512" s="3474"/>
      <c r="D512" s="1280">
        <v>10</v>
      </c>
      <c r="E512" s="903" t="s">
        <v>133</v>
      </c>
      <c r="F512" s="904" t="s">
        <v>723</v>
      </c>
      <c r="G512" s="2516" t="s">
        <v>682</v>
      </c>
      <c r="H512" s="906">
        <v>1091216</v>
      </c>
      <c r="I512" s="1295" t="s">
        <v>183</v>
      </c>
      <c r="J512" s="908" t="s">
        <v>129</v>
      </c>
      <c r="K512" s="2198" t="s">
        <v>57</v>
      </c>
      <c r="L512" s="910">
        <v>42676</v>
      </c>
      <c r="M512" s="911" t="s">
        <v>159</v>
      </c>
      <c r="N512" s="2220">
        <v>42724</v>
      </c>
      <c r="O512" s="913" t="s">
        <v>1868</v>
      </c>
    </row>
    <row r="513" spans="2:16" ht="8.1" customHeight="1" collapsed="1">
      <c r="B513" s="2158"/>
      <c r="C513" s="2159"/>
      <c r="D513" s="2160"/>
      <c r="E513" s="2161"/>
      <c r="F513" s="2162"/>
      <c r="G513" s="2531"/>
      <c r="H513" s="2163"/>
      <c r="I513" s="2456"/>
      <c r="J513" s="2164"/>
      <c r="K513" s="98"/>
      <c r="L513" s="2165"/>
      <c r="M513" s="2166"/>
      <c r="N513" s="2167"/>
      <c r="O513" s="2168"/>
    </row>
    <row r="514" spans="2:16" s="463" customFormat="1" ht="20.100000000000001" hidden="1" customHeight="1" outlineLevel="1" thickBot="1">
      <c r="B514" s="874" t="s">
        <v>704</v>
      </c>
      <c r="C514" s="875" t="s">
        <v>113</v>
      </c>
      <c r="D514" s="876" t="s">
        <v>176</v>
      </c>
      <c r="E514" s="877" t="s">
        <v>114</v>
      </c>
      <c r="F514" s="878" t="s">
        <v>705</v>
      </c>
      <c r="G514" s="2507" t="s">
        <v>115</v>
      </c>
      <c r="H514" s="880" t="s">
        <v>116</v>
      </c>
      <c r="I514" s="2554" t="s">
        <v>117</v>
      </c>
      <c r="J514" s="882" t="s">
        <v>118</v>
      </c>
      <c r="K514" s="883" t="s">
        <v>119</v>
      </c>
      <c r="L514" s="884" t="s">
        <v>713</v>
      </c>
      <c r="M514" s="885" t="s">
        <v>120</v>
      </c>
      <c r="N514" s="886" t="s">
        <v>121</v>
      </c>
      <c r="O514" s="887" t="s">
        <v>719</v>
      </c>
    </row>
    <row r="515" spans="2:16" ht="15.75" hidden="1" outlineLevel="2" thickTop="1">
      <c r="B515" s="977">
        <v>1</v>
      </c>
      <c r="C515" s="3469" t="s">
        <v>459</v>
      </c>
      <c r="D515" s="2184">
        <v>1</v>
      </c>
      <c r="E515" s="2185" t="s">
        <v>133</v>
      </c>
      <c r="F515" s="2186" t="s">
        <v>723</v>
      </c>
      <c r="G515" s="2532" t="s">
        <v>253</v>
      </c>
      <c r="H515" s="2187">
        <v>981216</v>
      </c>
      <c r="I515" s="1292" t="s">
        <v>179</v>
      </c>
      <c r="J515" s="2188" t="s">
        <v>129</v>
      </c>
      <c r="K515" s="2189" t="s">
        <v>2199</v>
      </c>
      <c r="L515" s="2190">
        <v>42691</v>
      </c>
      <c r="M515" s="2191" t="s">
        <v>164</v>
      </c>
      <c r="N515" s="2212">
        <v>42720</v>
      </c>
      <c r="O515" s="2192" t="s">
        <v>258</v>
      </c>
    </row>
    <row r="516" spans="2:16" ht="15.75" hidden="1" outlineLevel="2" thickBot="1">
      <c r="B516" s="985">
        <v>2</v>
      </c>
      <c r="C516" s="3470"/>
      <c r="D516" s="2122">
        <v>2</v>
      </c>
      <c r="E516" s="2123" t="s">
        <v>133</v>
      </c>
      <c r="F516" s="2124" t="s">
        <v>723</v>
      </c>
      <c r="G516" s="2528" t="s">
        <v>253</v>
      </c>
      <c r="H516" s="2125">
        <v>991216</v>
      </c>
      <c r="I516" s="991" t="s">
        <v>179</v>
      </c>
      <c r="J516" s="2126" t="s">
        <v>129</v>
      </c>
      <c r="K516" s="2127" t="s">
        <v>2199</v>
      </c>
      <c r="L516" s="2128">
        <v>42691</v>
      </c>
      <c r="M516" s="2129" t="s">
        <v>164</v>
      </c>
      <c r="N516" s="2213">
        <v>42720</v>
      </c>
      <c r="O516" s="2130" t="s">
        <v>258</v>
      </c>
    </row>
    <row r="517" spans="2:16" ht="15.2" hidden="1" customHeight="1" outlineLevel="2">
      <c r="B517" s="889">
        <v>1</v>
      </c>
      <c r="C517" s="3470"/>
      <c r="D517" s="2110">
        <v>1</v>
      </c>
      <c r="E517" s="2111" t="s">
        <v>133</v>
      </c>
      <c r="F517" s="2112" t="s">
        <v>723</v>
      </c>
      <c r="G517" s="2524" t="s">
        <v>1859</v>
      </c>
      <c r="H517" s="981">
        <v>801116</v>
      </c>
      <c r="I517" s="922" t="s">
        <v>1860</v>
      </c>
      <c r="J517" s="922" t="s">
        <v>129</v>
      </c>
      <c r="K517" s="943" t="s">
        <v>2199</v>
      </c>
      <c r="L517" s="944">
        <v>42692</v>
      </c>
      <c r="M517" s="982" t="s">
        <v>2109</v>
      </c>
      <c r="N517" s="983">
        <v>42692</v>
      </c>
      <c r="O517" s="2203" t="s">
        <v>2110</v>
      </c>
      <c r="P517" s="928"/>
    </row>
    <row r="518" spans="2:16" ht="15.75" hidden="1" outlineLevel="2">
      <c r="B518" s="889">
        <v>2</v>
      </c>
      <c r="C518" s="3470"/>
      <c r="D518" s="2115">
        <v>2</v>
      </c>
      <c r="E518" s="2138" t="s">
        <v>133</v>
      </c>
      <c r="F518" s="2139" t="s">
        <v>723</v>
      </c>
      <c r="G518" s="2525" t="s">
        <v>1859</v>
      </c>
      <c r="H518" s="933">
        <v>811116</v>
      </c>
      <c r="I518" s="934" t="s">
        <v>1860</v>
      </c>
      <c r="J518" s="934" t="s">
        <v>129</v>
      </c>
      <c r="K518" s="935" t="s">
        <v>2199</v>
      </c>
      <c r="L518" s="936">
        <v>42692</v>
      </c>
      <c r="M518" s="852" t="s">
        <v>2109</v>
      </c>
      <c r="N518" s="976">
        <v>42692</v>
      </c>
      <c r="O518" s="2203" t="s">
        <v>2110</v>
      </c>
      <c r="P518" s="928"/>
    </row>
    <row r="519" spans="2:16" ht="15.75" hidden="1" outlineLevel="2">
      <c r="B519" s="889">
        <v>3</v>
      </c>
      <c r="C519" s="3470"/>
      <c r="D519" s="2110">
        <v>3</v>
      </c>
      <c r="E519" s="2113" t="s">
        <v>133</v>
      </c>
      <c r="F519" s="2114" t="s">
        <v>723</v>
      </c>
      <c r="G519" s="2524" t="s">
        <v>1859</v>
      </c>
      <c r="H519" s="942">
        <v>821116</v>
      </c>
      <c r="I519" s="922" t="s">
        <v>1860</v>
      </c>
      <c r="J519" s="922" t="s">
        <v>129</v>
      </c>
      <c r="K519" s="943" t="s">
        <v>2199</v>
      </c>
      <c r="L519" s="944">
        <v>42692</v>
      </c>
      <c r="M519" s="2105" t="s">
        <v>2109</v>
      </c>
      <c r="N519" s="983">
        <v>42692</v>
      </c>
      <c r="O519" s="2203" t="s">
        <v>2110</v>
      </c>
    </row>
    <row r="520" spans="2:16" ht="15.75" hidden="1" outlineLevel="2">
      <c r="B520" s="889">
        <v>4</v>
      </c>
      <c r="C520" s="3470"/>
      <c r="D520" s="2115">
        <v>4</v>
      </c>
      <c r="E520" s="2113" t="s">
        <v>133</v>
      </c>
      <c r="F520" s="2114" t="s">
        <v>723</v>
      </c>
      <c r="G520" s="2525" t="s">
        <v>1859</v>
      </c>
      <c r="H520" s="894">
        <v>831116</v>
      </c>
      <c r="I520" s="922" t="s">
        <v>1860</v>
      </c>
      <c r="J520" s="922" t="s">
        <v>129</v>
      </c>
      <c r="K520" s="943" t="s">
        <v>2199</v>
      </c>
      <c r="L520" s="936">
        <v>42692</v>
      </c>
      <c r="M520" s="852" t="s">
        <v>2109</v>
      </c>
      <c r="N520" s="976">
        <v>42692</v>
      </c>
      <c r="O520" s="2203" t="s">
        <v>2110</v>
      </c>
    </row>
    <row r="521" spans="2:16" ht="15.75" hidden="1" outlineLevel="2">
      <c r="B521" s="889">
        <v>5</v>
      </c>
      <c r="C521" s="3470"/>
      <c r="D521" s="2116">
        <v>5</v>
      </c>
      <c r="E521" s="2117" t="s">
        <v>133</v>
      </c>
      <c r="F521" s="2118" t="s">
        <v>723</v>
      </c>
      <c r="G521" s="2526" t="s">
        <v>1859</v>
      </c>
      <c r="H521" s="894">
        <v>841116</v>
      </c>
      <c r="I521" s="922" t="s">
        <v>1860</v>
      </c>
      <c r="J521" s="952" t="s">
        <v>129</v>
      </c>
      <c r="K521" s="953" t="s">
        <v>2199</v>
      </c>
      <c r="L521" s="954">
        <v>42692</v>
      </c>
      <c r="M521" s="852" t="s">
        <v>2109</v>
      </c>
      <c r="N521" s="1284">
        <v>42692</v>
      </c>
      <c r="O521" s="2203" t="s">
        <v>2110</v>
      </c>
    </row>
    <row r="522" spans="2:16" ht="16.5" hidden="1" outlineLevel="2" thickBot="1">
      <c r="B522" s="900">
        <v>6</v>
      </c>
      <c r="C522" s="3471"/>
      <c r="D522" s="2181">
        <v>6</v>
      </c>
      <c r="E522" s="2182" t="s">
        <v>133</v>
      </c>
      <c r="F522" s="2183" t="s">
        <v>723</v>
      </c>
      <c r="G522" s="2533" t="s">
        <v>1859</v>
      </c>
      <c r="H522" s="906">
        <v>851116</v>
      </c>
      <c r="I522" s="1295" t="s">
        <v>1860</v>
      </c>
      <c r="J522" s="1295" t="s">
        <v>129</v>
      </c>
      <c r="K522" s="1256" t="s">
        <v>2199</v>
      </c>
      <c r="L522" s="1163">
        <v>42692</v>
      </c>
      <c r="M522" s="911" t="s">
        <v>2109</v>
      </c>
      <c r="N522" s="1258">
        <v>42692</v>
      </c>
      <c r="O522" s="2204" t="s">
        <v>2110</v>
      </c>
    </row>
    <row r="523" spans="2:16" ht="8.1" customHeight="1" collapsed="1"/>
    <row r="524" spans="2:16" s="463" customFormat="1" ht="20.100000000000001" hidden="1" customHeight="1" outlineLevel="1" thickBot="1">
      <c r="B524" s="874" t="s">
        <v>704</v>
      </c>
      <c r="C524" s="875" t="s">
        <v>113</v>
      </c>
      <c r="D524" s="876" t="s">
        <v>176</v>
      </c>
      <c r="E524" s="877" t="s">
        <v>114</v>
      </c>
      <c r="F524" s="878" t="s">
        <v>705</v>
      </c>
      <c r="G524" s="2507" t="s">
        <v>115</v>
      </c>
      <c r="H524" s="880" t="s">
        <v>116</v>
      </c>
      <c r="I524" s="2554" t="s">
        <v>117</v>
      </c>
      <c r="J524" s="882" t="s">
        <v>118</v>
      </c>
      <c r="K524" s="883" t="s">
        <v>119</v>
      </c>
      <c r="L524" s="884" t="s">
        <v>713</v>
      </c>
      <c r="M524" s="885" t="s">
        <v>120</v>
      </c>
      <c r="N524" s="886" t="s">
        <v>121</v>
      </c>
      <c r="O524" s="887" t="s">
        <v>719</v>
      </c>
    </row>
    <row r="525" spans="2:16" ht="15.75" hidden="1" outlineLevel="1" thickTop="1">
      <c r="B525" s="889">
        <v>1</v>
      </c>
      <c r="C525" s="3467" t="s">
        <v>463</v>
      </c>
      <c r="D525" s="1078">
        <v>1</v>
      </c>
      <c r="E525" s="2205" t="s">
        <v>376</v>
      </c>
      <c r="F525" s="940" t="s">
        <v>723</v>
      </c>
      <c r="G525" s="1381" t="s">
        <v>2287</v>
      </c>
      <c r="H525" s="894">
        <v>861216</v>
      </c>
      <c r="I525" s="922" t="s">
        <v>834</v>
      </c>
      <c r="J525" s="922" t="s">
        <v>129</v>
      </c>
      <c r="K525" s="943" t="s">
        <v>2288</v>
      </c>
      <c r="L525" s="944">
        <v>42717</v>
      </c>
      <c r="M525" s="2105" t="s">
        <v>1867</v>
      </c>
      <c r="N525" s="1274">
        <v>42719</v>
      </c>
      <c r="O525" s="947" t="s">
        <v>258</v>
      </c>
    </row>
    <row r="526" spans="2:16" hidden="1" outlineLevel="1">
      <c r="B526" s="889">
        <v>2</v>
      </c>
      <c r="C526" s="3462"/>
      <c r="D526" s="1037">
        <v>2</v>
      </c>
      <c r="E526" s="2205" t="s">
        <v>376</v>
      </c>
      <c r="F526" s="940" t="s">
        <v>723</v>
      </c>
      <c r="G526" s="2508" t="s">
        <v>2287</v>
      </c>
      <c r="H526" s="894">
        <v>871216</v>
      </c>
      <c r="I526" s="922" t="s">
        <v>834</v>
      </c>
      <c r="J526" s="922" t="s">
        <v>129</v>
      </c>
      <c r="K526" s="943" t="s">
        <v>2288</v>
      </c>
      <c r="L526" s="936">
        <v>42717</v>
      </c>
      <c r="M526" s="852" t="s">
        <v>1867</v>
      </c>
      <c r="N526" s="1275">
        <v>42719</v>
      </c>
      <c r="O526" s="938" t="s">
        <v>258</v>
      </c>
    </row>
    <row r="527" spans="2:16" hidden="1" outlineLevel="1">
      <c r="B527" s="889">
        <v>3</v>
      </c>
      <c r="C527" s="3462"/>
      <c r="D527" s="1276">
        <v>3</v>
      </c>
      <c r="E527" s="2206" t="s">
        <v>376</v>
      </c>
      <c r="F527" s="950" t="s">
        <v>723</v>
      </c>
      <c r="G527" s="1382" t="s">
        <v>2287</v>
      </c>
      <c r="H527" s="894">
        <v>881216</v>
      </c>
      <c r="I527" s="922" t="s">
        <v>834</v>
      </c>
      <c r="J527" s="952" t="s">
        <v>129</v>
      </c>
      <c r="K527" s="953" t="s">
        <v>2288</v>
      </c>
      <c r="L527" s="954">
        <v>42717</v>
      </c>
      <c r="M527" s="852" t="s">
        <v>1867</v>
      </c>
      <c r="N527" s="1277">
        <v>42719</v>
      </c>
      <c r="O527" s="957" t="s">
        <v>258</v>
      </c>
    </row>
    <row r="528" spans="2:16" hidden="1" outlineLevel="1">
      <c r="B528" s="889">
        <v>4</v>
      </c>
      <c r="C528" s="3462"/>
      <c r="D528" s="1037">
        <v>4</v>
      </c>
      <c r="E528" s="2207" t="s">
        <v>376</v>
      </c>
      <c r="F528" s="959" t="s">
        <v>723</v>
      </c>
      <c r="G528" s="2508" t="s">
        <v>2287</v>
      </c>
      <c r="H528" s="894">
        <v>891216</v>
      </c>
      <c r="I528" s="922" t="s">
        <v>834</v>
      </c>
      <c r="J528" s="934" t="s">
        <v>129</v>
      </c>
      <c r="K528" s="935" t="s">
        <v>2288</v>
      </c>
      <c r="L528" s="936">
        <v>42717</v>
      </c>
      <c r="M528" s="852" t="s">
        <v>1867</v>
      </c>
      <c r="N528" s="1275">
        <v>42719</v>
      </c>
      <c r="O528" s="938" t="s">
        <v>258</v>
      </c>
    </row>
    <row r="529" spans="2:16" hidden="1" outlineLevel="1">
      <c r="B529" s="889">
        <v>5</v>
      </c>
      <c r="C529" s="3462"/>
      <c r="D529" s="1278">
        <v>5</v>
      </c>
      <c r="E529" s="2208" t="s">
        <v>376</v>
      </c>
      <c r="F529" s="950" t="s">
        <v>723</v>
      </c>
      <c r="G529" s="2509" t="s">
        <v>2287</v>
      </c>
      <c r="H529" s="894">
        <v>901216</v>
      </c>
      <c r="I529" s="922" t="s">
        <v>834</v>
      </c>
      <c r="J529" s="895" t="s">
        <v>129</v>
      </c>
      <c r="K529" s="896" t="s">
        <v>2288</v>
      </c>
      <c r="L529" s="897">
        <v>42717</v>
      </c>
      <c r="M529" s="852" t="s">
        <v>1867</v>
      </c>
      <c r="N529" s="1279">
        <v>42719</v>
      </c>
      <c r="O529" s="899" t="s">
        <v>258</v>
      </c>
    </row>
    <row r="530" spans="2:16" hidden="1" outlineLevel="1">
      <c r="B530" s="889">
        <v>6</v>
      </c>
      <c r="C530" s="3462"/>
      <c r="D530" s="1278">
        <v>6</v>
      </c>
      <c r="E530" s="2208" t="s">
        <v>376</v>
      </c>
      <c r="F530" s="892" t="s">
        <v>723</v>
      </c>
      <c r="G530" s="2509" t="s">
        <v>2287</v>
      </c>
      <c r="H530" s="894">
        <v>911216</v>
      </c>
      <c r="I530" s="922" t="s">
        <v>834</v>
      </c>
      <c r="J530" s="895" t="s">
        <v>129</v>
      </c>
      <c r="K530" s="896" t="s">
        <v>2288</v>
      </c>
      <c r="L530" s="897">
        <v>42717</v>
      </c>
      <c r="M530" s="852" t="s">
        <v>1867</v>
      </c>
      <c r="N530" s="1279">
        <v>42719</v>
      </c>
      <c r="O530" s="899" t="s">
        <v>258</v>
      </c>
    </row>
    <row r="531" spans="2:16" hidden="1" outlineLevel="1">
      <c r="B531" s="889">
        <v>7</v>
      </c>
      <c r="C531" s="3462"/>
      <c r="D531" s="1278">
        <v>7</v>
      </c>
      <c r="E531" s="2208" t="s">
        <v>376</v>
      </c>
      <c r="F531" s="892" t="s">
        <v>723</v>
      </c>
      <c r="G531" s="2509" t="s">
        <v>2287</v>
      </c>
      <c r="H531" s="894">
        <v>921216</v>
      </c>
      <c r="I531" s="922" t="s">
        <v>834</v>
      </c>
      <c r="J531" s="895" t="s">
        <v>129</v>
      </c>
      <c r="K531" s="896" t="s">
        <v>2288</v>
      </c>
      <c r="L531" s="897">
        <v>42717</v>
      </c>
      <c r="M531" s="852" t="s">
        <v>1867</v>
      </c>
      <c r="N531" s="1279">
        <v>42719</v>
      </c>
      <c r="O531" s="899" t="s">
        <v>258</v>
      </c>
    </row>
    <row r="532" spans="2:16" hidden="1" outlineLevel="1">
      <c r="B532" s="889">
        <v>8</v>
      </c>
      <c r="C532" s="3462"/>
      <c r="D532" s="1278">
        <v>8</v>
      </c>
      <c r="E532" s="2208" t="s">
        <v>376</v>
      </c>
      <c r="F532" s="892" t="s">
        <v>723</v>
      </c>
      <c r="G532" s="2509" t="s">
        <v>2287</v>
      </c>
      <c r="H532" s="894">
        <v>931216</v>
      </c>
      <c r="I532" s="934" t="s">
        <v>834</v>
      </c>
      <c r="J532" s="895" t="s">
        <v>129</v>
      </c>
      <c r="K532" s="896" t="s">
        <v>2288</v>
      </c>
      <c r="L532" s="897">
        <v>42717</v>
      </c>
      <c r="M532" s="852" t="s">
        <v>1867</v>
      </c>
      <c r="N532" s="1279">
        <v>42719</v>
      </c>
      <c r="O532" s="899" t="s">
        <v>258</v>
      </c>
    </row>
    <row r="533" spans="2:16" hidden="1" outlineLevel="1">
      <c r="B533" s="889">
        <v>9</v>
      </c>
      <c r="C533" s="3462"/>
      <c r="D533" s="1276">
        <v>9</v>
      </c>
      <c r="E533" s="2206" t="s">
        <v>376</v>
      </c>
      <c r="F533" s="950" t="s">
        <v>723</v>
      </c>
      <c r="G533" s="1382" t="s">
        <v>2287</v>
      </c>
      <c r="H533" s="894">
        <v>941216</v>
      </c>
      <c r="I533" s="922" t="s">
        <v>834</v>
      </c>
      <c r="J533" s="952" t="s">
        <v>129</v>
      </c>
      <c r="K533" s="953" t="s">
        <v>2288</v>
      </c>
      <c r="L533" s="954">
        <v>42717</v>
      </c>
      <c r="M533" s="852" t="s">
        <v>1867</v>
      </c>
      <c r="N533" s="1277">
        <v>42719</v>
      </c>
      <c r="O533" s="957" t="s">
        <v>258</v>
      </c>
    </row>
    <row r="534" spans="2:16" hidden="1" outlineLevel="1">
      <c r="B534" s="889">
        <v>10</v>
      </c>
      <c r="C534" s="3462"/>
      <c r="D534" s="1037">
        <v>10</v>
      </c>
      <c r="E534" s="2207" t="s">
        <v>376</v>
      </c>
      <c r="F534" s="959" t="s">
        <v>723</v>
      </c>
      <c r="G534" s="2508" t="s">
        <v>2287</v>
      </c>
      <c r="H534" s="894">
        <v>951216</v>
      </c>
      <c r="I534" s="922" t="s">
        <v>834</v>
      </c>
      <c r="J534" s="934" t="s">
        <v>129</v>
      </c>
      <c r="K534" s="935" t="s">
        <v>2288</v>
      </c>
      <c r="L534" s="936">
        <v>42717</v>
      </c>
      <c r="M534" s="852" t="s">
        <v>1867</v>
      </c>
      <c r="N534" s="1275">
        <v>42719</v>
      </c>
      <c r="O534" s="938" t="s">
        <v>258</v>
      </c>
    </row>
    <row r="535" spans="2:16" hidden="1" outlineLevel="1">
      <c r="B535" s="889">
        <v>11</v>
      </c>
      <c r="C535" s="3462"/>
      <c r="D535" s="1078">
        <v>11</v>
      </c>
      <c r="E535" s="2205" t="s">
        <v>376</v>
      </c>
      <c r="F535" s="940" t="s">
        <v>723</v>
      </c>
      <c r="G535" s="1381" t="s">
        <v>2287</v>
      </c>
      <c r="H535" s="942">
        <v>961216</v>
      </c>
      <c r="I535" s="922" t="s">
        <v>834</v>
      </c>
      <c r="J535" s="922" t="s">
        <v>129</v>
      </c>
      <c r="K535" s="943" t="s">
        <v>2288</v>
      </c>
      <c r="L535" s="944">
        <v>42717</v>
      </c>
      <c r="M535" s="2105" t="s">
        <v>1867</v>
      </c>
      <c r="N535" s="1274">
        <v>42719</v>
      </c>
      <c r="O535" s="1296" t="s">
        <v>258</v>
      </c>
    </row>
    <row r="536" spans="2:16" ht="15.75" hidden="1" outlineLevel="1" thickBot="1">
      <c r="B536" s="900">
        <v>12</v>
      </c>
      <c r="C536" s="3468"/>
      <c r="D536" s="1098">
        <v>12</v>
      </c>
      <c r="E536" s="2209" t="s">
        <v>376</v>
      </c>
      <c r="F536" s="2169" t="s">
        <v>723</v>
      </c>
      <c r="G536" s="1385" t="s">
        <v>2287</v>
      </c>
      <c r="H536" s="906">
        <v>971216</v>
      </c>
      <c r="I536" s="1295" t="s">
        <v>834</v>
      </c>
      <c r="J536" s="1295" t="s">
        <v>129</v>
      </c>
      <c r="K536" s="1256" t="s">
        <v>2288</v>
      </c>
      <c r="L536" s="1163">
        <v>42717</v>
      </c>
      <c r="M536" s="911" t="s">
        <v>1867</v>
      </c>
      <c r="N536" s="2170">
        <v>42719</v>
      </c>
      <c r="O536" s="1259" t="s">
        <v>258</v>
      </c>
    </row>
    <row r="537" spans="2:16" collapsed="1">
      <c r="B537" s="2158"/>
      <c r="C537" s="2159"/>
      <c r="D537" s="2160"/>
      <c r="E537" s="2161"/>
      <c r="F537" s="2162"/>
      <c r="G537" s="2531"/>
      <c r="H537" s="2163"/>
      <c r="I537" s="2456"/>
      <c r="J537" s="2164"/>
      <c r="K537" s="98"/>
      <c r="L537" s="2165"/>
      <c r="M537" s="2166"/>
      <c r="N537" s="2167"/>
      <c r="O537" s="2168"/>
    </row>
    <row r="538" spans="2:16" ht="21" thickBot="1">
      <c r="C538" s="867" t="s">
        <v>251</v>
      </c>
      <c r="D538" s="914"/>
    </row>
    <row r="539" spans="2:16" ht="15.75" thickBot="1">
      <c r="M539" s="3490" t="s">
        <v>175</v>
      </c>
      <c r="N539" s="3491"/>
      <c r="O539" s="915">
        <v>41990</v>
      </c>
    </row>
    <row r="540" spans="2:16" s="463" customFormat="1" ht="20.100000000000001" customHeight="1" thickBot="1">
      <c r="B540" s="874" t="s">
        <v>704</v>
      </c>
      <c r="C540" s="875" t="s">
        <v>113</v>
      </c>
      <c r="D540" s="876" t="s">
        <v>176</v>
      </c>
      <c r="E540" s="877" t="s">
        <v>114</v>
      </c>
      <c r="F540" s="878" t="s">
        <v>705</v>
      </c>
      <c r="G540" s="2507" t="s">
        <v>115</v>
      </c>
      <c r="H540" s="880" t="s">
        <v>116</v>
      </c>
      <c r="I540" s="2554" t="s">
        <v>117</v>
      </c>
      <c r="J540" s="882" t="s">
        <v>118</v>
      </c>
      <c r="K540" s="883" t="s">
        <v>119</v>
      </c>
      <c r="L540" s="884" t="s">
        <v>713</v>
      </c>
      <c r="M540" s="885" t="s">
        <v>120</v>
      </c>
      <c r="N540" s="886" t="s">
        <v>121</v>
      </c>
      <c r="O540" s="887" t="s">
        <v>719</v>
      </c>
    </row>
    <row r="541" spans="2:16" ht="15.2" hidden="1" customHeight="1" outlineLevel="1" thickTop="1">
      <c r="B541" s="889">
        <v>1</v>
      </c>
      <c r="C541" s="3463" t="s">
        <v>252</v>
      </c>
      <c r="D541" s="1024">
        <v>1</v>
      </c>
      <c r="E541" s="917" t="s">
        <v>133</v>
      </c>
      <c r="F541" s="918" t="s">
        <v>723</v>
      </c>
      <c r="G541" s="1384" t="s">
        <v>253</v>
      </c>
      <c r="H541" s="920">
        <v>10115</v>
      </c>
      <c r="I541" s="1292" t="s">
        <v>179</v>
      </c>
      <c r="J541" s="922" t="s">
        <v>129</v>
      </c>
      <c r="K541" s="923" t="s">
        <v>254</v>
      </c>
      <c r="L541" s="924">
        <v>42017</v>
      </c>
      <c r="M541" s="925" t="s">
        <v>141</v>
      </c>
      <c r="N541" s="1248">
        <v>42024</v>
      </c>
      <c r="O541" s="927" t="s">
        <v>258</v>
      </c>
      <c r="P541" s="928"/>
    </row>
    <row r="542" spans="2:16" hidden="1" outlineLevel="1">
      <c r="B542" s="889">
        <v>2</v>
      </c>
      <c r="C542" s="3464"/>
      <c r="D542" s="1264">
        <v>2</v>
      </c>
      <c r="E542" s="1265" t="s">
        <v>133</v>
      </c>
      <c r="F542" s="1266" t="s">
        <v>723</v>
      </c>
      <c r="G542" s="2522" t="s">
        <v>253</v>
      </c>
      <c r="H542" s="1267">
        <v>20115</v>
      </c>
      <c r="I542" s="1268" t="s">
        <v>179</v>
      </c>
      <c r="J542" s="1268" t="s">
        <v>129</v>
      </c>
      <c r="K542" s="1269" t="s">
        <v>254</v>
      </c>
      <c r="L542" s="1270">
        <v>42017</v>
      </c>
      <c r="M542" s="1271" t="s">
        <v>141</v>
      </c>
      <c r="N542" s="1272">
        <v>42024</v>
      </c>
      <c r="O542" s="1273" t="s">
        <v>258</v>
      </c>
      <c r="P542" s="928"/>
    </row>
    <row r="543" spans="2:16" hidden="1" outlineLevel="1">
      <c r="B543" s="889">
        <v>3</v>
      </c>
      <c r="C543" s="3464"/>
      <c r="D543" s="1078">
        <v>3</v>
      </c>
      <c r="E543" s="939" t="s">
        <v>133</v>
      </c>
      <c r="F543" s="940" t="s">
        <v>723</v>
      </c>
      <c r="G543" s="1381" t="s">
        <v>259</v>
      </c>
      <c r="H543" s="894">
        <v>30115</v>
      </c>
      <c r="I543" s="922" t="s">
        <v>183</v>
      </c>
      <c r="J543" s="922" t="s">
        <v>129</v>
      </c>
      <c r="K543" s="943" t="s">
        <v>254</v>
      </c>
      <c r="L543" s="944">
        <v>42017</v>
      </c>
      <c r="M543" s="945" t="s">
        <v>141</v>
      </c>
      <c r="N543" s="1274">
        <v>42024</v>
      </c>
      <c r="O543" s="947" t="s">
        <v>258</v>
      </c>
    </row>
    <row r="544" spans="2:16" hidden="1" outlineLevel="1">
      <c r="B544" s="889">
        <v>4</v>
      </c>
      <c r="C544" s="3464"/>
      <c r="D544" s="1037">
        <v>4</v>
      </c>
      <c r="E544" s="939" t="s">
        <v>133</v>
      </c>
      <c r="F544" s="940" t="s">
        <v>723</v>
      </c>
      <c r="G544" s="2508" t="s">
        <v>259</v>
      </c>
      <c r="H544" s="894">
        <v>40115</v>
      </c>
      <c r="I544" s="922" t="s">
        <v>183</v>
      </c>
      <c r="J544" s="922" t="s">
        <v>129</v>
      </c>
      <c r="K544" s="943" t="s">
        <v>254</v>
      </c>
      <c r="L544" s="936">
        <v>42017</v>
      </c>
      <c r="M544" s="945" t="s">
        <v>141</v>
      </c>
      <c r="N544" s="1275">
        <v>42024</v>
      </c>
      <c r="O544" s="938" t="s">
        <v>258</v>
      </c>
    </row>
    <row r="545" spans="2:16" hidden="1" outlineLevel="1">
      <c r="B545" s="889">
        <v>5</v>
      </c>
      <c r="C545" s="3464"/>
      <c r="D545" s="1276">
        <v>5</v>
      </c>
      <c r="E545" s="949" t="s">
        <v>133</v>
      </c>
      <c r="F545" s="950" t="s">
        <v>723</v>
      </c>
      <c r="G545" s="1382" t="s">
        <v>259</v>
      </c>
      <c r="H545" s="894">
        <v>50115</v>
      </c>
      <c r="I545" s="922" t="s">
        <v>183</v>
      </c>
      <c r="J545" s="952" t="s">
        <v>129</v>
      </c>
      <c r="K545" s="953" t="s">
        <v>254</v>
      </c>
      <c r="L545" s="954">
        <v>42017</v>
      </c>
      <c r="M545" s="955" t="s">
        <v>141</v>
      </c>
      <c r="N545" s="1277">
        <v>42024</v>
      </c>
      <c r="O545" s="957" t="s">
        <v>258</v>
      </c>
    </row>
    <row r="546" spans="2:16" hidden="1" outlineLevel="1">
      <c r="B546" s="889">
        <v>6</v>
      </c>
      <c r="C546" s="3465"/>
      <c r="D546" s="1037">
        <v>6</v>
      </c>
      <c r="E546" s="958" t="s">
        <v>133</v>
      </c>
      <c r="F546" s="959" t="s">
        <v>723</v>
      </c>
      <c r="G546" s="2508" t="s">
        <v>259</v>
      </c>
      <c r="H546" s="894">
        <v>60115</v>
      </c>
      <c r="I546" s="922" t="s">
        <v>183</v>
      </c>
      <c r="J546" s="934" t="s">
        <v>129</v>
      </c>
      <c r="K546" s="935" t="s">
        <v>254</v>
      </c>
      <c r="L546" s="936">
        <v>42017</v>
      </c>
      <c r="M546" s="960" t="s">
        <v>141</v>
      </c>
      <c r="N546" s="1275">
        <v>42024</v>
      </c>
      <c r="O546" s="938" t="s">
        <v>258</v>
      </c>
    </row>
    <row r="547" spans="2:16" hidden="1" outlineLevel="1">
      <c r="B547" s="889">
        <v>7</v>
      </c>
      <c r="C547" s="3465"/>
      <c r="D547" s="1278">
        <v>7</v>
      </c>
      <c r="E547" s="891" t="s">
        <v>133</v>
      </c>
      <c r="F547" s="950" t="s">
        <v>723</v>
      </c>
      <c r="G547" s="2509" t="s">
        <v>259</v>
      </c>
      <c r="H547" s="894">
        <v>70115</v>
      </c>
      <c r="I547" s="922" t="s">
        <v>183</v>
      </c>
      <c r="J547" s="895" t="s">
        <v>129</v>
      </c>
      <c r="K547" s="896" t="s">
        <v>254</v>
      </c>
      <c r="L547" s="897">
        <v>42017</v>
      </c>
      <c r="M547" s="852" t="s">
        <v>141</v>
      </c>
      <c r="N547" s="1279">
        <v>42024</v>
      </c>
      <c r="O547" s="899" t="s">
        <v>258</v>
      </c>
    </row>
    <row r="548" spans="2:16" hidden="1" outlineLevel="1">
      <c r="B548" s="889">
        <v>8</v>
      </c>
      <c r="C548" s="3465"/>
      <c r="D548" s="1278">
        <v>8</v>
      </c>
      <c r="E548" s="891" t="s">
        <v>133</v>
      </c>
      <c r="F548" s="892" t="s">
        <v>723</v>
      </c>
      <c r="G548" s="2509" t="s">
        <v>259</v>
      </c>
      <c r="H548" s="894">
        <v>80115</v>
      </c>
      <c r="I548" s="922" t="s">
        <v>183</v>
      </c>
      <c r="J548" s="895" t="s">
        <v>129</v>
      </c>
      <c r="K548" s="896" t="s">
        <v>254</v>
      </c>
      <c r="L548" s="897">
        <v>42017</v>
      </c>
      <c r="M548" s="852" t="s">
        <v>141</v>
      </c>
      <c r="N548" s="1279">
        <v>42024</v>
      </c>
      <c r="O548" s="899" t="s">
        <v>258</v>
      </c>
    </row>
    <row r="549" spans="2:16" hidden="1" outlineLevel="1">
      <c r="B549" s="889">
        <v>9</v>
      </c>
      <c r="C549" s="3465"/>
      <c r="D549" s="1278">
        <v>9</v>
      </c>
      <c r="E549" s="891" t="s">
        <v>133</v>
      </c>
      <c r="F549" s="892" t="s">
        <v>723</v>
      </c>
      <c r="G549" s="2509" t="s">
        <v>259</v>
      </c>
      <c r="H549" s="894">
        <v>90115</v>
      </c>
      <c r="I549" s="922" t="s">
        <v>183</v>
      </c>
      <c r="J549" s="895" t="s">
        <v>129</v>
      </c>
      <c r="K549" s="896" t="s">
        <v>254</v>
      </c>
      <c r="L549" s="897">
        <v>42017</v>
      </c>
      <c r="M549" s="852" t="s">
        <v>141</v>
      </c>
      <c r="N549" s="1279">
        <v>42024</v>
      </c>
      <c r="O549" s="899" t="s">
        <v>258</v>
      </c>
    </row>
    <row r="550" spans="2:16" ht="15.75" hidden="1" outlineLevel="1" thickBot="1">
      <c r="B550" s="900">
        <v>10</v>
      </c>
      <c r="C550" s="3466"/>
      <c r="D550" s="1280">
        <v>10</v>
      </c>
      <c r="E550" s="903" t="s">
        <v>133</v>
      </c>
      <c r="F550" s="904" t="s">
        <v>723</v>
      </c>
      <c r="G550" s="2516" t="s">
        <v>259</v>
      </c>
      <c r="H550" s="906">
        <v>100115</v>
      </c>
      <c r="I550" s="1295" t="s">
        <v>183</v>
      </c>
      <c r="J550" s="908" t="s">
        <v>129</v>
      </c>
      <c r="K550" s="909" t="s">
        <v>254</v>
      </c>
      <c r="L550" s="910">
        <v>42017</v>
      </c>
      <c r="M550" s="911" t="s">
        <v>141</v>
      </c>
      <c r="N550" s="1281">
        <v>42024</v>
      </c>
      <c r="O550" s="913" t="s">
        <v>258</v>
      </c>
    </row>
    <row r="551" spans="2:16" ht="8.1" customHeight="1" collapsed="1" thickTop="1" thickBot="1">
      <c r="D551" s="914"/>
      <c r="J551" s="962"/>
    </row>
    <row r="552" spans="2:16" ht="15.2" hidden="1" customHeight="1" outlineLevel="1">
      <c r="B552" s="1283">
        <v>1</v>
      </c>
      <c r="C552" s="3463" t="s">
        <v>260</v>
      </c>
      <c r="D552" s="1024">
        <v>1</v>
      </c>
      <c r="E552" s="917" t="s">
        <v>133</v>
      </c>
      <c r="F552" s="918" t="s">
        <v>723</v>
      </c>
      <c r="G552" s="1384" t="s">
        <v>253</v>
      </c>
      <c r="H552" s="920">
        <v>110215</v>
      </c>
      <c r="I552" s="1292" t="s">
        <v>179</v>
      </c>
      <c r="J552" s="922" t="s">
        <v>129</v>
      </c>
      <c r="K552" s="923" t="s">
        <v>261</v>
      </c>
      <c r="L552" s="924">
        <v>42048</v>
      </c>
      <c r="M552" s="925" t="s">
        <v>148</v>
      </c>
      <c r="N552" s="1248">
        <v>42053</v>
      </c>
      <c r="O552" s="927" t="s">
        <v>258</v>
      </c>
      <c r="P552" s="928"/>
    </row>
    <row r="553" spans="2:16" hidden="1" outlineLevel="1">
      <c r="B553" s="889">
        <v>2</v>
      </c>
      <c r="C553" s="3464"/>
      <c r="D553" s="1264">
        <v>2</v>
      </c>
      <c r="E553" s="1265" t="s">
        <v>133</v>
      </c>
      <c r="F553" s="1266" t="s">
        <v>723</v>
      </c>
      <c r="G553" s="2522" t="s">
        <v>253</v>
      </c>
      <c r="H553" s="1267">
        <v>120215</v>
      </c>
      <c r="I553" s="1268" t="s">
        <v>179</v>
      </c>
      <c r="J553" s="1268" t="s">
        <v>129</v>
      </c>
      <c r="K553" s="1269" t="s">
        <v>261</v>
      </c>
      <c r="L553" s="1270">
        <v>42048</v>
      </c>
      <c r="M553" s="1271" t="s">
        <v>148</v>
      </c>
      <c r="N553" s="1272">
        <v>42053</v>
      </c>
      <c r="O553" s="1273" t="s">
        <v>258</v>
      </c>
      <c r="P553" s="928"/>
    </row>
    <row r="554" spans="2:16" hidden="1" outlineLevel="1">
      <c r="B554" s="889">
        <v>3</v>
      </c>
      <c r="C554" s="3464"/>
      <c r="D554" s="1078">
        <v>3</v>
      </c>
      <c r="E554" s="939" t="s">
        <v>133</v>
      </c>
      <c r="F554" s="940" t="s">
        <v>723</v>
      </c>
      <c r="G554" s="1381" t="s">
        <v>259</v>
      </c>
      <c r="H554" s="894">
        <v>130215</v>
      </c>
      <c r="I554" s="922" t="s">
        <v>183</v>
      </c>
      <c r="J554" s="922" t="s">
        <v>129</v>
      </c>
      <c r="K554" s="943" t="s">
        <v>261</v>
      </c>
      <c r="L554" s="944">
        <v>42048</v>
      </c>
      <c r="M554" s="945" t="s">
        <v>148</v>
      </c>
      <c r="N554" s="1274">
        <v>42053</v>
      </c>
      <c r="O554" s="947" t="s">
        <v>258</v>
      </c>
    </row>
    <row r="555" spans="2:16" hidden="1" outlineLevel="1">
      <c r="B555" s="889">
        <v>4</v>
      </c>
      <c r="C555" s="3464"/>
      <c r="D555" s="1037">
        <v>4</v>
      </c>
      <c r="E555" s="939" t="s">
        <v>133</v>
      </c>
      <c r="F555" s="940" t="s">
        <v>723</v>
      </c>
      <c r="G555" s="2508" t="s">
        <v>259</v>
      </c>
      <c r="H555" s="894">
        <v>140215</v>
      </c>
      <c r="I555" s="922" t="s">
        <v>183</v>
      </c>
      <c r="J555" s="922" t="s">
        <v>129</v>
      </c>
      <c r="K555" s="943" t="s">
        <v>261</v>
      </c>
      <c r="L555" s="936">
        <v>42048</v>
      </c>
      <c r="M555" s="945" t="s">
        <v>148</v>
      </c>
      <c r="N555" s="1275">
        <v>42053</v>
      </c>
      <c r="O555" s="938" t="s">
        <v>258</v>
      </c>
    </row>
    <row r="556" spans="2:16" hidden="1" outlineLevel="1">
      <c r="B556" s="889">
        <v>5</v>
      </c>
      <c r="C556" s="3464"/>
      <c r="D556" s="1276">
        <v>5</v>
      </c>
      <c r="E556" s="949" t="s">
        <v>133</v>
      </c>
      <c r="F556" s="950" t="s">
        <v>723</v>
      </c>
      <c r="G556" s="1382" t="s">
        <v>259</v>
      </c>
      <c r="H556" s="894">
        <v>150215</v>
      </c>
      <c r="I556" s="922" t="s">
        <v>183</v>
      </c>
      <c r="J556" s="952" t="s">
        <v>129</v>
      </c>
      <c r="K556" s="953" t="s">
        <v>261</v>
      </c>
      <c r="L556" s="954">
        <v>42048</v>
      </c>
      <c r="M556" s="955" t="s">
        <v>148</v>
      </c>
      <c r="N556" s="1277">
        <v>42053</v>
      </c>
      <c r="O556" s="957" t="s">
        <v>258</v>
      </c>
    </row>
    <row r="557" spans="2:16" hidden="1" outlineLevel="1">
      <c r="B557" s="889">
        <v>6</v>
      </c>
      <c r="C557" s="3465"/>
      <c r="D557" s="1037">
        <v>6</v>
      </c>
      <c r="E557" s="958" t="s">
        <v>133</v>
      </c>
      <c r="F557" s="959" t="s">
        <v>723</v>
      </c>
      <c r="G557" s="2508" t="s">
        <v>259</v>
      </c>
      <c r="H557" s="894">
        <v>160215</v>
      </c>
      <c r="I557" s="922" t="s">
        <v>183</v>
      </c>
      <c r="J557" s="934" t="s">
        <v>129</v>
      </c>
      <c r="K557" s="935" t="s">
        <v>261</v>
      </c>
      <c r="L557" s="936">
        <v>42048</v>
      </c>
      <c r="M557" s="960" t="s">
        <v>148</v>
      </c>
      <c r="N557" s="1275">
        <v>42053</v>
      </c>
      <c r="O557" s="938" t="s">
        <v>258</v>
      </c>
    </row>
    <row r="558" spans="2:16" hidden="1" outlineLevel="1">
      <c r="B558" s="889">
        <v>7</v>
      </c>
      <c r="C558" s="3465"/>
      <c r="D558" s="1278">
        <v>7</v>
      </c>
      <c r="E558" s="891" t="s">
        <v>133</v>
      </c>
      <c r="F558" s="950" t="s">
        <v>723</v>
      </c>
      <c r="G558" s="2509" t="s">
        <v>259</v>
      </c>
      <c r="H558" s="894">
        <v>170215</v>
      </c>
      <c r="I558" s="922" t="s">
        <v>183</v>
      </c>
      <c r="J558" s="895" t="s">
        <v>129</v>
      </c>
      <c r="K558" s="896" t="s">
        <v>261</v>
      </c>
      <c r="L558" s="897">
        <v>42048</v>
      </c>
      <c r="M558" s="852" t="s">
        <v>148</v>
      </c>
      <c r="N558" s="1279">
        <v>42053</v>
      </c>
      <c r="O558" s="899" t="s">
        <v>258</v>
      </c>
    </row>
    <row r="559" spans="2:16" hidden="1" outlineLevel="1">
      <c r="B559" s="889">
        <v>8</v>
      </c>
      <c r="C559" s="3465"/>
      <c r="D559" s="1278">
        <v>8</v>
      </c>
      <c r="E559" s="891" t="s">
        <v>133</v>
      </c>
      <c r="F559" s="892" t="s">
        <v>723</v>
      </c>
      <c r="G559" s="2509" t="s">
        <v>259</v>
      </c>
      <c r="H559" s="894">
        <v>180215</v>
      </c>
      <c r="I559" s="922" t="s">
        <v>183</v>
      </c>
      <c r="J559" s="895" t="s">
        <v>129</v>
      </c>
      <c r="K559" s="896" t="s">
        <v>261</v>
      </c>
      <c r="L559" s="897">
        <v>42048</v>
      </c>
      <c r="M559" s="852" t="s">
        <v>148</v>
      </c>
      <c r="N559" s="1279">
        <v>42053</v>
      </c>
      <c r="O559" s="899" t="s">
        <v>258</v>
      </c>
    </row>
    <row r="560" spans="2:16" hidden="1" outlineLevel="1">
      <c r="B560" s="889">
        <v>9</v>
      </c>
      <c r="C560" s="3465"/>
      <c r="D560" s="1278">
        <v>9</v>
      </c>
      <c r="E560" s="891" t="s">
        <v>133</v>
      </c>
      <c r="F560" s="892" t="s">
        <v>723</v>
      </c>
      <c r="G560" s="2509" t="s">
        <v>259</v>
      </c>
      <c r="H560" s="894">
        <v>190215</v>
      </c>
      <c r="I560" s="922" t="s">
        <v>183</v>
      </c>
      <c r="J560" s="895" t="s">
        <v>129</v>
      </c>
      <c r="K560" s="896" t="s">
        <v>261</v>
      </c>
      <c r="L560" s="897">
        <v>42048</v>
      </c>
      <c r="M560" s="852" t="s">
        <v>148</v>
      </c>
      <c r="N560" s="1279">
        <v>42053</v>
      </c>
      <c r="O560" s="899" t="s">
        <v>258</v>
      </c>
    </row>
    <row r="561" spans="2:16" ht="15.75" hidden="1" outlineLevel="1" thickBot="1">
      <c r="B561" s="900">
        <v>10</v>
      </c>
      <c r="C561" s="3466"/>
      <c r="D561" s="1280">
        <v>10</v>
      </c>
      <c r="E561" s="903" t="s">
        <v>133</v>
      </c>
      <c r="F561" s="904" t="s">
        <v>723</v>
      </c>
      <c r="G561" s="2516" t="s">
        <v>259</v>
      </c>
      <c r="H561" s="906">
        <v>200215</v>
      </c>
      <c r="I561" s="1295" t="s">
        <v>183</v>
      </c>
      <c r="J561" s="908" t="s">
        <v>129</v>
      </c>
      <c r="K561" s="909" t="s">
        <v>261</v>
      </c>
      <c r="L561" s="910">
        <v>42048</v>
      </c>
      <c r="M561" s="911" t="s">
        <v>148</v>
      </c>
      <c r="N561" s="1281">
        <v>42053</v>
      </c>
      <c r="O561" s="913" t="s">
        <v>258</v>
      </c>
    </row>
    <row r="562" spans="2:16" ht="8.1" customHeight="1" collapsed="1" thickBot="1">
      <c r="D562" s="914"/>
      <c r="J562" s="1282"/>
    </row>
    <row r="563" spans="2:16" ht="15.2" hidden="1" customHeight="1" outlineLevel="1">
      <c r="B563" s="1283">
        <v>1</v>
      </c>
      <c r="C563" s="3463" t="s">
        <v>262</v>
      </c>
      <c r="D563" s="1024">
        <v>1</v>
      </c>
      <c r="E563" s="917" t="s">
        <v>133</v>
      </c>
      <c r="F563" s="918" t="s">
        <v>723</v>
      </c>
      <c r="G563" s="1384" t="s">
        <v>253</v>
      </c>
      <c r="H563" s="920">
        <v>210215</v>
      </c>
      <c r="I563" s="1292" t="s">
        <v>179</v>
      </c>
      <c r="J563" s="922" t="s">
        <v>129</v>
      </c>
      <c r="K563" s="923" t="s">
        <v>263</v>
      </c>
      <c r="L563" s="924">
        <v>42117</v>
      </c>
      <c r="M563" s="925" t="s">
        <v>149</v>
      </c>
      <c r="N563" s="1248">
        <v>42117</v>
      </c>
      <c r="O563" s="927" t="s">
        <v>258</v>
      </c>
      <c r="P563" s="928"/>
    </row>
    <row r="564" spans="2:16" hidden="1" outlineLevel="1">
      <c r="B564" s="889">
        <v>2</v>
      </c>
      <c r="C564" s="3464"/>
      <c r="D564" s="1264">
        <v>2</v>
      </c>
      <c r="E564" s="1265" t="s">
        <v>133</v>
      </c>
      <c r="F564" s="1266" t="s">
        <v>723</v>
      </c>
      <c r="G564" s="2522" t="s">
        <v>253</v>
      </c>
      <c r="H564" s="1267">
        <v>220215</v>
      </c>
      <c r="I564" s="1268" t="s">
        <v>179</v>
      </c>
      <c r="J564" s="1268" t="s">
        <v>129</v>
      </c>
      <c r="K564" s="1269" t="s">
        <v>263</v>
      </c>
      <c r="L564" s="1270">
        <v>42117</v>
      </c>
      <c r="M564" s="1271" t="s">
        <v>149</v>
      </c>
      <c r="N564" s="1272">
        <v>42117</v>
      </c>
      <c r="O564" s="1273" t="s">
        <v>258</v>
      </c>
      <c r="P564" s="928"/>
    </row>
    <row r="565" spans="2:16" hidden="1" outlineLevel="1">
      <c r="B565" s="889">
        <v>3</v>
      </c>
      <c r="C565" s="3464"/>
      <c r="D565" s="1078">
        <v>3</v>
      </c>
      <c r="E565" s="939" t="s">
        <v>133</v>
      </c>
      <c r="F565" s="940" t="s">
        <v>723</v>
      </c>
      <c r="G565" s="1381" t="s">
        <v>259</v>
      </c>
      <c r="H565" s="894">
        <v>230215</v>
      </c>
      <c r="I565" s="922" t="s">
        <v>183</v>
      </c>
      <c r="J565" s="922" t="s">
        <v>129</v>
      </c>
      <c r="K565" s="943" t="s">
        <v>263</v>
      </c>
      <c r="L565" s="944">
        <v>42117</v>
      </c>
      <c r="M565" s="945" t="s">
        <v>149</v>
      </c>
      <c r="N565" s="983">
        <v>42117</v>
      </c>
      <c r="O565" s="947" t="s">
        <v>258</v>
      </c>
    </row>
    <row r="566" spans="2:16" hidden="1" outlineLevel="1">
      <c r="B566" s="889">
        <v>4</v>
      </c>
      <c r="C566" s="3464"/>
      <c r="D566" s="1037">
        <v>4</v>
      </c>
      <c r="E566" s="939" t="s">
        <v>133</v>
      </c>
      <c r="F566" s="940" t="s">
        <v>723</v>
      </c>
      <c r="G566" s="2508" t="s">
        <v>259</v>
      </c>
      <c r="H566" s="894">
        <v>240215</v>
      </c>
      <c r="I566" s="922" t="s">
        <v>183</v>
      </c>
      <c r="J566" s="922" t="s">
        <v>129</v>
      </c>
      <c r="K566" s="943" t="s">
        <v>263</v>
      </c>
      <c r="L566" s="936">
        <v>42117</v>
      </c>
      <c r="M566" s="945" t="s">
        <v>149</v>
      </c>
      <c r="N566" s="976">
        <v>42117</v>
      </c>
      <c r="O566" s="938" t="s">
        <v>258</v>
      </c>
    </row>
    <row r="567" spans="2:16" hidden="1" outlineLevel="1">
      <c r="B567" s="889">
        <v>5</v>
      </c>
      <c r="C567" s="3464"/>
      <c r="D567" s="1276">
        <v>5</v>
      </c>
      <c r="E567" s="949" t="s">
        <v>133</v>
      </c>
      <c r="F567" s="950" t="s">
        <v>723</v>
      </c>
      <c r="G567" s="1382" t="s">
        <v>259</v>
      </c>
      <c r="H567" s="894">
        <v>250215</v>
      </c>
      <c r="I567" s="922" t="s">
        <v>183</v>
      </c>
      <c r="J567" s="952" t="s">
        <v>129</v>
      </c>
      <c r="K567" s="953" t="s">
        <v>263</v>
      </c>
      <c r="L567" s="954">
        <v>42117</v>
      </c>
      <c r="M567" s="955" t="s">
        <v>149</v>
      </c>
      <c r="N567" s="1284">
        <v>42117</v>
      </c>
      <c r="O567" s="957" t="s">
        <v>258</v>
      </c>
    </row>
    <row r="568" spans="2:16" hidden="1" outlineLevel="1">
      <c r="B568" s="889">
        <v>6</v>
      </c>
      <c r="C568" s="3465"/>
      <c r="D568" s="1037">
        <v>6</v>
      </c>
      <c r="E568" s="958" t="s">
        <v>133</v>
      </c>
      <c r="F568" s="959" t="s">
        <v>723</v>
      </c>
      <c r="G568" s="2508" t="s">
        <v>259</v>
      </c>
      <c r="H568" s="894">
        <v>260215</v>
      </c>
      <c r="I568" s="922" t="s">
        <v>183</v>
      </c>
      <c r="J568" s="934" t="s">
        <v>129</v>
      </c>
      <c r="K568" s="935" t="s">
        <v>263</v>
      </c>
      <c r="L568" s="936">
        <v>42117</v>
      </c>
      <c r="M568" s="960" t="s">
        <v>149</v>
      </c>
      <c r="N568" s="976">
        <v>42117</v>
      </c>
      <c r="O568" s="938" t="s">
        <v>258</v>
      </c>
    </row>
    <row r="569" spans="2:16" hidden="1" outlineLevel="1">
      <c r="B569" s="889">
        <v>7</v>
      </c>
      <c r="C569" s="3465"/>
      <c r="D569" s="1278">
        <v>7</v>
      </c>
      <c r="E569" s="891" t="s">
        <v>133</v>
      </c>
      <c r="F569" s="950" t="s">
        <v>723</v>
      </c>
      <c r="G569" s="2509" t="s">
        <v>259</v>
      </c>
      <c r="H569" s="894">
        <v>270215</v>
      </c>
      <c r="I569" s="922" t="s">
        <v>183</v>
      </c>
      <c r="J569" s="895" t="s">
        <v>129</v>
      </c>
      <c r="K569" s="896" t="s">
        <v>263</v>
      </c>
      <c r="L569" s="897">
        <v>42117</v>
      </c>
      <c r="M569" s="852" t="s">
        <v>149</v>
      </c>
      <c r="N569" s="1172">
        <v>42117</v>
      </c>
      <c r="O569" s="899" t="s">
        <v>258</v>
      </c>
    </row>
    <row r="570" spans="2:16" hidden="1" outlineLevel="1">
      <c r="B570" s="889">
        <v>8</v>
      </c>
      <c r="C570" s="3465"/>
      <c r="D570" s="1278">
        <v>8</v>
      </c>
      <c r="E570" s="891" t="s">
        <v>133</v>
      </c>
      <c r="F570" s="892" t="s">
        <v>723</v>
      </c>
      <c r="G570" s="2509" t="s">
        <v>259</v>
      </c>
      <c r="H570" s="894">
        <v>280215</v>
      </c>
      <c r="I570" s="922" t="s">
        <v>183</v>
      </c>
      <c r="J570" s="895" t="s">
        <v>129</v>
      </c>
      <c r="K570" s="896" t="s">
        <v>263</v>
      </c>
      <c r="L570" s="897">
        <v>42117</v>
      </c>
      <c r="M570" s="852" t="s">
        <v>149</v>
      </c>
      <c r="N570" s="1172">
        <v>42117</v>
      </c>
      <c r="O570" s="899" t="s">
        <v>258</v>
      </c>
    </row>
    <row r="571" spans="2:16" hidden="1" outlineLevel="1">
      <c r="B571" s="889">
        <v>9</v>
      </c>
      <c r="C571" s="3465"/>
      <c r="D571" s="1278">
        <v>9</v>
      </c>
      <c r="E571" s="891" t="s">
        <v>133</v>
      </c>
      <c r="F571" s="892" t="s">
        <v>723</v>
      </c>
      <c r="G571" s="2509" t="s">
        <v>259</v>
      </c>
      <c r="H571" s="894">
        <v>290215</v>
      </c>
      <c r="I571" s="922" t="s">
        <v>183</v>
      </c>
      <c r="J571" s="895" t="s">
        <v>129</v>
      </c>
      <c r="K571" s="896" t="s">
        <v>263</v>
      </c>
      <c r="L571" s="897">
        <v>42117</v>
      </c>
      <c r="M571" s="852" t="s">
        <v>149</v>
      </c>
      <c r="N571" s="1172">
        <v>42117</v>
      </c>
      <c r="O571" s="899" t="s">
        <v>258</v>
      </c>
    </row>
    <row r="572" spans="2:16" ht="15.75" hidden="1" outlineLevel="1" thickBot="1">
      <c r="B572" s="900">
        <v>10</v>
      </c>
      <c r="C572" s="3466"/>
      <c r="D572" s="1280">
        <v>10</v>
      </c>
      <c r="E572" s="903" t="s">
        <v>133</v>
      </c>
      <c r="F572" s="904" t="s">
        <v>723</v>
      </c>
      <c r="G572" s="2516" t="s">
        <v>259</v>
      </c>
      <c r="H572" s="906">
        <v>300215</v>
      </c>
      <c r="I572" s="1295" t="s">
        <v>183</v>
      </c>
      <c r="J572" s="908" t="s">
        <v>129</v>
      </c>
      <c r="K572" s="909" t="s">
        <v>263</v>
      </c>
      <c r="L572" s="910">
        <v>42117</v>
      </c>
      <c r="M572" s="911" t="s">
        <v>149</v>
      </c>
      <c r="N572" s="1165">
        <v>42117</v>
      </c>
      <c r="O572" s="913" t="s">
        <v>258</v>
      </c>
    </row>
    <row r="573" spans="2:16" ht="8.1" customHeight="1" collapsed="1" thickBot="1">
      <c r="D573" s="914"/>
      <c r="J573" s="1282"/>
    </row>
    <row r="574" spans="2:16" ht="15.2" hidden="1" customHeight="1" outlineLevel="1">
      <c r="B574" s="1283">
        <v>1</v>
      </c>
      <c r="C574" s="3463" t="s">
        <v>264</v>
      </c>
      <c r="D574" s="1024">
        <v>1</v>
      </c>
      <c r="E574" s="917" t="s">
        <v>133</v>
      </c>
      <c r="F574" s="918" t="s">
        <v>723</v>
      </c>
      <c r="G574" s="1384" t="s">
        <v>253</v>
      </c>
      <c r="H574" s="920">
        <v>310615</v>
      </c>
      <c r="I574" s="1292" t="s">
        <v>179</v>
      </c>
      <c r="J574" s="922" t="s">
        <v>129</v>
      </c>
      <c r="K574" s="923" t="s">
        <v>265</v>
      </c>
      <c r="L574" s="924">
        <v>42179</v>
      </c>
      <c r="M574" s="925" t="s">
        <v>150</v>
      </c>
      <c r="N574" s="1248">
        <v>42192</v>
      </c>
      <c r="O574" s="927" t="s">
        <v>258</v>
      </c>
      <c r="P574" s="928"/>
    </row>
    <row r="575" spans="2:16" hidden="1" outlineLevel="1">
      <c r="B575" s="889">
        <v>2</v>
      </c>
      <c r="C575" s="3464"/>
      <c r="D575" s="1264">
        <v>2</v>
      </c>
      <c r="E575" s="1265" t="s">
        <v>133</v>
      </c>
      <c r="F575" s="1266" t="s">
        <v>723</v>
      </c>
      <c r="G575" s="2522" t="s">
        <v>253</v>
      </c>
      <c r="H575" s="1267">
        <v>320615</v>
      </c>
      <c r="I575" s="1268" t="s">
        <v>179</v>
      </c>
      <c r="J575" s="1268" t="s">
        <v>129</v>
      </c>
      <c r="K575" s="1269" t="s">
        <v>265</v>
      </c>
      <c r="L575" s="1270">
        <v>42179</v>
      </c>
      <c r="M575" s="1271" t="s">
        <v>150</v>
      </c>
      <c r="N575" s="1272">
        <v>42192</v>
      </c>
      <c r="O575" s="1273" t="s">
        <v>258</v>
      </c>
      <c r="P575" s="928"/>
    </row>
    <row r="576" spans="2:16" hidden="1" outlineLevel="1">
      <c r="B576" s="889">
        <v>3</v>
      </c>
      <c r="C576" s="3464"/>
      <c r="D576" s="1078">
        <v>3</v>
      </c>
      <c r="E576" s="939" t="s">
        <v>133</v>
      </c>
      <c r="F576" s="940" t="s">
        <v>723</v>
      </c>
      <c r="G576" s="1381" t="s">
        <v>259</v>
      </c>
      <c r="H576" s="894">
        <v>330615</v>
      </c>
      <c r="I576" s="922" t="s">
        <v>183</v>
      </c>
      <c r="J576" s="922" t="s">
        <v>129</v>
      </c>
      <c r="K576" s="943" t="s">
        <v>265</v>
      </c>
      <c r="L576" s="944">
        <v>42179</v>
      </c>
      <c r="M576" s="945" t="s">
        <v>150</v>
      </c>
      <c r="N576" s="1274">
        <v>42192</v>
      </c>
      <c r="O576" s="947" t="s">
        <v>258</v>
      </c>
    </row>
    <row r="577" spans="2:16" hidden="1" outlineLevel="1">
      <c r="B577" s="889">
        <v>4</v>
      </c>
      <c r="C577" s="3464"/>
      <c r="D577" s="1037">
        <v>4</v>
      </c>
      <c r="E577" s="939" t="s">
        <v>133</v>
      </c>
      <c r="F577" s="940" t="s">
        <v>723</v>
      </c>
      <c r="G577" s="2508" t="s">
        <v>259</v>
      </c>
      <c r="H577" s="894">
        <v>340615</v>
      </c>
      <c r="I577" s="922" t="s">
        <v>183</v>
      </c>
      <c r="J577" s="922" t="s">
        <v>129</v>
      </c>
      <c r="K577" s="943" t="s">
        <v>265</v>
      </c>
      <c r="L577" s="936">
        <v>42179</v>
      </c>
      <c r="M577" s="945" t="s">
        <v>150</v>
      </c>
      <c r="N577" s="1275">
        <v>42192</v>
      </c>
      <c r="O577" s="938" t="s">
        <v>258</v>
      </c>
    </row>
    <row r="578" spans="2:16" hidden="1" outlineLevel="1">
      <c r="B578" s="889">
        <v>5</v>
      </c>
      <c r="C578" s="3464"/>
      <c r="D578" s="1276">
        <v>5</v>
      </c>
      <c r="E578" s="949" t="s">
        <v>133</v>
      </c>
      <c r="F578" s="950" t="s">
        <v>723</v>
      </c>
      <c r="G578" s="1382" t="s">
        <v>259</v>
      </c>
      <c r="H578" s="894">
        <v>350615</v>
      </c>
      <c r="I578" s="922" t="s">
        <v>183</v>
      </c>
      <c r="J578" s="952" t="s">
        <v>129</v>
      </c>
      <c r="K578" s="953" t="s">
        <v>265</v>
      </c>
      <c r="L578" s="954">
        <v>42179</v>
      </c>
      <c r="M578" s="955" t="s">
        <v>150</v>
      </c>
      <c r="N578" s="1277">
        <v>42192</v>
      </c>
      <c r="O578" s="957" t="s">
        <v>258</v>
      </c>
    </row>
    <row r="579" spans="2:16" hidden="1" outlineLevel="1">
      <c r="B579" s="889">
        <v>6</v>
      </c>
      <c r="C579" s="3465"/>
      <c r="D579" s="1037">
        <v>6</v>
      </c>
      <c r="E579" s="958" t="s">
        <v>133</v>
      </c>
      <c r="F579" s="959" t="s">
        <v>723</v>
      </c>
      <c r="G579" s="2508" t="s">
        <v>259</v>
      </c>
      <c r="H579" s="894">
        <v>360615</v>
      </c>
      <c r="I579" s="922" t="s">
        <v>183</v>
      </c>
      <c r="J579" s="934" t="s">
        <v>129</v>
      </c>
      <c r="K579" s="935" t="s">
        <v>265</v>
      </c>
      <c r="L579" s="936">
        <v>42179</v>
      </c>
      <c r="M579" s="960" t="s">
        <v>150</v>
      </c>
      <c r="N579" s="1275">
        <v>42192</v>
      </c>
      <c r="O579" s="938" t="s">
        <v>258</v>
      </c>
    </row>
    <row r="580" spans="2:16" hidden="1" outlineLevel="1">
      <c r="B580" s="889">
        <v>7</v>
      </c>
      <c r="C580" s="3465"/>
      <c r="D580" s="1278">
        <v>7</v>
      </c>
      <c r="E580" s="891" t="s">
        <v>133</v>
      </c>
      <c r="F580" s="950" t="s">
        <v>723</v>
      </c>
      <c r="G580" s="2509" t="s">
        <v>259</v>
      </c>
      <c r="H580" s="894">
        <v>370615</v>
      </c>
      <c r="I580" s="922" t="s">
        <v>183</v>
      </c>
      <c r="J580" s="895" t="s">
        <v>129</v>
      </c>
      <c r="K580" s="896" t="s">
        <v>265</v>
      </c>
      <c r="L580" s="897">
        <v>42179</v>
      </c>
      <c r="M580" s="852" t="s">
        <v>150</v>
      </c>
      <c r="N580" s="1279">
        <v>42192</v>
      </c>
      <c r="O580" s="899" t="s">
        <v>258</v>
      </c>
    </row>
    <row r="581" spans="2:16" hidden="1" outlineLevel="1">
      <c r="B581" s="889">
        <v>8</v>
      </c>
      <c r="C581" s="3465"/>
      <c r="D581" s="1278">
        <v>8</v>
      </c>
      <c r="E581" s="891" t="s">
        <v>133</v>
      </c>
      <c r="F581" s="892" t="s">
        <v>723</v>
      </c>
      <c r="G581" s="2509" t="s">
        <v>259</v>
      </c>
      <c r="H581" s="894">
        <v>380615</v>
      </c>
      <c r="I581" s="922" t="s">
        <v>183</v>
      </c>
      <c r="J581" s="895" t="s">
        <v>129</v>
      </c>
      <c r="K581" s="896" t="s">
        <v>265</v>
      </c>
      <c r="L581" s="897">
        <v>42179</v>
      </c>
      <c r="M581" s="852" t="s">
        <v>150</v>
      </c>
      <c r="N581" s="1279">
        <v>42192</v>
      </c>
      <c r="O581" s="899" t="s">
        <v>258</v>
      </c>
    </row>
    <row r="582" spans="2:16" hidden="1" outlineLevel="1">
      <c r="B582" s="889">
        <v>9</v>
      </c>
      <c r="C582" s="3465"/>
      <c r="D582" s="1278">
        <v>9</v>
      </c>
      <c r="E582" s="891" t="s">
        <v>133</v>
      </c>
      <c r="F582" s="892" t="s">
        <v>723</v>
      </c>
      <c r="G582" s="2509" t="s">
        <v>259</v>
      </c>
      <c r="H582" s="894">
        <v>390615</v>
      </c>
      <c r="I582" s="922" t="s">
        <v>183</v>
      </c>
      <c r="J582" s="895" t="s">
        <v>129</v>
      </c>
      <c r="K582" s="896" t="s">
        <v>265</v>
      </c>
      <c r="L582" s="897">
        <v>42179</v>
      </c>
      <c r="M582" s="852" t="s">
        <v>150</v>
      </c>
      <c r="N582" s="1279">
        <v>42192</v>
      </c>
      <c r="O582" s="899" t="s">
        <v>258</v>
      </c>
    </row>
    <row r="583" spans="2:16" ht="15.75" hidden="1" outlineLevel="1" thickBot="1">
      <c r="B583" s="900">
        <v>10</v>
      </c>
      <c r="C583" s="3466"/>
      <c r="D583" s="1280">
        <v>10</v>
      </c>
      <c r="E583" s="903" t="s">
        <v>133</v>
      </c>
      <c r="F583" s="904" t="s">
        <v>723</v>
      </c>
      <c r="G583" s="2516" t="s">
        <v>259</v>
      </c>
      <c r="H583" s="906">
        <v>400615</v>
      </c>
      <c r="I583" s="1295" t="s">
        <v>183</v>
      </c>
      <c r="J583" s="908" t="s">
        <v>129</v>
      </c>
      <c r="K583" s="909" t="s">
        <v>265</v>
      </c>
      <c r="L583" s="910">
        <v>42179</v>
      </c>
      <c r="M583" s="911" t="s">
        <v>150</v>
      </c>
      <c r="N583" s="1281">
        <v>42192</v>
      </c>
      <c r="O583" s="913" t="s">
        <v>258</v>
      </c>
    </row>
    <row r="584" spans="2:16" ht="8.1" customHeight="1" collapsed="1" thickBot="1">
      <c r="D584" s="914"/>
      <c r="J584" s="1282"/>
    </row>
    <row r="585" spans="2:16" ht="15.2" hidden="1" customHeight="1" outlineLevel="1">
      <c r="B585" s="1283">
        <v>1</v>
      </c>
      <c r="C585" s="3463" t="s">
        <v>266</v>
      </c>
      <c r="D585" s="1024">
        <v>1</v>
      </c>
      <c r="E585" s="1285" t="s">
        <v>267</v>
      </c>
      <c r="F585" s="918" t="s">
        <v>723</v>
      </c>
      <c r="G585" s="1384" t="s">
        <v>268</v>
      </c>
      <c r="H585" s="920">
        <v>410815</v>
      </c>
      <c r="I585" s="1292" t="s">
        <v>179</v>
      </c>
      <c r="J585" s="922" t="s">
        <v>129</v>
      </c>
      <c r="K585" s="923" t="s">
        <v>269</v>
      </c>
      <c r="L585" s="924">
        <v>42210</v>
      </c>
      <c r="M585" s="923" t="s">
        <v>152</v>
      </c>
      <c r="N585" s="1248">
        <v>42221</v>
      </c>
      <c r="O585" s="927" t="s">
        <v>258</v>
      </c>
      <c r="P585" s="928"/>
    </row>
    <row r="586" spans="2:16" hidden="1" outlineLevel="1">
      <c r="B586" s="889">
        <v>2</v>
      </c>
      <c r="C586" s="3464"/>
      <c r="D586" s="1264">
        <v>2</v>
      </c>
      <c r="E586" s="1286" t="s">
        <v>267</v>
      </c>
      <c r="F586" s="1266" t="s">
        <v>723</v>
      </c>
      <c r="G586" s="2522" t="s">
        <v>268</v>
      </c>
      <c r="H586" s="2605">
        <v>420815</v>
      </c>
      <c r="I586" s="1268" t="s">
        <v>179</v>
      </c>
      <c r="J586" s="1268" t="s">
        <v>129</v>
      </c>
      <c r="K586" s="1269" t="s">
        <v>269</v>
      </c>
      <c r="L586" s="1270">
        <v>42210</v>
      </c>
      <c r="M586" s="1269" t="s">
        <v>152</v>
      </c>
      <c r="N586" s="1272">
        <v>42221</v>
      </c>
      <c r="O586" s="1273" t="s">
        <v>258</v>
      </c>
      <c r="P586" s="928"/>
    </row>
    <row r="587" spans="2:16" hidden="1" outlineLevel="1">
      <c r="B587" s="889">
        <v>3</v>
      </c>
      <c r="C587" s="3464"/>
      <c r="D587" s="1078">
        <v>3</v>
      </c>
      <c r="E587" s="1287" t="s">
        <v>267</v>
      </c>
      <c r="F587" s="940" t="s">
        <v>723</v>
      </c>
      <c r="G587" s="1381" t="s">
        <v>259</v>
      </c>
      <c r="H587" s="894">
        <v>430815</v>
      </c>
      <c r="I587" s="922" t="s">
        <v>183</v>
      </c>
      <c r="J587" s="922" t="s">
        <v>129</v>
      </c>
      <c r="K587" s="943" t="s">
        <v>269</v>
      </c>
      <c r="L587" s="944">
        <v>42210</v>
      </c>
      <c r="M587" s="943" t="s">
        <v>152</v>
      </c>
      <c r="N587" s="1274">
        <v>42221</v>
      </c>
      <c r="O587" s="947" t="s">
        <v>258</v>
      </c>
    </row>
    <row r="588" spans="2:16" hidden="1" outlineLevel="1">
      <c r="B588" s="889">
        <v>4</v>
      </c>
      <c r="C588" s="3464"/>
      <c r="D588" s="1037">
        <v>4</v>
      </c>
      <c r="E588" s="1287" t="s">
        <v>267</v>
      </c>
      <c r="F588" s="940" t="s">
        <v>723</v>
      </c>
      <c r="G588" s="2508" t="s">
        <v>259</v>
      </c>
      <c r="H588" s="894">
        <v>440815</v>
      </c>
      <c r="I588" s="922" t="s">
        <v>183</v>
      </c>
      <c r="J588" s="922" t="s">
        <v>129</v>
      </c>
      <c r="K588" s="943" t="s">
        <v>269</v>
      </c>
      <c r="L588" s="936">
        <v>42210</v>
      </c>
      <c r="M588" s="943" t="s">
        <v>152</v>
      </c>
      <c r="N588" s="1275">
        <v>42221</v>
      </c>
      <c r="O588" s="938" t="s">
        <v>258</v>
      </c>
    </row>
    <row r="589" spans="2:16" hidden="1" outlineLevel="1">
      <c r="B589" s="889">
        <v>5</v>
      </c>
      <c r="C589" s="3464"/>
      <c r="D589" s="1276">
        <v>5</v>
      </c>
      <c r="E589" s="1288" t="s">
        <v>267</v>
      </c>
      <c r="F589" s="950" t="s">
        <v>723</v>
      </c>
      <c r="G589" s="1382" t="s">
        <v>259</v>
      </c>
      <c r="H589" s="894">
        <v>450815</v>
      </c>
      <c r="I589" s="922" t="s">
        <v>183</v>
      </c>
      <c r="J589" s="952" t="s">
        <v>129</v>
      </c>
      <c r="K589" s="953" t="s">
        <v>269</v>
      </c>
      <c r="L589" s="954">
        <v>42210</v>
      </c>
      <c r="M589" s="953" t="s">
        <v>152</v>
      </c>
      <c r="N589" s="1277">
        <v>42221</v>
      </c>
      <c r="O589" s="957" t="s">
        <v>258</v>
      </c>
    </row>
    <row r="590" spans="2:16" hidden="1" outlineLevel="1">
      <c r="B590" s="889">
        <v>6</v>
      </c>
      <c r="C590" s="3465"/>
      <c r="D590" s="1037">
        <v>6</v>
      </c>
      <c r="E590" s="1289" t="s">
        <v>267</v>
      </c>
      <c r="F590" s="959" t="s">
        <v>723</v>
      </c>
      <c r="G590" s="2508" t="s">
        <v>259</v>
      </c>
      <c r="H590" s="894">
        <v>460815</v>
      </c>
      <c r="I590" s="922" t="s">
        <v>183</v>
      </c>
      <c r="J590" s="934" t="s">
        <v>129</v>
      </c>
      <c r="K590" s="935" t="s">
        <v>269</v>
      </c>
      <c r="L590" s="936">
        <v>42210</v>
      </c>
      <c r="M590" s="935" t="s">
        <v>152</v>
      </c>
      <c r="N590" s="1275">
        <v>42221</v>
      </c>
      <c r="O590" s="938" t="s">
        <v>258</v>
      </c>
    </row>
    <row r="591" spans="2:16" hidden="1" outlineLevel="1">
      <c r="B591" s="889">
        <v>7</v>
      </c>
      <c r="C591" s="3465"/>
      <c r="D591" s="1278">
        <v>7</v>
      </c>
      <c r="E591" s="1290" t="s">
        <v>267</v>
      </c>
      <c r="F591" s="950" t="s">
        <v>723</v>
      </c>
      <c r="G591" s="2509" t="s">
        <v>259</v>
      </c>
      <c r="H591" s="894">
        <v>470815</v>
      </c>
      <c r="I591" s="922" t="s">
        <v>183</v>
      </c>
      <c r="J591" s="895" t="s">
        <v>129</v>
      </c>
      <c r="K591" s="896" t="s">
        <v>269</v>
      </c>
      <c r="L591" s="897">
        <v>42210</v>
      </c>
      <c r="M591" s="896" t="s">
        <v>152</v>
      </c>
      <c r="N591" s="1279">
        <v>42221</v>
      </c>
      <c r="O591" s="899" t="s">
        <v>258</v>
      </c>
    </row>
    <row r="592" spans="2:16" hidden="1" outlineLevel="1">
      <c r="B592" s="889">
        <v>8</v>
      </c>
      <c r="C592" s="3465"/>
      <c r="D592" s="1278">
        <v>8</v>
      </c>
      <c r="E592" s="1290" t="s">
        <v>267</v>
      </c>
      <c r="F592" s="892" t="s">
        <v>723</v>
      </c>
      <c r="G592" s="2509" t="s">
        <v>259</v>
      </c>
      <c r="H592" s="894">
        <v>480815</v>
      </c>
      <c r="I592" s="922" t="s">
        <v>183</v>
      </c>
      <c r="J592" s="895" t="s">
        <v>129</v>
      </c>
      <c r="K592" s="896" t="s">
        <v>269</v>
      </c>
      <c r="L592" s="897">
        <v>42210</v>
      </c>
      <c r="M592" s="896" t="s">
        <v>152</v>
      </c>
      <c r="N592" s="1279">
        <v>42221</v>
      </c>
      <c r="O592" s="899" t="s">
        <v>258</v>
      </c>
    </row>
    <row r="593" spans="2:16" hidden="1" outlineLevel="1">
      <c r="B593" s="889">
        <v>9</v>
      </c>
      <c r="C593" s="3465"/>
      <c r="D593" s="1278">
        <v>9</v>
      </c>
      <c r="E593" s="1290" t="s">
        <v>267</v>
      </c>
      <c r="F593" s="892" t="s">
        <v>723</v>
      </c>
      <c r="G593" s="2509" t="s">
        <v>259</v>
      </c>
      <c r="H593" s="894">
        <v>490815</v>
      </c>
      <c r="I593" s="922" t="s">
        <v>183</v>
      </c>
      <c r="J593" s="895" t="s">
        <v>129</v>
      </c>
      <c r="K593" s="896" t="s">
        <v>269</v>
      </c>
      <c r="L593" s="897">
        <v>42210</v>
      </c>
      <c r="M593" s="896" t="s">
        <v>152</v>
      </c>
      <c r="N593" s="1279">
        <v>42221</v>
      </c>
      <c r="O593" s="899" t="s">
        <v>258</v>
      </c>
    </row>
    <row r="594" spans="2:16" ht="15.75" hidden="1" outlineLevel="1" thickBot="1">
      <c r="B594" s="900">
        <v>10</v>
      </c>
      <c r="C594" s="3466"/>
      <c r="D594" s="1280">
        <v>10</v>
      </c>
      <c r="E594" s="1291" t="s">
        <v>267</v>
      </c>
      <c r="F594" s="904" t="s">
        <v>723</v>
      </c>
      <c r="G594" s="2516" t="s">
        <v>259</v>
      </c>
      <c r="H594" s="906">
        <v>500815</v>
      </c>
      <c r="I594" s="1295" t="s">
        <v>183</v>
      </c>
      <c r="J594" s="908" t="s">
        <v>129</v>
      </c>
      <c r="K594" s="909" t="s">
        <v>269</v>
      </c>
      <c r="L594" s="910">
        <v>42210</v>
      </c>
      <c r="M594" s="909" t="s">
        <v>152</v>
      </c>
      <c r="N594" s="1281">
        <v>42221</v>
      </c>
      <c r="O594" s="913" t="s">
        <v>258</v>
      </c>
    </row>
    <row r="595" spans="2:16" ht="8.1" customHeight="1" collapsed="1" thickBot="1">
      <c r="D595" s="914"/>
      <c r="J595" s="1282"/>
    </row>
    <row r="596" spans="2:16" ht="15.2" hidden="1" customHeight="1" outlineLevel="1">
      <c r="B596" s="1283">
        <v>1</v>
      </c>
      <c r="C596" s="3463" t="s">
        <v>270</v>
      </c>
      <c r="D596" s="1024">
        <v>1</v>
      </c>
      <c r="E596" s="1285" t="s">
        <v>267</v>
      </c>
      <c r="F596" s="918" t="s">
        <v>723</v>
      </c>
      <c r="G596" s="1384" t="s">
        <v>268</v>
      </c>
      <c r="H596" s="920">
        <v>510915</v>
      </c>
      <c r="I596" s="1292" t="s">
        <v>179</v>
      </c>
      <c r="J596" s="922" t="s">
        <v>129</v>
      </c>
      <c r="K596" s="923" t="s">
        <v>271</v>
      </c>
      <c r="L596" s="924">
        <v>42250</v>
      </c>
      <c r="M596" s="923" t="s">
        <v>153</v>
      </c>
      <c r="N596" s="1248">
        <v>42254</v>
      </c>
      <c r="O596" s="927" t="s">
        <v>258</v>
      </c>
      <c r="P596" s="928"/>
    </row>
    <row r="597" spans="2:16" hidden="1" outlineLevel="1">
      <c r="B597" s="889">
        <v>2</v>
      </c>
      <c r="C597" s="3464"/>
      <c r="D597" s="1264">
        <v>2</v>
      </c>
      <c r="E597" s="1286" t="s">
        <v>267</v>
      </c>
      <c r="F597" s="1266" t="s">
        <v>723</v>
      </c>
      <c r="G597" s="2522" t="s">
        <v>268</v>
      </c>
      <c r="H597" s="1267">
        <v>520915</v>
      </c>
      <c r="I597" s="1268" t="s">
        <v>179</v>
      </c>
      <c r="J597" s="1268" t="s">
        <v>129</v>
      </c>
      <c r="K597" s="1269" t="s">
        <v>271</v>
      </c>
      <c r="L597" s="1270">
        <v>42250</v>
      </c>
      <c r="M597" s="1269" t="s">
        <v>153</v>
      </c>
      <c r="N597" s="1272">
        <v>42254</v>
      </c>
      <c r="O597" s="1273" t="s">
        <v>258</v>
      </c>
      <c r="P597" s="928"/>
    </row>
    <row r="598" spans="2:16" hidden="1" outlineLevel="1">
      <c r="B598" s="889">
        <v>3</v>
      </c>
      <c r="C598" s="3464"/>
      <c r="D598" s="1078">
        <v>3</v>
      </c>
      <c r="E598" s="1287" t="s">
        <v>267</v>
      </c>
      <c r="F598" s="940" t="s">
        <v>723</v>
      </c>
      <c r="G598" s="1381" t="s">
        <v>259</v>
      </c>
      <c r="H598" s="894">
        <v>530915</v>
      </c>
      <c r="I598" s="922" t="s">
        <v>183</v>
      </c>
      <c r="J598" s="922" t="s">
        <v>129</v>
      </c>
      <c r="K598" s="943" t="s">
        <v>271</v>
      </c>
      <c r="L598" s="944">
        <v>42250</v>
      </c>
      <c r="M598" s="943" t="s">
        <v>153</v>
      </c>
      <c r="N598" s="1274">
        <v>42254</v>
      </c>
      <c r="O598" s="947" t="s">
        <v>258</v>
      </c>
    </row>
    <row r="599" spans="2:16" hidden="1" outlineLevel="1">
      <c r="B599" s="889">
        <v>4</v>
      </c>
      <c r="C599" s="3464"/>
      <c r="D599" s="1037">
        <v>4</v>
      </c>
      <c r="E599" s="1287" t="s">
        <v>267</v>
      </c>
      <c r="F599" s="940" t="s">
        <v>723</v>
      </c>
      <c r="G599" s="2508" t="s">
        <v>259</v>
      </c>
      <c r="H599" s="894">
        <v>540915</v>
      </c>
      <c r="I599" s="922" t="s">
        <v>183</v>
      </c>
      <c r="J599" s="922" t="s">
        <v>129</v>
      </c>
      <c r="K599" s="943" t="s">
        <v>271</v>
      </c>
      <c r="L599" s="936">
        <v>42250</v>
      </c>
      <c r="M599" s="943" t="s">
        <v>153</v>
      </c>
      <c r="N599" s="1275">
        <v>42254</v>
      </c>
      <c r="O599" s="938" t="s">
        <v>258</v>
      </c>
    </row>
    <row r="600" spans="2:16" hidden="1" outlineLevel="1">
      <c r="B600" s="889">
        <v>5</v>
      </c>
      <c r="C600" s="3464"/>
      <c r="D600" s="1276">
        <v>5</v>
      </c>
      <c r="E600" s="1288" t="s">
        <v>267</v>
      </c>
      <c r="F600" s="950" t="s">
        <v>723</v>
      </c>
      <c r="G600" s="1382" t="s">
        <v>259</v>
      </c>
      <c r="H600" s="894">
        <v>550915</v>
      </c>
      <c r="I600" s="922" t="s">
        <v>183</v>
      </c>
      <c r="J600" s="952" t="s">
        <v>129</v>
      </c>
      <c r="K600" s="953" t="s">
        <v>271</v>
      </c>
      <c r="L600" s="954">
        <v>42250</v>
      </c>
      <c r="M600" s="953" t="s">
        <v>153</v>
      </c>
      <c r="N600" s="1277">
        <v>42254</v>
      </c>
      <c r="O600" s="957" t="s">
        <v>258</v>
      </c>
    </row>
    <row r="601" spans="2:16" hidden="1" outlineLevel="1">
      <c r="B601" s="889">
        <v>6</v>
      </c>
      <c r="C601" s="3465"/>
      <c r="D601" s="1037">
        <v>6</v>
      </c>
      <c r="E601" s="1289" t="s">
        <v>267</v>
      </c>
      <c r="F601" s="959" t="s">
        <v>723</v>
      </c>
      <c r="G601" s="2508" t="s">
        <v>259</v>
      </c>
      <c r="H601" s="894">
        <v>560915</v>
      </c>
      <c r="I601" s="922" t="s">
        <v>183</v>
      </c>
      <c r="J601" s="934" t="s">
        <v>129</v>
      </c>
      <c r="K601" s="935" t="s">
        <v>271</v>
      </c>
      <c r="L601" s="936">
        <v>42250</v>
      </c>
      <c r="M601" s="935" t="s">
        <v>153</v>
      </c>
      <c r="N601" s="1275">
        <v>42254</v>
      </c>
      <c r="O601" s="938" t="s">
        <v>258</v>
      </c>
    </row>
    <row r="602" spans="2:16" hidden="1" outlineLevel="1">
      <c r="B602" s="889">
        <v>7</v>
      </c>
      <c r="C602" s="3465"/>
      <c r="D602" s="1278">
        <v>7</v>
      </c>
      <c r="E602" s="1290" t="s">
        <v>267</v>
      </c>
      <c r="F602" s="950" t="s">
        <v>723</v>
      </c>
      <c r="G602" s="2509" t="s">
        <v>259</v>
      </c>
      <c r="H602" s="894">
        <v>570915</v>
      </c>
      <c r="I602" s="922" t="s">
        <v>183</v>
      </c>
      <c r="J602" s="895" t="s">
        <v>129</v>
      </c>
      <c r="K602" s="896" t="s">
        <v>271</v>
      </c>
      <c r="L602" s="897">
        <v>42250</v>
      </c>
      <c r="M602" s="896" t="s">
        <v>153</v>
      </c>
      <c r="N602" s="1279">
        <v>42254</v>
      </c>
      <c r="O602" s="899" t="s">
        <v>258</v>
      </c>
    </row>
    <row r="603" spans="2:16" hidden="1" outlineLevel="1">
      <c r="B603" s="889">
        <v>8</v>
      </c>
      <c r="C603" s="3465"/>
      <c r="D603" s="1278">
        <v>8</v>
      </c>
      <c r="E603" s="1290" t="s">
        <v>267</v>
      </c>
      <c r="F603" s="892" t="s">
        <v>723</v>
      </c>
      <c r="G603" s="2509" t="s">
        <v>259</v>
      </c>
      <c r="H603" s="894">
        <v>580915</v>
      </c>
      <c r="I603" s="922" t="s">
        <v>183</v>
      </c>
      <c r="J603" s="895" t="s">
        <v>129</v>
      </c>
      <c r="K603" s="896" t="s">
        <v>271</v>
      </c>
      <c r="L603" s="897">
        <v>42250</v>
      </c>
      <c r="M603" s="896" t="s">
        <v>153</v>
      </c>
      <c r="N603" s="1279">
        <v>42254</v>
      </c>
      <c r="O603" s="899" t="s">
        <v>258</v>
      </c>
    </row>
    <row r="604" spans="2:16" hidden="1" outlineLevel="1">
      <c r="B604" s="889">
        <v>9</v>
      </c>
      <c r="C604" s="3465"/>
      <c r="D604" s="1278">
        <v>9</v>
      </c>
      <c r="E604" s="1290" t="s">
        <v>267</v>
      </c>
      <c r="F604" s="892" t="s">
        <v>723</v>
      </c>
      <c r="G604" s="2509" t="s">
        <v>259</v>
      </c>
      <c r="H604" s="894">
        <v>590915</v>
      </c>
      <c r="I604" s="922" t="s">
        <v>183</v>
      </c>
      <c r="J604" s="895" t="s">
        <v>129</v>
      </c>
      <c r="K604" s="896" t="s">
        <v>271</v>
      </c>
      <c r="L604" s="897">
        <v>42250</v>
      </c>
      <c r="M604" s="896" t="s">
        <v>153</v>
      </c>
      <c r="N604" s="1279">
        <v>42254</v>
      </c>
      <c r="O604" s="899" t="s">
        <v>258</v>
      </c>
    </row>
    <row r="605" spans="2:16" ht="15.75" hidden="1" outlineLevel="1" thickBot="1">
      <c r="B605" s="900">
        <v>10</v>
      </c>
      <c r="C605" s="3466"/>
      <c r="D605" s="1280">
        <v>10</v>
      </c>
      <c r="E605" s="1291" t="s">
        <v>267</v>
      </c>
      <c r="F605" s="904" t="s">
        <v>723</v>
      </c>
      <c r="G605" s="2516" t="s">
        <v>259</v>
      </c>
      <c r="H605" s="906">
        <v>600915</v>
      </c>
      <c r="I605" s="1295" t="s">
        <v>183</v>
      </c>
      <c r="J605" s="908" t="s">
        <v>129</v>
      </c>
      <c r="K605" s="909" t="s">
        <v>271</v>
      </c>
      <c r="L605" s="910">
        <v>42250</v>
      </c>
      <c r="M605" s="909" t="s">
        <v>153</v>
      </c>
      <c r="N605" s="1281">
        <v>42254</v>
      </c>
      <c r="O605" s="913" t="s">
        <v>258</v>
      </c>
    </row>
    <row r="606" spans="2:16" ht="8.1" customHeight="1" collapsed="1" thickBot="1">
      <c r="D606" s="914"/>
      <c r="J606" s="1282"/>
    </row>
    <row r="607" spans="2:16" ht="15.2" hidden="1" customHeight="1" outlineLevel="1">
      <c r="B607" s="1283">
        <v>1</v>
      </c>
      <c r="C607" s="3463" t="s">
        <v>272</v>
      </c>
      <c r="D607" s="1024">
        <v>1</v>
      </c>
      <c r="E607" s="1285" t="s">
        <v>267</v>
      </c>
      <c r="F607" s="918" t="s">
        <v>723</v>
      </c>
      <c r="G607" s="1384" t="s">
        <v>268</v>
      </c>
      <c r="H607" s="920">
        <v>611015</v>
      </c>
      <c r="I607" s="1292" t="s">
        <v>179</v>
      </c>
      <c r="J607" s="922" t="s">
        <v>129</v>
      </c>
      <c r="K607" s="923" t="s">
        <v>273</v>
      </c>
      <c r="L607" s="924">
        <v>42284</v>
      </c>
      <c r="M607" s="923" t="s">
        <v>154</v>
      </c>
      <c r="N607" s="1248">
        <v>42291</v>
      </c>
      <c r="O607" s="927" t="s">
        <v>258</v>
      </c>
      <c r="P607" s="928"/>
    </row>
    <row r="608" spans="2:16" hidden="1" outlineLevel="1">
      <c r="B608" s="889">
        <v>2</v>
      </c>
      <c r="C608" s="3464"/>
      <c r="D608" s="1264">
        <v>2</v>
      </c>
      <c r="E608" s="1286" t="s">
        <v>267</v>
      </c>
      <c r="F608" s="1266" t="s">
        <v>723</v>
      </c>
      <c r="G608" s="2522" t="s">
        <v>268</v>
      </c>
      <c r="H608" s="1267">
        <v>621015</v>
      </c>
      <c r="I608" s="1268" t="s">
        <v>179</v>
      </c>
      <c r="J608" s="1268" t="s">
        <v>129</v>
      </c>
      <c r="K608" s="1269" t="s">
        <v>273</v>
      </c>
      <c r="L608" s="1270">
        <v>42284</v>
      </c>
      <c r="M608" s="1269" t="s">
        <v>154</v>
      </c>
      <c r="N608" s="1272">
        <v>42291</v>
      </c>
      <c r="O608" s="1273" t="s">
        <v>258</v>
      </c>
      <c r="P608" s="928"/>
    </row>
    <row r="609" spans="2:16" hidden="1" outlineLevel="1">
      <c r="B609" s="889">
        <v>3</v>
      </c>
      <c r="C609" s="3464"/>
      <c r="D609" s="1078">
        <v>3</v>
      </c>
      <c r="E609" s="1287" t="s">
        <v>267</v>
      </c>
      <c r="F609" s="940" t="s">
        <v>723</v>
      </c>
      <c r="G609" s="1381" t="s">
        <v>259</v>
      </c>
      <c r="H609" s="894">
        <v>631015</v>
      </c>
      <c r="I609" s="922" t="s">
        <v>183</v>
      </c>
      <c r="J609" s="922" t="s">
        <v>129</v>
      </c>
      <c r="K609" s="943" t="s">
        <v>273</v>
      </c>
      <c r="L609" s="944">
        <v>42284</v>
      </c>
      <c r="M609" s="943" t="s">
        <v>154</v>
      </c>
      <c r="N609" s="1274">
        <v>42291</v>
      </c>
      <c r="O609" s="947" t="s">
        <v>258</v>
      </c>
    </row>
    <row r="610" spans="2:16" hidden="1" outlineLevel="1">
      <c r="B610" s="889">
        <v>4</v>
      </c>
      <c r="C610" s="3464"/>
      <c r="D610" s="1037">
        <v>4</v>
      </c>
      <c r="E610" s="1287" t="s">
        <v>267</v>
      </c>
      <c r="F610" s="940" t="s">
        <v>723</v>
      </c>
      <c r="G610" s="2508" t="s">
        <v>259</v>
      </c>
      <c r="H610" s="894">
        <v>641015</v>
      </c>
      <c r="I610" s="922" t="s">
        <v>183</v>
      </c>
      <c r="J610" s="922" t="s">
        <v>129</v>
      </c>
      <c r="K610" s="943" t="s">
        <v>273</v>
      </c>
      <c r="L610" s="936">
        <v>42284</v>
      </c>
      <c r="M610" s="943" t="s">
        <v>154</v>
      </c>
      <c r="N610" s="1275">
        <v>42291</v>
      </c>
      <c r="O610" s="938" t="s">
        <v>258</v>
      </c>
    </row>
    <row r="611" spans="2:16" hidden="1" outlineLevel="1">
      <c r="B611" s="889">
        <v>5</v>
      </c>
      <c r="C611" s="3464"/>
      <c r="D611" s="1276">
        <v>5</v>
      </c>
      <c r="E611" s="1288" t="s">
        <v>267</v>
      </c>
      <c r="F611" s="950" t="s">
        <v>723</v>
      </c>
      <c r="G611" s="1382" t="s">
        <v>259</v>
      </c>
      <c r="H611" s="894">
        <v>651015</v>
      </c>
      <c r="I611" s="922" t="s">
        <v>183</v>
      </c>
      <c r="J611" s="952" t="s">
        <v>129</v>
      </c>
      <c r="K611" s="953" t="s">
        <v>273</v>
      </c>
      <c r="L611" s="954">
        <v>42284</v>
      </c>
      <c r="M611" s="953" t="s">
        <v>154</v>
      </c>
      <c r="N611" s="1277">
        <v>42291</v>
      </c>
      <c r="O611" s="957" t="s">
        <v>258</v>
      </c>
    </row>
    <row r="612" spans="2:16" hidden="1" outlineLevel="1">
      <c r="B612" s="889">
        <v>6</v>
      </c>
      <c r="C612" s="3465"/>
      <c r="D612" s="1037">
        <v>6</v>
      </c>
      <c r="E612" s="1289" t="s">
        <v>267</v>
      </c>
      <c r="F612" s="959" t="s">
        <v>723</v>
      </c>
      <c r="G612" s="2508" t="s">
        <v>259</v>
      </c>
      <c r="H612" s="894">
        <v>661015</v>
      </c>
      <c r="I612" s="922" t="s">
        <v>183</v>
      </c>
      <c r="J612" s="934" t="s">
        <v>129</v>
      </c>
      <c r="K612" s="935" t="s">
        <v>273</v>
      </c>
      <c r="L612" s="936">
        <v>42284</v>
      </c>
      <c r="M612" s="935" t="s">
        <v>154</v>
      </c>
      <c r="N612" s="1275">
        <v>42291</v>
      </c>
      <c r="O612" s="938" t="s">
        <v>258</v>
      </c>
    </row>
    <row r="613" spans="2:16" hidden="1" outlineLevel="1">
      <c r="B613" s="889">
        <v>7</v>
      </c>
      <c r="C613" s="3465"/>
      <c r="D613" s="1278">
        <v>7</v>
      </c>
      <c r="E613" s="1290" t="s">
        <v>267</v>
      </c>
      <c r="F613" s="950" t="s">
        <v>723</v>
      </c>
      <c r="G613" s="2509" t="s">
        <v>259</v>
      </c>
      <c r="H613" s="894">
        <v>671015</v>
      </c>
      <c r="I613" s="922" t="s">
        <v>183</v>
      </c>
      <c r="J613" s="895" t="s">
        <v>129</v>
      </c>
      <c r="K613" s="896" t="s">
        <v>273</v>
      </c>
      <c r="L613" s="897">
        <v>42284</v>
      </c>
      <c r="M613" s="896" t="s">
        <v>154</v>
      </c>
      <c r="N613" s="1279">
        <v>42291</v>
      </c>
      <c r="O613" s="899" t="s">
        <v>258</v>
      </c>
    </row>
    <row r="614" spans="2:16" hidden="1" outlineLevel="1">
      <c r="B614" s="889">
        <v>8</v>
      </c>
      <c r="C614" s="3465"/>
      <c r="D614" s="1278">
        <v>8</v>
      </c>
      <c r="E614" s="1290" t="s">
        <v>267</v>
      </c>
      <c r="F614" s="892" t="s">
        <v>723</v>
      </c>
      <c r="G614" s="2509" t="s">
        <v>259</v>
      </c>
      <c r="H614" s="894">
        <v>681015</v>
      </c>
      <c r="I614" s="922" t="s">
        <v>183</v>
      </c>
      <c r="J614" s="895" t="s">
        <v>129</v>
      </c>
      <c r="K614" s="896" t="s">
        <v>273</v>
      </c>
      <c r="L614" s="897">
        <v>42284</v>
      </c>
      <c r="M614" s="896" t="s">
        <v>154</v>
      </c>
      <c r="N614" s="1279">
        <v>42291</v>
      </c>
      <c r="O614" s="899" t="s">
        <v>258</v>
      </c>
    </row>
    <row r="615" spans="2:16" hidden="1" outlineLevel="1">
      <c r="B615" s="889">
        <v>9</v>
      </c>
      <c r="C615" s="3465"/>
      <c r="D615" s="1278">
        <v>9</v>
      </c>
      <c r="E615" s="1290" t="s">
        <v>267</v>
      </c>
      <c r="F615" s="892" t="s">
        <v>723</v>
      </c>
      <c r="G615" s="2509" t="s">
        <v>259</v>
      </c>
      <c r="H615" s="894">
        <v>691015</v>
      </c>
      <c r="I615" s="922" t="s">
        <v>183</v>
      </c>
      <c r="J615" s="895" t="s">
        <v>129</v>
      </c>
      <c r="K615" s="896" t="s">
        <v>273</v>
      </c>
      <c r="L615" s="897">
        <v>42284</v>
      </c>
      <c r="M615" s="896" t="s">
        <v>154</v>
      </c>
      <c r="N615" s="1279">
        <v>42291</v>
      </c>
      <c r="O615" s="899" t="s">
        <v>258</v>
      </c>
    </row>
    <row r="616" spans="2:16" ht="15.75" hidden="1" outlineLevel="1" thickBot="1">
      <c r="B616" s="900">
        <v>10</v>
      </c>
      <c r="C616" s="3466"/>
      <c r="D616" s="1280">
        <v>10</v>
      </c>
      <c r="E616" s="1291" t="s">
        <v>267</v>
      </c>
      <c r="F616" s="904" t="s">
        <v>723</v>
      </c>
      <c r="G616" s="2516" t="s">
        <v>259</v>
      </c>
      <c r="H616" s="906">
        <v>701015</v>
      </c>
      <c r="I616" s="1295" t="s">
        <v>183</v>
      </c>
      <c r="J616" s="908" t="s">
        <v>129</v>
      </c>
      <c r="K616" s="909" t="s">
        <v>273</v>
      </c>
      <c r="L616" s="910">
        <v>42284</v>
      </c>
      <c r="M616" s="909" t="s">
        <v>154</v>
      </c>
      <c r="N616" s="1281">
        <v>42291</v>
      </c>
      <c r="O616" s="913" t="s">
        <v>258</v>
      </c>
    </row>
    <row r="617" spans="2:16" ht="9.9499999999999993" customHeight="1" collapsed="1" thickBot="1">
      <c r="J617" s="1282"/>
    </row>
    <row r="618" spans="2:16" ht="15.2" hidden="1" customHeight="1" outlineLevel="1">
      <c r="B618" s="1283">
        <v>1</v>
      </c>
      <c r="C618" s="3463" t="s">
        <v>274</v>
      </c>
      <c r="D618" s="1024">
        <v>1</v>
      </c>
      <c r="E618" s="1285" t="s">
        <v>267</v>
      </c>
      <c r="F618" s="918" t="s">
        <v>723</v>
      </c>
      <c r="G618" s="1384" t="s">
        <v>268</v>
      </c>
      <c r="H618" s="920">
        <v>711115</v>
      </c>
      <c r="I618" s="1292" t="s">
        <v>179</v>
      </c>
      <c r="J618" s="922" t="s">
        <v>129</v>
      </c>
      <c r="K618" s="923" t="s">
        <v>275</v>
      </c>
      <c r="L618" s="924">
        <v>42310</v>
      </c>
      <c r="M618" s="923" t="s">
        <v>155</v>
      </c>
      <c r="N618" s="1248">
        <v>42311</v>
      </c>
      <c r="O618" s="927" t="s">
        <v>258</v>
      </c>
      <c r="P618" s="928"/>
    </row>
    <row r="619" spans="2:16" hidden="1" outlineLevel="1">
      <c r="B619" s="889">
        <v>2</v>
      </c>
      <c r="C619" s="3464"/>
      <c r="D619" s="1264">
        <v>2</v>
      </c>
      <c r="E619" s="1286" t="s">
        <v>267</v>
      </c>
      <c r="F619" s="1266" t="s">
        <v>723</v>
      </c>
      <c r="G619" s="2522" t="s">
        <v>268</v>
      </c>
      <c r="H619" s="1267">
        <v>721115</v>
      </c>
      <c r="I619" s="1268" t="s">
        <v>179</v>
      </c>
      <c r="J619" s="1268" t="s">
        <v>129</v>
      </c>
      <c r="K619" s="1269" t="s">
        <v>275</v>
      </c>
      <c r="L619" s="1270">
        <v>42310</v>
      </c>
      <c r="M619" s="1269" t="s">
        <v>155</v>
      </c>
      <c r="N619" s="1272">
        <v>42311</v>
      </c>
      <c r="O619" s="1273" t="s">
        <v>258</v>
      </c>
      <c r="P619" s="928"/>
    </row>
    <row r="620" spans="2:16" hidden="1" outlineLevel="1">
      <c r="B620" s="889">
        <v>3</v>
      </c>
      <c r="C620" s="3464"/>
      <c r="D620" s="1078">
        <v>3</v>
      </c>
      <c r="E620" s="1287" t="s">
        <v>267</v>
      </c>
      <c r="F620" s="940" t="s">
        <v>723</v>
      </c>
      <c r="G620" s="1381" t="s">
        <v>259</v>
      </c>
      <c r="H620" s="894">
        <v>731115</v>
      </c>
      <c r="I620" s="922" t="s">
        <v>183</v>
      </c>
      <c r="J620" s="922" t="s">
        <v>129</v>
      </c>
      <c r="K620" s="943" t="s">
        <v>275</v>
      </c>
      <c r="L620" s="944">
        <v>42310</v>
      </c>
      <c r="M620" s="943" t="s">
        <v>155</v>
      </c>
      <c r="N620" s="1274">
        <v>42312</v>
      </c>
      <c r="O620" s="947" t="s">
        <v>258</v>
      </c>
    </row>
    <row r="621" spans="2:16" hidden="1" outlineLevel="1">
      <c r="B621" s="889">
        <v>4</v>
      </c>
      <c r="C621" s="3464"/>
      <c r="D621" s="1037">
        <v>4</v>
      </c>
      <c r="E621" s="1287" t="s">
        <v>267</v>
      </c>
      <c r="F621" s="940" t="s">
        <v>723</v>
      </c>
      <c r="G621" s="2508" t="s">
        <v>259</v>
      </c>
      <c r="H621" s="894">
        <v>741115</v>
      </c>
      <c r="I621" s="922" t="s">
        <v>183</v>
      </c>
      <c r="J621" s="922" t="s">
        <v>129</v>
      </c>
      <c r="K621" s="943" t="s">
        <v>275</v>
      </c>
      <c r="L621" s="936">
        <v>42310</v>
      </c>
      <c r="M621" s="943" t="s">
        <v>155</v>
      </c>
      <c r="N621" s="1275">
        <v>42312</v>
      </c>
      <c r="O621" s="938" t="s">
        <v>258</v>
      </c>
    </row>
    <row r="622" spans="2:16" hidden="1" outlineLevel="1">
      <c r="B622" s="889">
        <v>5</v>
      </c>
      <c r="C622" s="3464"/>
      <c r="D622" s="1276">
        <v>5</v>
      </c>
      <c r="E622" s="1288" t="s">
        <v>267</v>
      </c>
      <c r="F622" s="950" t="s">
        <v>723</v>
      </c>
      <c r="G622" s="1382" t="s">
        <v>259</v>
      </c>
      <c r="H622" s="894">
        <v>751115</v>
      </c>
      <c r="I622" s="922" t="s">
        <v>183</v>
      </c>
      <c r="J622" s="952" t="s">
        <v>129</v>
      </c>
      <c r="K622" s="953" t="s">
        <v>275</v>
      </c>
      <c r="L622" s="954">
        <v>42310</v>
      </c>
      <c r="M622" s="953" t="s">
        <v>155</v>
      </c>
      <c r="N622" s="1277">
        <v>42312</v>
      </c>
      <c r="O622" s="957" t="s">
        <v>258</v>
      </c>
    </row>
    <row r="623" spans="2:16" hidden="1" outlineLevel="1">
      <c r="B623" s="889">
        <v>6</v>
      </c>
      <c r="C623" s="3465"/>
      <c r="D623" s="1037">
        <v>6</v>
      </c>
      <c r="E623" s="1289" t="s">
        <v>267</v>
      </c>
      <c r="F623" s="959" t="s">
        <v>723</v>
      </c>
      <c r="G623" s="2508" t="s">
        <v>259</v>
      </c>
      <c r="H623" s="894">
        <v>761115</v>
      </c>
      <c r="I623" s="922" t="s">
        <v>183</v>
      </c>
      <c r="J623" s="934" t="s">
        <v>129</v>
      </c>
      <c r="K623" s="935" t="s">
        <v>275</v>
      </c>
      <c r="L623" s="936">
        <v>42310</v>
      </c>
      <c r="M623" s="935" t="s">
        <v>155</v>
      </c>
      <c r="N623" s="1275">
        <v>42312</v>
      </c>
      <c r="O623" s="938" t="s">
        <v>258</v>
      </c>
    </row>
    <row r="624" spans="2:16" hidden="1" outlineLevel="1">
      <c r="B624" s="889">
        <v>7</v>
      </c>
      <c r="C624" s="3465"/>
      <c r="D624" s="1278">
        <v>7</v>
      </c>
      <c r="E624" s="1290" t="s">
        <v>267</v>
      </c>
      <c r="F624" s="950" t="s">
        <v>723</v>
      </c>
      <c r="G624" s="2509" t="s">
        <v>259</v>
      </c>
      <c r="H624" s="894">
        <v>771115</v>
      </c>
      <c r="I624" s="922" t="s">
        <v>183</v>
      </c>
      <c r="J624" s="895" t="s">
        <v>129</v>
      </c>
      <c r="K624" s="896" t="s">
        <v>275</v>
      </c>
      <c r="L624" s="897">
        <v>42310</v>
      </c>
      <c r="M624" s="896" t="s">
        <v>155</v>
      </c>
      <c r="N624" s="1279">
        <v>42312</v>
      </c>
      <c r="O624" s="899" t="s">
        <v>258</v>
      </c>
    </row>
    <row r="625" spans="2:16" hidden="1" outlineLevel="1">
      <c r="B625" s="889">
        <v>8</v>
      </c>
      <c r="C625" s="3465"/>
      <c r="D625" s="1278">
        <v>8</v>
      </c>
      <c r="E625" s="1290" t="s">
        <v>267</v>
      </c>
      <c r="F625" s="892" t="s">
        <v>723</v>
      </c>
      <c r="G625" s="2509" t="s">
        <v>259</v>
      </c>
      <c r="H625" s="894">
        <v>781115</v>
      </c>
      <c r="I625" s="922" t="s">
        <v>183</v>
      </c>
      <c r="J625" s="895" t="s">
        <v>129</v>
      </c>
      <c r="K625" s="896" t="s">
        <v>275</v>
      </c>
      <c r="L625" s="897">
        <v>42310</v>
      </c>
      <c r="M625" s="896" t="s">
        <v>155</v>
      </c>
      <c r="N625" s="1279">
        <v>42312</v>
      </c>
      <c r="O625" s="899" t="s">
        <v>258</v>
      </c>
    </row>
    <row r="626" spans="2:16" hidden="1" outlineLevel="1">
      <c r="B626" s="889">
        <v>9</v>
      </c>
      <c r="C626" s="3465"/>
      <c r="D626" s="1278">
        <v>9</v>
      </c>
      <c r="E626" s="1290" t="s">
        <v>267</v>
      </c>
      <c r="F626" s="892" t="s">
        <v>723</v>
      </c>
      <c r="G626" s="2509" t="s">
        <v>259</v>
      </c>
      <c r="H626" s="894">
        <v>791115</v>
      </c>
      <c r="I626" s="922" t="s">
        <v>183</v>
      </c>
      <c r="J626" s="895" t="s">
        <v>129</v>
      </c>
      <c r="K626" s="896" t="s">
        <v>275</v>
      </c>
      <c r="L626" s="897">
        <v>42310</v>
      </c>
      <c r="M626" s="896" t="s">
        <v>155</v>
      </c>
      <c r="N626" s="1279">
        <v>42312</v>
      </c>
      <c r="O626" s="899" t="s">
        <v>258</v>
      </c>
    </row>
    <row r="627" spans="2:16" ht="15.75" hidden="1" outlineLevel="1" thickBot="1">
      <c r="B627" s="900">
        <v>10</v>
      </c>
      <c r="C627" s="3466"/>
      <c r="D627" s="1280">
        <v>10</v>
      </c>
      <c r="E627" s="1291" t="s">
        <v>267</v>
      </c>
      <c r="F627" s="904" t="s">
        <v>723</v>
      </c>
      <c r="G627" s="2516" t="s">
        <v>259</v>
      </c>
      <c r="H627" s="906">
        <v>801115</v>
      </c>
      <c r="I627" s="1295" t="s">
        <v>183</v>
      </c>
      <c r="J627" s="908" t="s">
        <v>129</v>
      </c>
      <c r="K627" s="909" t="s">
        <v>275</v>
      </c>
      <c r="L627" s="910">
        <v>42310</v>
      </c>
      <c r="M627" s="909" t="s">
        <v>155</v>
      </c>
      <c r="N627" s="1281">
        <v>42312</v>
      </c>
      <c r="O627" s="913" t="s">
        <v>258</v>
      </c>
    </row>
    <row r="628" spans="2:16" ht="9.9499999999999993" customHeight="1" collapsed="1" thickBot="1">
      <c r="J628" s="1282"/>
    </row>
    <row r="629" spans="2:16" ht="15.2" hidden="1" customHeight="1" outlineLevel="1">
      <c r="B629" s="1242">
        <v>1</v>
      </c>
      <c r="C629" s="3463" t="s">
        <v>276</v>
      </c>
      <c r="D629" s="1024">
        <v>1</v>
      </c>
      <c r="E629" s="1285" t="s">
        <v>267</v>
      </c>
      <c r="F629" s="918" t="s">
        <v>723</v>
      </c>
      <c r="G629" s="1384" t="s">
        <v>268</v>
      </c>
      <c r="H629" s="920">
        <v>811215</v>
      </c>
      <c r="I629" s="1292" t="s">
        <v>179</v>
      </c>
      <c r="J629" s="1292" t="s">
        <v>129</v>
      </c>
      <c r="K629" s="923" t="s">
        <v>354</v>
      </c>
      <c r="L629" s="924">
        <v>42341</v>
      </c>
      <c r="M629" s="923" t="s">
        <v>156</v>
      </c>
      <c r="N629" s="1248">
        <v>42343</v>
      </c>
      <c r="O629" s="927" t="s">
        <v>258</v>
      </c>
      <c r="P629" s="928"/>
    </row>
    <row r="630" spans="2:16" hidden="1" outlineLevel="1">
      <c r="B630" s="1134">
        <v>2</v>
      </c>
      <c r="C630" s="3462"/>
      <c r="D630" s="1264">
        <v>2</v>
      </c>
      <c r="E630" s="1286" t="s">
        <v>267</v>
      </c>
      <c r="F630" s="1266" t="s">
        <v>723</v>
      </c>
      <c r="G630" s="2522" t="s">
        <v>268</v>
      </c>
      <c r="H630" s="1267">
        <v>821215</v>
      </c>
      <c r="I630" s="1268" t="s">
        <v>179</v>
      </c>
      <c r="J630" s="1268" t="s">
        <v>129</v>
      </c>
      <c r="K630" s="1269" t="s">
        <v>354</v>
      </c>
      <c r="L630" s="1270">
        <v>42341</v>
      </c>
      <c r="M630" s="1269" t="s">
        <v>156</v>
      </c>
      <c r="N630" s="1272">
        <v>42343</v>
      </c>
      <c r="O630" s="1273" t="s">
        <v>258</v>
      </c>
      <c r="P630" s="928"/>
    </row>
    <row r="631" spans="2:16" hidden="1" outlineLevel="1">
      <c r="B631" s="1134">
        <v>3</v>
      </c>
      <c r="C631" s="3462"/>
      <c r="D631" s="1078">
        <v>3</v>
      </c>
      <c r="E631" s="1287" t="s">
        <v>267</v>
      </c>
      <c r="F631" s="940" t="s">
        <v>723</v>
      </c>
      <c r="G631" s="1381" t="s">
        <v>259</v>
      </c>
      <c r="H631" s="894">
        <v>831215</v>
      </c>
      <c r="I631" s="922" t="s">
        <v>183</v>
      </c>
      <c r="J631" s="922" t="s">
        <v>129</v>
      </c>
      <c r="K631" s="943" t="s">
        <v>354</v>
      </c>
      <c r="L631" s="944">
        <v>42341</v>
      </c>
      <c r="M631" s="943" t="s">
        <v>156</v>
      </c>
      <c r="N631" s="1274">
        <v>42343</v>
      </c>
      <c r="O631" s="947" t="s">
        <v>258</v>
      </c>
    </row>
    <row r="632" spans="2:16" hidden="1" outlineLevel="1">
      <c r="B632" s="1134">
        <v>4</v>
      </c>
      <c r="C632" s="3462"/>
      <c r="D632" s="1037">
        <v>4</v>
      </c>
      <c r="E632" s="1287" t="s">
        <v>267</v>
      </c>
      <c r="F632" s="940" t="s">
        <v>723</v>
      </c>
      <c r="G632" s="2508" t="s">
        <v>259</v>
      </c>
      <c r="H632" s="894">
        <v>841215</v>
      </c>
      <c r="I632" s="922" t="s">
        <v>183</v>
      </c>
      <c r="J632" s="922" t="s">
        <v>129</v>
      </c>
      <c r="K632" s="943" t="s">
        <v>354</v>
      </c>
      <c r="L632" s="936">
        <v>42341</v>
      </c>
      <c r="M632" s="943" t="s">
        <v>156</v>
      </c>
      <c r="N632" s="1275">
        <v>42343</v>
      </c>
      <c r="O632" s="938" t="s">
        <v>258</v>
      </c>
    </row>
    <row r="633" spans="2:16" hidden="1" outlineLevel="1">
      <c r="B633" s="1134">
        <v>5</v>
      </c>
      <c r="C633" s="3462"/>
      <c r="D633" s="1276">
        <v>5</v>
      </c>
      <c r="E633" s="1288" t="s">
        <v>267</v>
      </c>
      <c r="F633" s="950" t="s">
        <v>723</v>
      </c>
      <c r="G633" s="1382" t="s">
        <v>259</v>
      </c>
      <c r="H633" s="894">
        <v>851215</v>
      </c>
      <c r="I633" s="922" t="s">
        <v>183</v>
      </c>
      <c r="J633" s="952" t="s">
        <v>129</v>
      </c>
      <c r="K633" s="953" t="s">
        <v>354</v>
      </c>
      <c r="L633" s="954">
        <v>42341</v>
      </c>
      <c r="M633" s="953" t="s">
        <v>156</v>
      </c>
      <c r="N633" s="1277">
        <v>42343</v>
      </c>
      <c r="O633" s="957" t="s">
        <v>258</v>
      </c>
    </row>
    <row r="634" spans="2:16" hidden="1" outlineLevel="1">
      <c r="B634" s="1134">
        <v>6</v>
      </c>
      <c r="C634" s="3462"/>
      <c r="D634" s="1037">
        <v>6</v>
      </c>
      <c r="E634" s="1289" t="s">
        <v>267</v>
      </c>
      <c r="F634" s="959" t="s">
        <v>723</v>
      </c>
      <c r="G634" s="2508" t="s">
        <v>259</v>
      </c>
      <c r="H634" s="894">
        <v>861215</v>
      </c>
      <c r="I634" s="922" t="s">
        <v>183</v>
      </c>
      <c r="J634" s="934" t="s">
        <v>129</v>
      </c>
      <c r="K634" s="935" t="s">
        <v>354</v>
      </c>
      <c r="L634" s="936">
        <v>42341</v>
      </c>
      <c r="M634" s="935" t="s">
        <v>156</v>
      </c>
      <c r="N634" s="1275">
        <v>42343</v>
      </c>
      <c r="O634" s="938" t="s">
        <v>258</v>
      </c>
    </row>
    <row r="635" spans="2:16" hidden="1" outlineLevel="1">
      <c r="B635" s="1134">
        <v>7</v>
      </c>
      <c r="C635" s="3462"/>
      <c r="D635" s="1278">
        <v>7</v>
      </c>
      <c r="E635" s="1290" t="s">
        <v>267</v>
      </c>
      <c r="F635" s="950" t="s">
        <v>723</v>
      </c>
      <c r="G635" s="2509" t="s">
        <v>259</v>
      </c>
      <c r="H635" s="894">
        <v>871215</v>
      </c>
      <c r="I635" s="922" t="s">
        <v>183</v>
      </c>
      <c r="J635" s="895" t="s">
        <v>129</v>
      </c>
      <c r="K635" s="896" t="s">
        <v>354</v>
      </c>
      <c r="L635" s="897">
        <v>42341</v>
      </c>
      <c r="M635" s="896" t="s">
        <v>156</v>
      </c>
      <c r="N635" s="1279">
        <v>42343</v>
      </c>
      <c r="O635" s="899" t="s">
        <v>258</v>
      </c>
    </row>
    <row r="636" spans="2:16" hidden="1" outlineLevel="1">
      <c r="B636" s="1134">
        <v>8</v>
      </c>
      <c r="C636" s="3462"/>
      <c r="D636" s="1278">
        <v>8</v>
      </c>
      <c r="E636" s="1290" t="s">
        <v>267</v>
      </c>
      <c r="F636" s="892" t="s">
        <v>723</v>
      </c>
      <c r="G636" s="2509" t="s">
        <v>259</v>
      </c>
      <c r="H636" s="894">
        <v>881215</v>
      </c>
      <c r="I636" s="922" t="s">
        <v>183</v>
      </c>
      <c r="J636" s="895" t="s">
        <v>129</v>
      </c>
      <c r="K636" s="896" t="s">
        <v>354</v>
      </c>
      <c r="L636" s="897">
        <v>42341</v>
      </c>
      <c r="M636" s="896" t="s">
        <v>156</v>
      </c>
      <c r="N636" s="1279">
        <v>42343</v>
      </c>
      <c r="O636" s="899" t="s">
        <v>258</v>
      </c>
    </row>
    <row r="637" spans="2:16" hidden="1" outlineLevel="1">
      <c r="B637" s="1134">
        <v>9</v>
      </c>
      <c r="C637" s="3462"/>
      <c r="D637" s="1278">
        <v>9</v>
      </c>
      <c r="E637" s="1290" t="s">
        <v>267</v>
      </c>
      <c r="F637" s="892" t="s">
        <v>723</v>
      </c>
      <c r="G637" s="2509" t="s">
        <v>259</v>
      </c>
      <c r="H637" s="894">
        <v>891215</v>
      </c>
      <c r="I637" s="922" t="s">
        <v>183</v>
      </c>
      <c r="J637" s="895" t="s">
        <v>129</v>
      </c>
      <c r="K637" s="896" t="s">
        <v>354</v>
      </c>
      <c r="L637" s="897">
        <v>42341</v>
      </c>
      <c r="M637" s="896" t="s">
        <v>156</v>
      </c>
      <c r="N637" s="1279">
        <v>42343</v>
      </c>
      <c r="O637" s="899" t="s">
        <v>258</v>
      </c>
    </row>
    <row r="638" spans="2:16" ht="15.75" hidden="1" outlineLevel="1" thickBot="1">
      <c r="B638" s="1177">
        <v>10</v>
      </c>
      <c r="C638" s="3462"/>
      <c r="D638" s="1280">
        <v>10</v>
      </c>
      <c r="E638" s="1291" t="s">
        <v>267</v>
      </c>
      <c r="F638" s="904" t="s">
        <v>723</v>
      </c>
      <c r="G638" s="2516" t="s">
        <v>259</v>
      </c>
      <c r="H638" s="906">
        <v>901215</v>
      </c>
      <c r="I638" s="1295" t="s">
        <v>183</v>
      </c>
      <c r="J638" s="908" t="s">
        <v>129</v>
      </c>
      <c r="K638" s="909" t="s">
        <v>354</v>
      </c>
      <c r="L638" s="910">
        <v>42341</v>
      </c>
      <c r="M638" s="909" t="s">
        <v>156</v>
      </c>
      <c r="N638" s="1281">
        <v>42343</v>
      </c>
      <c r="O638" s="913" t="s">
        <v>258</v>
      </c>
    </row>
    <row r="639" spans="2:16" ht="15.2" hidden="1" customHeight="1" outlineLevel="1">
      <c r="B639" s="1242">
        <v>1</v>
      </c>
      <c r="C639" s="3462"/>
      <c r="D639" s="1024">
        <v>1</v>
      </c>
      <c r="E639" s="1285" t="s">
        <v>267</v>
      </c>
      <c r="F639" s="918" t="s">
        <v>723</v>
      </c>
      <c r="G639" s="1384" t="s">
        <v>268</v>
      </c>
      <c r="H639" s="920">
        <v>911215</v>
      </c>
      <c r="I639" s="1292" t="s">
        <v>179</v>
      </c>
      <c r="J639" s="922" t="s">
        <v>129</v>
      </c>
      <c r="K639" s="923" t="s">
        <v>354</v>
      </c>
      <c r="L639" s="924">
        <v>42341</v>
      </c>
      <c r="M639" s="923" t="s">
        <v>137</v>
      </c>
      <c r="N639" s="1248">
        <v>42345</v>
      </c>
      <c r="O639" s="927" t="s">
        <v>258</v>
      </c>
      <c r="P639" s="928"/>
    </row>
    <row r="640" spans="2:16" ht="15.75" hidden="1" outlineLevel="1" thickBot="1">
      <c r="B640" s="1177">
        <v>2</v>
      </c>
      <c r="C640" s="3468"/>
      <c r="D640" s="1098">
        <v>2</v>
      </c>
      <c r="E640" s="1293" t="s">
        <v>267</v>
      </c>
      <c r="F640" s="1294" t="s">
        <v>723</v>
      </c>
      <c r="G640" s="1385" t="s">
        <v>268</v>
      </c>
      <c r="H640" s="1161">
        <v>921215</v>
      </c>
      <c r="I640" s="1295" t="s">
        <v>179</v>
      </c>
      <c r="J640" s="1295" t="s">
        <v>129</v>
      </c>
      <c r="K640" s="1256" t="s">
        <v>354</v>
      </c>
      <c r="L640" s="1163">
        <v>42341</v>
      </c>
      <c r="M640" s="1256" t="s">
        <v>137</v>
      </c>
      <c r="N640" s="1258">
        <v>42345</v>
      </c>
      <c r="O640" s="1259" t="s">
        <v>258</v>
      </c>
      <c r="P640" s="928"/>
    </row>
    <row r="641" spans="2:16" ht="9.9499999999999993" customHeight="1" collapsed="1"/>
    <row r="643" spans="2:16" ht="21" thickBot="1">
      <c r="C643" s="867" t="s">
        <v>277</v>
      </c>
      <c r="D643" s="914"/>
    </row>
    <row r="644" spans="2:16" ht="15.75" thickBot="1">
      <c r="M644" s="3490" t="s">
        <v>175</v>
      </c>
      <c r="N644" s="3491"/>
      <c r="O644" s="915">
        <v>41990</v>
      </c>
    </row>
    <row r="645" spans="2:16" s="463" customFormat="1" ht="20.100000000000001" customHeight="1" thickBot="1">
      <c r="B645" s="874" t="s">
        <v>704</v>
      </c>
      <c r="C645" s="875" t="s">
        <v>113</v>
      </c>
      <c r="D645" s="876" t="s">
        <v>176</v>
      </c>
      <c r="E645" s="877" t="s">
        <v>114</v>
      </c>
      <c r="F645" s="878" t="s">
        <v>705</v>
      </c>
      <c r="G645" s="2507" t="s">
        <v>115</v>
      </c>
      <c r="H645" s="880" t="s">
        <v>116</v>
      </c>
      <c r="I645" s="2554" t="s">
        <v>117</v>
      </c>
      <c r="J645" s="882" t="s">
        <v>118</v>
      </c>
      <c r="K645" s="883" t="s">
        <v>119</v>
      </c>
      <c r="L645" s="884" t="s">
        <v>713</v>
      </c>
      <c r="M645" s="885" t="s">
        <v>120</v>
      </c>
      <c r="N645" s="886" t="s">
        <v>121</v>
      </c>
      <c r="O645" s="887" t="s">
        <v>719</v>
      </c>
    </row>
    <row r="646" spans="2:16" ht="16.5" hidden="1" customHeight="1" outlineLevel="1" thickTop="1">
      <c r="B646" s="977">
        <v>1</v>
      </c>
      <c r="C646" s="3514" t="s">
        <v>252</v>
      </c>
      <c r="D646" s="1078">
        <v>1</v>
      </c>
      <c r="E646" s="978" t="s">
        <v>133</v>
      </c>
      <c r="F646" s="979" t="s">
        <v>723</v>
      </c>
      <c r="G646" s="1381" t="s">
        <v>253</v>
      </c>
      <c r="H646" s="981">
        <v>10114</v>
      </c>
      <c r="I646" s="922" t="s">
        <v>179</v>
      </c>
      <c r="J646" s="922" t="s">
        <v>129</v>
      </c>
      <c r="K646" s="943" t="s">
        <v>278</v>
      </c>
      <c r="L646" s="944">
        <v>41642</v>
      </c>
      <c r="M646" s="982" t="s">
        <v>159</v>
      </c>
      <c r="N646" s="983">
        <v>41643</v>
      </c>
      <c r="O646" s="1296" t="s">
        <v>279</v>
      </c>
      <c r="P646" s="928"/>
    </row>
    <row r="647" spans="2:16" ht="16.5" hidden="1" customHeight="1" outlineLevel="1">
      <c r="B647" s="889">
        <v>2</v>
      </c>
      <c r="C647" s="3512"/>
      <c r="D647" s="1264">
        <v>2</v>
      </c>
      <c r="E647" s="1265" t="s">
        <v>133</v>
      </c>
      <c r="F647" s="1266" t="s">
        <v>723</v>
      </c>
      <c r="G647" s="2522" t="s">
        <v>253</v>
      </c>
      <c r="H647" s="1267">
        <v>20114</v>
      </c>
      <c r="I647" s="1268" t="s">
        <v>179</v>
      </c>
      <c r="J647" s="1268" t="s">
        <v>129</v>
      </c>
      <c r="K647" s="1269" t="s">
        <v>278</v>
      </c>
      <c r="L647" s="1270">
        <v>41642</v>
      </c>
      <c r="M647" s="1271" t="s">
        <v>159</v>
      </c>
      <c r="N647" s="1272">
        <v>41643</v>
      </c>
      <c r="O647" s="1273" t="s">
        <v>279</v>
      </c>
      <c r="P647" s="928"/>
    </row>
    <row r="648" spans="2:16" ht="16.5" hidden="1" customHeight="1" outlineLevel="1">
      <c r="B648" s="977">
        <v>3</v>
      </c>
      <c r="C648" s="3512"/>
      <c r="D648" s="1078">
        <v>3</v>
      </c>
      <c r="E648" s="978" t="s">
        <v>133</v>
      </c>
      <c r="F648" s="979" t="s">
        <v>723</v>
      </c>
      <c r="G648" s="1381" t="s">
        <v>259</v>
      </c>
      <c r="H648" s="981">
        <v>30114</v>
      </c>
      <c r="I648" s="922" t="s">
        <v>183</v>
      </c>
      <c r="J648" s="922" t="s">
        <v>129</v>
      </c>
      <c r="K648" s="943" t="s">
        <v>278</v>
      </c>
      <c r="L648" s="944">
        <v>41642</v>
      </c>
      <c r="M648" s="982" t="s">
        <v>159</v>
      </c>
      <c r="N648" s="983">
        <v>41643</v>
      </c>
      <c r="O648" s="947" t="s">
        <v>279</v>
      </c>
    </row>
    <row r="649" spans="2:16" ht="16.5" hidden="1" customHeight="1" outlineLevel="1">
      <c r="B649" s="977">
        <v>4</v>
      </c>
      <c r="C649" s="3512"/>
      <c r="D649" s="1037">
        <v>4</v>
      </c>
      <c r="E649" s="978" t="s">
        <v>133</v>
      </c>
      <c r="F649" s="979" t="s">
        <v>723</v>
      </c>
      <c r="G649" s="1381" t="s">
        <v>259</v>
      </c>
      <c r="H649" s="981">
        <v>40114</v>
      </c>
      <c r="I649" s="922" t="s">
        <v>183</v>
      </c>
      <c r="J649" s="922" t="s">
        <v>129</v>
      </c>
      <c r="K649" s="943" t="s">
        <v>278</v>
      </c>
      <c r="L649" s="936">
        <v>41642</v>
      </c>
      <c r="M649" s="982" t="s">
        <v>159</v>
      </c>
      <c r="N649" s="976">
        <v>41643</v>
      </c>
      <c r="O649" s="938" t="s">
        <v>279</v>
      </c>
    </row>
    <row r="650" spans="2:16" ht="16.5" hidden="1" customHeight="1" outlineLevel="1">
      <c r="B650" s="977">
        <v>5</v>
      </c>
      <c r="C650" s="3512"/>
      <c r="D650" s="1037">
        <v>5</v>
      </c>
      <c r="E650" s="978" t="s">
        <v>133</v>
      </c>
      <c r="F650" s="979" t="s">
        <v>723</v>
      </c>
      <c r="G650" s="1381" t="s">
        <v>259</v>
      </c>
      <c r="H650" s="981">
        <v>50114</v>
      </c>
      <c r="I650" s="922" t="s">
        <v>183</v>
      </c>
      <c r="J650" s="922" t="s">
        <v>129</v>
      </c>
      <c r="K650" s="943" t="s">
        <v>278</v>
      </c>
      <c r="L650" s="936">
        <v>41642</v>
      </c>
      <c r="M650" s="982" t="s">
        <v>159</v>
      </c>
      <c r="N650" s="976">
        <v>41643</v>
      </c>
      <c r="O650" s="938" t="s">
        <v>279</v>
      </c>
    </row>
    <row r="651" spans="2:16" ht="16.5" hidden="1" customHeight="1" outlineLevel="1">
      <c r="B651" s="977">
        <v>6</v>
      </c>
      <c r="C651" s="3512"/>
      <c r="D651" s="1037">
        <v>6</v>
      </c>
      <c r="E651" s="978" t="s">
        <v>133</v>
      </c>
      <c r="F651" s="979" t="s">
        <v>723</v>
      </c>
      <c r="G651" s="1381" t="s">
        <v>259</v>
      </c>
      <c r="H651" s="981">
        <v>60114</v>
      </c>
      <c r="I651" s="922" t="s">
        <v>183</v>
      </c>
      <c r="J651" s="922" t="s">
        <v>129</v>
      </c>
      <c r="K651" s="943" t="s">
        <v>278</v>
      </c>
      <c r="L651" s="936">
        <v>41642</v>
      </c>
      <c r="M651" s="982" t="s">
        <v>159</v>
      </c>
      <c r="N651" s="976">
        <v>41643</v>
      </c>
      <c r="O651" s="938" t="s">
        <v>279</v>
      </c>
    </row>
    <row r="652" spans="2:16" ht="16.5" hidden="1" customHeight="1" outlineLevel="1">
      <c r="B652" s="977">
        <v>7</v>
      </c>
      <c r="C652" s="3512"/>
      <c r="D652" s="1037">
        <v>7</v>
      </c>
      <c r="E652" s="978" t="s">
        <v>133</v>
      </c>
      <c r="F652" s="979" t="s">
        <v>723</v>
      </c>
      <c r="G652" s="1381" t="s">
        <v>259</v>
      </c>
      <c r="H652" s="981">
        <v>70114</v>
      </c>
      <c r="I652" s="922" t="s">
        <v>183</v>
      </c>
      <c r="J652" s="922" t="s">
        <v>129</v>
      </c>
      <c r="K652" s="943" t="s">
        <v>278</v>
      </c>
      <c r="L652" s="936">
        <v>41642</v>
      </c>
      <c r="M652" s="982" t="s">
        <v>159</v>
      </c>
      <c r="N652" s="976">
        <v>41643</v>
      </c>
      <c r="O652" s="938" t="s">
        <v>279</v>
      </c>
    </row>
    <row r="653" spans="2:16" ht="16.5" hidden="1" customHeight="1" outlineLevel="1">
      <c r="B653" s="977">
        <v>8</v>
      </c>
      <c r="C653" s="3512"/>
      <c r="D653" s="1037">
        <v>8</v>
      </c>
      <c r="E653" s="978" t="s">
        <v>133</v>
      </c>
      <c r="F653" s="979" t="s">
        <v>723</v>
      </c>
      <c r="G653" s="1381" t="s">
        <v>259</v>
      </c>
      <c r="H653" s="981">
        <v>80114</v>
      </c>
      <c r="I653" s="922" t="s">
        <v>183</v>
      </c>
      <c r="J653" s="922" t="s">
        <v>129</v>
      </c>
      <c r="K653" s="943" t="s">
        <v>278</v>
      </c>
      <c r="L653" s="936">
        <v>41642</v>
      </c>
      <c r="M653" s="982" t="s">
        <v>159</v>
      </c>
      <c r="N653" s="976">
        <v>41643</v>
      </c>
      <c r="O653" s="938" t="s">
        <v>279</v>
      </c>
    </row>
    <row r="654" spans="2:16" ht="16.5" hidden="1" customHeight="1" outlineLevel="1">
      <c r="B654" s="977">
        <v>9</v>
      </c>
      <c r="C654" s="3512"/>
      <c r="D654" s="1037">
        <v>9</v>
      </c>
      <c r="E654" s="978" t="s">
        <v>133</v>
      </c>
      <c r="F654" s="979" t="s">
        <v>723</v>
      </c>
      <c r="G654" s="1381" t="s">
        <v>259</v>
      </c>
      <c r="H654" s="981">
        <v>90114</v>
      </c>
      <c r="I654" s="922" t="s">
        <v>183</v>
      </c>
      <c r="J654" s="922" t="s">
        <v>129</v>
      </c>
      <c r="K654" s="943" t="s">
        <v>278</v>
      </c>
      <c r="L654" s="936">
        <v>41642</v>
      </c>
      <c r="M654" s="982" t="s">
        <v>159</v>
      </c>
      <c r="N654" s="976">
        <v>41643</v>
      </c>
      <c r="O654" s="938" t="s">
        <v>279</v>
      </c>
    </row>
    <row r="655" spans="2:16" ht="16.5" hidden="1" customHeight="1" outlineLevel="1" thickBot="1">
      <c r="B655" s="977">
        <v>10</v>
      </c>
      <c r="C655" s="3512"/>
      <c r="D655" s="1098">
        <v>10</v>
      </c>
      <c r="E655" s="1298" t="s">
        <v>133</v>
      </c>
      <c r="F655" s="1294" t="s">
        <v>723</v>
      </c>
      <c r="G655" s="1385" t="s">
        <v>259</v>
      </c>
      <c r="H655" s="1161">
        <v>100114</v>
      </c>
      <c r="I655" s="1295" t="s">
        <v>183</v>
      </c>
      <c r="J655" s="1295" t="s">
        <v>129</v>
      </c>
      <c r="K655" s="1256" t="s">
        <v>278</v>
      </c>
      <c r="L655" s="1163">
        <v>41642</v>
      </c>
      <c r="M655" s="1299" t="s">
        <v>159</v>
      </c>
      <c r="N655" s="1258">
        <v>41643</v>
      </c>
      <c r="O655" s="1259" t="s">
        <v>279</v>
      </c>
    </row>
    <row r="656" spans="2:16" ht="16.5" hidden="1" customHeight="1" outlineLevel="1">
      <c r="B656" s="977">
        <v>11</v>
      </c>
      <c r="C656" s="3512"/>
      <c r="D656" s="1300">
        <v>1</v>
      </c>
      <c r="E656" s="941" t="s">
        <v>133</v>
      </c>
      <c r="F656" s="1260" t="s">
        <v>723</v>
      </c>
      <c r="G656" s="1381" t="s">
        <v>253</v>
      </c>
      <c r="H656" s="981">
        <v>110114</v>
      </c>
      <c r="I656" s="922" t="s">
        <v>179</v>
      </c>
      <c r="J656" s="922" t="s">
        <v>129</v>
      </c>
      <c r="K656" s="1154" t="s">
        <v>278</v>
      </c>
      <c r="L656" s="944">
        <v>41642</v>
      </c>
      <c r="M656" s="1301" t="s">
        <v>134</v>
      </c>
      <c r="N656" s="1156">
        <v>41649</v>
      </c>
      <c r="O656" s="947" t="s">
        <v>280</v>
      </c>
    </row>
    <row r="657" spans="2:16" ht="16.5" hidden="1" customHeight="1" outlineLevel="1" thickBot="1">
      <c r="B657" s="900">
        <v>12</v>
      </c>
      <c r="C657" s="3513"/>
      <c r="D657" s="1158">
        <v>2</v>
      </c>
      <c r="E657" s="1251" t="s">
        <v>133</v>
      </c>
      <c r="F657" s="1252" t="s">
        <v>723</v>
      </c>
      <c r="G657" s="1385" t="s">
        <v>253</v>
      </c>
      <c r="H657" s="1161">
        <v>120114</v>
      </c>
      <c r="I657" s="1295" t="s">
        <v>179</v>
      </c>
      <c r="J657" s="1295" t="s">
        <v>129</v>
      </c>
      <c r="K657" s="1162" t="s">
        <v>278</v>
      </c>
      <c r="L657" s="1163">
        <v>41642</v>
      </c>
      <c r="M657" s="1302" t="s">
        <v>134</v>
      </c>
      <c r="N657" s="1165">
        <v>41649</v>
      </c>
      <c r="O657" s="1259" t="s">
        <v>280</v>
      </c>
    </row>
    <row r="658" spans="2:16" ht="10.15" customHeight="1" collapsed="1" thickTop="1">
      <c r="B658" s="1303"/>
      <c r="C658" s="1297"/>
      <c r="D658" s="346"/>
      <c r="E658" s="1304"/>
      <c r="F658" s="1305"/>
      <c r="G658" s="2530"/>
      <c r="H658" s="1306"/>
      <c r="I658" s="952"/>
      <c r="J658" s="952"/>
      <c r="K658" s="1307"/>
      <c r="L658" s="1308"/>
      <c r="M658" s="1309"/>
      <c r="N658" s="1310"/>
      <c r="O658" s="1296"/>
    </row>
    <row r="659" spans="2:16" ht="16.5" hidden="1" customHeight="1" outlineLevel="1">
      <c r="B659" s="1283">
        <v>13</v>
      </c>
      <c r="C659" s="3499" t="s">
        <v>281</v>
      </c>
      <c r="D659" s="1024">
        <v>1</v>
      </c>
      <c r="E659" s="917" t="s">
        <v>133</v>
      </c>
      <c r="F659" s="918" t="s">
        <v>723</v>
      </c>
      <c r="G659" s="1384" t="s">
        <v>253</v>
      </c>
      <c r="H659" s="920">
        <v>130114</v>
      </c>
      <c r="I659" s="1292" t="s">
        <v>179</v>
      </c>
      <c r="J659" s="1292" t="s">
        <v>129</v>
      </c>
      <c r="K659" s="1311" t="s">
        <v>282</v>
      </c>
      <c r="L659" s="924">
        <v>41761</v>
      </c>
      <c r="M659" s="925" t="s">
        <v>226</v>
      </c>
      <c r="N659" s="1248">
        <v>41761</v>
      </c>
      <c r="O659" s="927" t="s">
        <v>283</v>
      </c>
      <c r="P659" s="928"/>
    </row>
    <row r="660" spans="2:16" ht="15.75" hidden="1" outlineLevel="1" thickBot="1">
      <c r="B660" s="889">
        <v>14</v>
      </c>
      <c r="C660" s="3500"/>
      <c r="D660" s="1098">
        <v>2</v>
      </c>
      <c r="E660" s="1298" t="s">
        <v>133</v>
      </c>
      <c r="F660" s="1294" t="s">
        <v>723</v>
      </c>
      <c r="G660" s="1385" t="s">
        <v>253</v>
      </c>
      <c r="H660" s="1161">
        <v>140114</v>
      </c>
      <c r="I660" s="1295" t="s">
        <v>179</v>
      </c>
      <c r="J660" s="1295" t="s">
        <v>129</v>
      </c>
      <c r="K660" s="1312" t="s">
        <v>282</v>
      </c>
      <c r="L660" s="1163">
        <v>41761</v>
      </c>
      <c r="M660" s="1299" t="s">
        <v>226</v>
      </c>
      <c r="N660" s="1258">
        <v>41761</v>
      </c>
      <c r="O660" s="1259" t="s">
        <v>283</v>
      </c>
      <c r="P660" s="928"/>
    </row>
    <row r="661" spans="2:16" hidden="1" outlineLevel="1">
      <c r="B661" s="889">
        <v>15</v>
      </c>
      <c r="C661" s="3500"/>
      <c r="D661" s="1078">
        <v>1</v>
      </c>
      <c r="E661" s="978" t="s">
        <v>133</v>
      </c>
      <c r="F661" s="979" t="s">
        <v>723</v>
      </c>
      <c r="G661" s="1381" t="s">
        <v>253</v>
      </c>
      <c r="H661" s="981">
        <v>150114</v>
      </c>
      <c r="I661" s="922" t="s">
        <v>183</v>
      </c>
      <c r="J661" s="922" t="s">
        <v>129</v>
      </c>
      <c r="K661" s="1313" t="s">
        <v>282</v>
      </c>
      <c r="L661" s="944">
        <v>41761</v>
      </c>
      <c r="M661" s="982" t="s">
        <v>284</v>
      </c>
      <c r="N661" s="983">
        <v>41761</v>
      </c>
      <c r="O661" s="947" t="s">
        <v>283</v>
      </c>
    </row>
    <row r="662" spans="2:16" ht="15.75" hidden="1" outlineLevel="1" thickBot="1">
      <c r="B662" s="889">
        <v>16</v>
      </c>
      <c r="C662" s="3500"/>
      <c r="D662" s="1098">
        <v>2</v>
      </c>
      <c r="E662" s="1298" t="s">
        <v>133</v>
      </c>
      <c r="F662" s="1294" t="s">
        <v>723</v>
      </c>
      <c r="G662" s="1385" t="s">
        <v>253</v>
      </c>
      <c r="H662" s="1161">
        <v>160114</v>
      </c>
      <c r="I662" s="1295" t="s">
        <v>183</v>
      </c>
      <c r="J662" s="1295" t="s">
        <v>129</v>
      </c>
      <c r="K662" s="1312" t="s">
        <v>282</v>
      </c>
      <c r="L662" s="1163">
        <v>41761</v>
      </c>
      <c r="M662" s="1299" t="s">
        <v>284</v>
      </c>
      <c r="N662" s="1258">
        <v>41761</v>
      </c>
      <c r="O662" s="1259" t="s">
        <v>283</v>
      </c>
    </row>
    <row r="663" spans="2:16" hidden="1" outlineLevel="1">
      <c r="B663" s="889">
        <v>17</v>
      </c>
      <c r="C663" s="3500"/>
      <c r="D663" s="1078">
        <v>1</v>
      </c>
      <c r="E663" s="978" t="s">
        <v>133</v>
      </c>
      <c r="F663" s="979" t="s">
        <v>723</v>
      </c>
      <c r="G663" s="1381" t="s">
        <v>253</v>
      </c>
      <c r="H663" s="981">
        <v>170114</v>
      </c>
      <c r="I663" s="922" t="s">
        <v>183</v>
      </c>
      <c r="J663" s="922" t="s">
        <v>129</v>
      </c>
      <c r="K663" s="1313" t="s">
        <v>282</v>
      </c>
      <c r="L663" s="944">
        <v>41761</v>
      </c>
      <c r="M663" s="982" t="s">
        <v>156</v>
      </c>
      <c r="N663" s="983">
        <v>41764</v>
      </c>
      <c r="O663" s="947" t="s">
        <v>283</v>
      </c>
    </row>
    <row r="664" spans="2:16" ht="15.75" hidden="1" outlineLevel="1" thickBot="1">
      <c r="B664" s="889">
        <v>18</v>
      </c>
      <c r="C664" s="3500"/>
      <c r="D664" s="1098">
        <v>2</v>
      </c>
      <c r="E664" s="1298" t="s">
        <v>133</v>
      </c>
      <c r="F664" s="1294" t="s">
        <v>723</v>
      </c>
      <c r="G664" s="1385" t="s">
        <v>253</v>
      </c>
      <c r="H664" s="1161">
        <v>180114</v>
      </c>
      <c r="I664" s="1295" t="s">
        <v>183</v>
      </c>
      <c r="J664" s="1295" t="s">
        <v>129</v>
      </c>
      <c r="K664" s="1312" t="s">
        <v>282</v>
      </c>
      <c r="L664" s="1163">
        <v>41761</v>
      </c>
      <c r="M664" s="1299" t="s">
        <v>156</v>
      </c>
      <c r="N664" s="1258">
        <v>41764</v>
      </c>
      <c r="O664" s="1259" t="s">
        <v>283</v>
      </c>
    </row>
    <row r="665" spans="2:16" hidden="1" outlineLevel="1">
      <c r="B665" s="889">
        <v>19</v>
      </c>
      <c r="C665" s="3500"/>
      <c r="D665" s="1078">
        <v>1</v>
      </c>
      <c r="E665" s="978" t="s">
        <v>133</v>
      </c>
      <c r="F665" s="979" t="s">
        <v>723</v>
      </c>
      <c r="G665" s="1381" t="s">
        <v>253</v>
      </c>
      <c r="H665" s="981">
        <v>190514</v>
      </c>
      <c r="I665" s="922" t="s">
        <v>183</v>
      </c>
      <c r="J665" s="922" t="s">
        <v>129</v>
      </c>
      <c r="K665" s="1313" t="s">
        <v>282</v>
      </c>
      <c r="L665" s="944">
        <v>41761</v>
      </c>
      <c r="M665" s="982" t="s">
        <v>152</v>
      </c>
      <c r="N665" s="983">
        <v>41769</v>
      </c>
      <c r="O665" s="947" t="s">
        <v>283</v>
      </c>
    </row>
    <row r="666" spans="2:16" ht="15.75" hidden="1" outlineLevel="1" thickBot="1">
      <c r="B666" s="889">
        <v>20</v>
      </c>
      <c r="C666" s="3501"/>
      <c r="D666" s="1098">
        <v>2</v>
      </c>
      <c r="E666" s="986" t="s">
        <v>133</v>
      </c>
      <c r="F666" s="987" t="s">
        <v>723</v>
      </c>
      <c r="G666" s="1385" t="s">
        <v>253</v>
      </c>
      <c r="H666" s="989">
        <v>200514</v>
      </c>
      <c r="I666" s="991" t="s">
        <v>183</v>
      </c>
      <c r="J666" s="991" t="s">
        <v>129</v>
      </c>
      <c r="K666" s="1314" t="s">
        <v>282</v>
      </c>
      <c r="L666" s="1163">
        <v>41761</v>
      </c>
      <c r="M666" s="994" t="s">
        <v>152</v>
      </c>
      <c r="N666" s="1258">
        <v>41769</v>
      </c>
      <c r="O666" s="1259" t="s">
        <v>283</v>
      </c>
    </row>
    <row r="667" spans="2:16" ht="10.15" customHeight="1" collapsed="1" thickBot="1">
      <c r="B667" s="889"/>
      <c r="C667" s="929"/>
      <c r="D667" s="1315"/>
      <c r="E667" s="1304"/>
      <c r="F667" s="1305"/>
      <c r="G667" s="2530"/>
      <c r="H667" s="1306"/>
      <c r="I667" s="952"/>
      <c r="J667" s="952"/>
      <c r="K667" s="1316"/>
      <c r="L667" s="1308"/>
      <c r="M667" s="1317"/>
      <c r="N667" s="1318"/>
      <c r="O667" s="1296"/>
    </row>
    <row r="668" spans="2:16" ht="15.2" hidden="1" customHeight="1" outlineLevel="1">
      <c r="B668" s="889">
        <v>21</v>
      </c>
      <c r="C668" s="3463" t="s">
        <v>264</v>
      </c>
      <c r="D668" s="1024">
        <v>1</v>
      </c>
      <c r="E668" s="917" t="s">
        <v>133</v>
      </c>
      <c r="F668" s="918" t="s">
        <v>723</v>
      </c>
      <c r="G668" s="1384" t="s">
        <v>268</v>
      </c>
      <c r="H668" s="920">
        <v>210614</v>
      </c>
      <c r="I668" s="1292" t="s">
        <v>179</v>
      </c>
      <c r="J668" s="1292" t="s">
        <v>285</v>
      </c>
      <c r="K668" s="923" t="s">
        <v>286</v>
      </c>
      <c r="L668" s="924">
        <v>41817</v>
      </c>
      <c r="M668" s="925" t="s">
        <v>159</v>
      </c>
      <c r="N668" s="1248">
        <v>41820</v>
      </c>
      <c r="O668" s="927" t="s">
        <v>283</v>
      </c>
      <c r="P668" s="928"/>
    </row>
    <row r="669" spans="2:16" hidden="1" outlineLevel="1">
      <c r="B669" s="889">
        <v>22</v>
      </c>
      <c r="C669" s="3464"/>
      <c r="D669" s="1264">
        <v>2</v>
      </c>
      <c r="E669" s="1265" t="s">
        <v>133</v>
      </c>
      <c r="F669" s="1266" t="s">
        <v>723</v>
      </c>
      <c r="G669" s="2522" t="s">
        <v>268</v>
      </c>
      <c r="H669" s="1267">
        <v>220614</v>
      </c>
      <c r="I669" s="1268" t="s">
        <v>179</v>
      </c>
      <c r="J669" s="1268" t="s">
        <v>285</v>
      </c>
      <c r="K669" s="1269" t="s">
        <v>286</v>
      </c>
      <c r="L669" s="1270">
        <v>41817</v>
      </c>
      <c r="M669" s="1271" t="s">
        <v>159</v>
      </c>
      <c r="N669" s="1272">
        <v>41820</v>
      </c>
      <c r="O669" s="1273" t="s">
        <v>283</v>
      </c>
      <c r="P669" s="928"/>
    </row>
    <row r="670" spans="2:16" hidden="1" outlineLevel="1">
      <c r="B670" s="1319">
        <v>23</v>
      </c>
      <c r="C670" s="3464"/>
      <c r="D670" s="1078">
        <v>3</v>
      </c>
      <c r="E670" s="1320" t="s">
        <v>757</v>
      </c>
      <c r="F670" s="940" t="s">
        <v>723</v>
      </c>
      <c r="G670" s="1321" t="s">
        <v>287</v>
      </c>
      <c r="H670" s="1322">
        <v>230614</v>
      </c>
      <c r="I670" s="1323" t="s">
        <v>183</v>
      </c>
      <c r="J670" s="1323" t="s">
        <v>285</v>
      </c>
      <c r="K670" s="945" t="s">
        <v>288</v>
      </c>
      <c r="L670" s="1324">
        <v>41820</v>
      </c>
      <c r="M670" s="945" t="s">
        <v>159</v>
      </c>
      <c r="N670" s="1274">
        <v>41820</v>
      </c>
      <c r="O670" s="1325" t="s">
        <v>289</v>
      </c>
    </row>
    <row r="671" spans="2:16" hidden="1" outlineLevel="1">
      <c r="B671" s="1319">
        <v>24</v>
      </c>
      <c r="C671" s="3464"/>
      <c r="D671" s="1037">
        <v>4</v>
      </c>
      <c r="E671" s="1320" t="s">
        <v>757</v>
      </c>
      <c r="F671" s="940" t="s">
        <v>723</v>
      </c>
      <c r="G671" s="1289" t="s">
        <v>287</v>
      </c>
      <c r="H671" s="1322">
        <v>240614</v>
      </c>
      <c r="I671" s="1323" t="s">
        <v>183</v>
      </c>
      <c r="J671" s="1323" t="s">
        <v>285</v>
      </c>
      <c r="K671" s="945" t="s">
        <v>288</v>
      </c>
      <c r="L671" s="1326">
        <v>41820</v>
      </c>
      <c r="M671" s="945" t="s">
        <v>159</v>
      </c>
      <c r="N671" s="1275">
        <v>41820</v>
      </c>
      <c r="O671" s="1327" t="s">
        <v>290</v>
      </c>
    </row>
    <row r="672" spans="2:16" hidden="1" outlineLevel="1">
      <c r="B672" s="1319">
        <v>25</v>
      </c>
      <c r="C672" s="3464"/>
      <c r="D672" s="1276">
        <v>5</v>
      </c>
      <c r="E672" s="1328" t="s">
        <v>291</v>
      </c>
      <c r="F672" s="950" t="s">
        <v>723</v>
      </c>
      <c r="G672" s="1329" t="s">
        <v>2616</v>
      </c>
      <c r="H672" s="1330">
        <v>250614</v>
      </c>
      <c r="I672" s="1331" t="s">
        <v>183</v>
      </c>
      <c r="J672" s="1331" t="s">
        <v>285</v>
      </c>
      <c r="K672" s="955" t="s">
        <v>288</v>
      </c>
      <c r="L672" s="1332">
        <v>41820</v>
      </c>
      <c r="M672" s="955" t="s">
        <v>159</v>
      </c>
      <c r="N672" s="1277">
        <v>41820</v>
      </c>
      <c r="O672" s="1333" t="s">
        <v>292</v>
      </c>
    </row>
    <row r="673" spans="2:16" hidden="1" outlineLevel="1">
      <c r="B673" s="1319">
        <v>26</v>
      </c>
      <c r="C673" s="3465"/>
      <c r="D673" s="1037">
        <v>6</v>
      </c>
      <c r="E673" s="1334" t="s">
        <v>757</v>
      </c>
      <c r="F673" s="959" t="s">
        <v>723</v>
      </c>
      <c r="G673" s="1289" t="s">
        <v>287</v>
      </c>
      <c r="H673" s="1335">
        <v>260614</v>
      </c>
      <c r="I673" s="1336" t="s">
        <v>183</v>
      </c>
      <c r="J673" s="1336" t="s">
        <v>285</v>
      </c>
      <c r="K673" s="960" t="s">
        <v>288</v>
      </c>
      <c r="L673" s="1326">
        <v>41820</v>
      </c>
      <c r="M673" s="960" t="s">
        <v>159</v>
      </c>
      <c r="N673" s="1275">
        <v>41820</v>
      </c>
      <c r="O673" s="1327" t="s">
        <v>290</v>
      </c>
    </row>
    <row r="674" spans="2:16" hidden="1" outlineLevel="1">
      <c r="B674" s="1337"/>
      <c r="C674" s="3465"/>
      <c r="D674" s="1338">
        <v>7</v>
      </c>
      <c r="E674" s="1339" t="s">
        <v>133</v>
      </c>
      <c r="F674" s="1340" t="s">
        <v>410</v>
      </c>
      <c r="G674" s="2534" t="s">
        <v>259</v>
      </c>
      <c r="H674" s="1341">
        <v>110612</v>
      </c>
      <c r="I674" s="1342" t="s">
        <v>293</v>
      </c>
      <c r="J674" s="1343" t="s">
        <v>294</v>
      </c>
      <c r="K674" s="1344" t="s">
        <v>190</v>
      </c>
      <c r="L674" s="1345">
        <v>41649</v>
      </c>
      <c r="M674" s="1346" t="s">
        <v>159</v>
      </c>
      <c r="N674" s="1347">
        <v>41821</v>
      </c>
      <c r="O674" s="1348" t="s">
        <v>295</v>
      </c>
    </row>
    <row r="675" spans="2:16" hidden="1" outlineLevel="1">
      <c r="B675" s="1337"/>
      <c r="C675" s="3465"/>
      <c r="D675" s="1338">
        <v>8</v>
      </c>
      <c r="E675" s="1339" t="s">
        <v>133</v>
      </c>
      <c r="F675" s="1340" t="s">
        <v>410</v>
      </c>
      <c r="G675" s="2534" t="s">
        <v>259</v>
      </c>
      <c r="H675" s="1341">
        <v>120612</v>
      </c>
      <c r="I675" s="1342" t="s">
        <v>293</v>
      </c>
      <c r="J675" s="1343" t="s">
        <v>294</v>
      </c>
      <c r="K675" s="1344" t="s">
        <v>190</v>
      </c>
      <c r="L675" s="1345">
        <v>41649</v>
      </c>
      <c r="M675" s="1346" t="s">
        <v>159</v>
      </c>
      <c r="N675" s="1347">
        <v>41821</v>
      </c>
      <c r="O675" s="1348" t="s">
        <v>295</v>
      </c>
    </row>
    <row r="676" spans="2:16" hidden="1" outlineLevel="1">
      <c r="B676" s="1337"/>
      <c r="C676" s="3465"/>
      <c r="D676" s="1338">
        <v>9</v>
      </c>
      <c r="E676" s="1339" t="s">
        <v>133</v>
      </c>
      <c r="F676" s="1340" t="s">
        <v>410</v>
      </c>
      <c r="G676" s="2534" t="s">
        <v>253</v>
      </c>
      <c r="H676" s="1341">
        <v>100612</v>
      </c>
      <c r="I676" s="1342" t="s">
        <v>293</v>
      </c>
      <c r="J676" s="1343" t="s">
        <v>294</v>
      </c>
      <c r="K676" s="1344" t="s">
        <v>190</v>
      </c>
      <c r="L676" s="1345">
        <v>41761</v>
      </c>
      <c r="M676" s="1346" t="s">
        <v>159</v>
      </c>
      <c r="N676" s="1347">
        <v>41821</v>
      </c>
      <c r="O676" s="1348" t="s">
        <v>295</v>
      </c>
    </row>
    <row r="677" spans="2:16" ht="15.75" hidden="1" outlineLevel="1" thickBot="1">
      <c r="B677" s="1349"/>
      <c r="C677" s="3466"/>
      <c r="D677" s="1350">
        <v>10</v>
      </c>
      <c r="E677" s="1351" t="s">
        <v>133</v>
      </c>
      <c r="F677" s="1352" t="s">
        <v>410</v>
      </c>
      <c r="G677" s="2535" t="s">
        <v>253</v>
      </c>
      <c r="H677" s="1353">
        <v>90612</v>
      </c>
      <c r="I677" s="1354" t="s">
        <v>293</v>
      </c>
      <c r="J677" s="1355" t="s">
        <v>294</v>
      </c>
      <c r="K677" s="1356" t="s">
        <v>190</v>
      </c>
      <c r="L677" s="1357">
        <v>41761</v>
      </c>
      <c r="M677" s="1358" t="s">
        <v>159</v>
      </c>
      <c r="N677" s="1359">
        <v>41821</v>
      </c>
      <c r="O677" s="1360" t="s">
        <v>295</v>
      </c>
    </row>
    <row r="678" spans="2:16" ht="10.15" customHeight="1" collapsed="1" thickBot="1">
      <c r="B678" s="1361"/>
      <c r="C678" s="1362"/>
      <c r="D678" s="1363"/>
      <c r="E678" s="1364"/>
      <c r="F678" s="1365"/>
      <c r="G678" s="2536"/>
      <c r="H678" s="1366"/>
      <c r="I678" s="1367"/>
      <c r="J678" s="1367"/>
      <c r="K678" s="1368"/>
      <c r="L678" s="1369"/>
      <c r="M678" s="1370"/>
      <c r="N678" s="1371"/>
      <c r="O678" s="1372"/>
    </row>
    <row r="679" spans="2:16" ht="16.5" hidden="1" customHeight="1" outlineLevel="1">
      <c r="B679" s="977">
        <v>27</v>
      </c>
      <c r="C679" s="3512" t="s">
        <v>266</v>
      </c>
      <c r="D679" s="1078">
        <v>1</v>
      </c>
      <c r="E679" s="978" t="s">
        <v>133</v>
      </c>
      <c r="F679" s="979" t="s">
        <v>723</v>
      </c>
      <c r="G679" s="1381" t="s">
        <v>253</v>
      </c>
      <c r="H679" s="981">
        <v>270814</v>
      </c>
      <c r="I679" s="922" t="s">
        <v>179</v>
      </c>
      <c r="J679" s="922" t="s">
        <v>129</v>
      </c>
      <c r="K679" s="943" t="s">
        <v>296</v>
      </c>
      <c r="L679" s="944">
        <v>41845</v>
      </c>
      <c r="M679" s="982" t="s">
        <v>164</v>
      </c>
      <c r="N679" s="983">
        <v>41863</v>
      </c>
      <c r="O679" s="1296" t="s">
        <v>280</v>
      </c>
      <c r="P679" s="928"/>
    </row>
    <row r="680" spans="2:16" ht="16.5" hidden="1" customHeight="1" outlineLevel="1">
      <c r="B680" s="889">
        <v>28</v>
      </c>
      <c r="C680" s="3512"/>
      <c r="D680" s="1264">
        <v>2</v>
      </c>
      <c r="E680" s="1265" t="s">
        <v>133</v>
      </c>
      <c r="F680" s="1266" t="s">
        <v>723</v>
      </c>
      <c r="G680" s="2522" t="s">
        <v>253</v>
      </c>
      <c r="H680" s="1267">
        <v>280814</v>
      </c>
      <c r="I680" s="1268" t="s">
        <v>179</v>
      </c>
      <c r="J680" s="1268" t="s">
        <v>129</v>
      </c>
      <c r="K680" s="1269" t="s">
        <v>296</v>
      </c>
      <c r="L680" s="1270">
        <v>41845</v>
      </c>
      <c r="M680" s="1271" t="s">
        <v>164</v>
      </c>
      <c r="N680" s="1272">
        <v>41863</v>
      </c>
      <c r="O680" s="1273" t="s">
        <v>280</v>
      </c>
      <c r="P680" s="928"/>
    </row>
    <row r="681" spans="2:16" ht="16.5" hidden="1" customHeight="1" outlineLevel="1">
      <c r="B681" s="977">
        <v>29</v>
      </c>
      <c r="C681" s="3512"/>
      <c r="D681" s="1078">
        <v>3</v>
      </c>
      <c r="E681" s="978" t="s">
        <v>133</v>
      </c>
      <c r="F681" s="979" t="s">
        <v>723</v>
      </c>
      <c r="G681" s="1381" t="s">
        <v>259</v>
      </c>
      <c r="H681" s="981">
        <v>290814</v>
      </c>
      <c r="I681" s="922" t="s">
        <v>183</v>
      </c>
      <c r="J681" s="922" t="s">
        <v>129</v>
      </c>
      <c r="K681" s="943" t="s">
        <v>296</v>
      </c>
      <c r="L681" s="944">
        <v>41845</v>
      </c>
      <c r="M681" s="982" t="s">
        <v>164</v>
      </c>
      <c r="N681" s="983">
        <v>41863</v>
      </c>
      <c r="O681" s="947" t="s">
        <v>280</v>
      </c>
    </row>
    <row r="682" spans="2:16" ht="16.5" hidden="1" customHeight="1" outlineLevel="1">
      <c r="B682" s="977">
        <v>30</v>
      </c>
      <c r="C682" s="3512"/>
      <c r="D682" s="1037">
        <v>4</v>
      </c>
      <c r="E682" s="978" t="s">
        <v>133</v>
      </c>
      <c r="F682" s="979" t="s">
        <v>723</v>
      </c>
      <c r="G682" s="1381" t="s">
        <v>259</v>
      </c>
      <c r="H682" s="981">
        <v>300814</v>
      </c>
      <c r="I682" s="922" t="s">
        <v>183</v>
      </c>
      <c r="J682" s="922" t="s">
        <v>129</v>
      </c>
      <c r="K682" s="943" t="s">
        <v>296</v>
      </c>
      <c r="L682" s="936">
        <v>41845</v>
      </c>
      <c r="M682" s="982" t="s">
        <v>164</v>
      </c>
      <c r="N682" s="976">
        <v>41863</v>
      </c>
      <c r="O682" s="938" t="s">
        <v>280</v>
      </c>
    </row>
    <row r="683" spans="2:16" ht="16.5" hidden="1" customHeight="1" outlineLevel="1">
      <c r="B683" s="977">
        <v>31</v>
      </c>
      <c r="C683" s="3512"/>
      <c r="D683" s="1037">
        <v>5</v>
      </c>
      <c r="E683" s="978" t="s">
        <v>133</v>
      </c>
      <c r="F683" s="979" t="s">
        <v>723</v>
      </c>
      <c r="G683" s="1381" t="s">
        <v>259</v>
      </c>
      <c r="H683" s="981">
        <v>310814</v>
      </c>
      <c r="I683" s="922" t="s">
        <v>183</v>
      </c>
      <c r="J683" s="922" t="s">
        <v>129</v>
      </c>
      <c r="K683" s="943" t="s">
        <v>296</v>
      </c>
      <c r="L683" s="936">
        <v>41845</v>
      </c>
      <c r="M683" s="982" t="s">
        <v>164</v>
      </c>
      <c r="N683" s="976">
        <v>41863</v>
      </c>
      <c r="O683" s="938" t="s">
        <v>280</v>
      </c>
    </row>
    <row r="684" spans="2:16" ht="16.5" hidden="1" customHeight="1" outlineLevel="1">
      <c r="B684" s="977">
        <v>32</v>
      </c>
      <c r="C684" s="3512"/>
      <c r="D684" s="1037">
        <v>6</v>
      </c>
      <c r="E684" s="978" t="s">
        <v>133</v>
      </c>
      <c r="F684" s="979" t="s">
        <v>723</v>
      </c>
      <c r="G684" s="1381" t="s">
        <v>259</v>
      </c>
      <c r="H684" s="981">
        <v>320814</v>
      </c>
      <c r="I684" s="922" t="s">
        <v>183</v>
      </c>
      <c r="J684" s="922" t="s">
        <v>129</v>
      </c>
      <c r="K684" s="943" t="s">
        <v>296</v>
      </c>
      <c r="L684" s="936">
        <v>41845</v>
      </c>
      <c r="M684" s="982" t="s">
        <v>164</v>
      </c>
      <c r="N684" s="976">
        <v>41863</v>
      </c>
      <c r="O684" s="938" t="s">
        <v>280</v>
      </c>
    </row>
    <row r="685" spans="2:16" ht="16.5" hidden="1" customHeight="1" outlineLevel="1">
      <c r="B685" s="977">
        <v>33</v>
      </c>
      <c r="C685" s="3512"/>
      <c r="D685" s="1037">
        <v>7</v>
      </c>
      <c r="E685" s="978" t="s">
        <v>133</v>
      </c>
      <c r="F685" s="979" t="s">
        <v>723</v>
      </c>
      <c r="G685" s="1381" t="s">
        <v>259</v>
      </c>
      <c r="H685" s="981">
        <v>330814</v>
      </c>
      <c r="I685" s="922" t="s">
        <v>183</v>
      </c>
      <c r="J685" s="922" t="s">
        <v>129</v>
      </c>
      <c r="K685" s="943" t="s">
        <v>296</v>
      </c>
      <c r="L685" s="936">
        <v>41845</v>
      </c>
      <c r="M685" s="982" t="s">
        <v>164</v>
      </c>
      <c r="N685" s="976">
        <v>41863</v>
      </c>
      <c r="O685" s="938" t="s">
        <v>280</v>
      </c>
    </row>
    <row r="686" spans="2:16" ht="16.5" hidden="1" customHeight="1" outlineLevel="1">
      <c r="B686" s="977">
        <v>34</v>
      </c>
      <c r="C686" s="3512"/>
      <c r="D686" s="1037">
        <v>8</v>
      </c>
      <c r="E686" s="978" t="s">
        <v>133</v>
      </c>
      <c r="F686" s="979" t="s">
        <v>723</v>
      </c>
      <c r="G686" s="1381" t="s">
        <v>259</v>
      </c>
      <c r="H686" s="981">
        <v>340814</v>
      </c>
      <c r="I686" s="922" t="s">
        <v>183</v>
      </c>
      <c r="J686" s="922" t="s">
        <v>129</v>
      </c>
      <c r="K686" s="943" t="s">
        <v>296</v>
      </c>
      <c r="L686" s="936">
        <v>41845</v>
      </c>
      <c r="M686" s="982" t="s">
        <v>164</v>
      </c>
      <c r="N686" s="976">
        <v>41863</v>
      </c>
      <c r="O686" s="938" t="s">
        <v>280</v>
      </c>
    </row>
    <row r="687" spans="2:16" ht="16.5" hidden="1" customHeight="1" outlineLevel="1">
      <c r="B687" s="977">
        <v>35</v>
      </c>
      <c r="C687" s="3512"/>
      <c r="D687" s="1037">
        <v>9</v>
      </c>
      <c r="E687" s="978" t="s">
        <v>133</v>
      </c>
      <c r="F687" s="979" t="s">
        <v>723</v>
      </c>
      <c r="G687" s="1381" t="s">
        <v>259</v>
      </c>
      <c r="H687" s="981">
        <v>350814</v>
      </c>
      <c r="I687" s="922" t="s">
        <v>183</v>
      </c>
      <c r="J687" s="922" t="s">
        <v>129</v>
      </c>
      <c r="K687" s="943" t="s">
        <v>296</v>
      </c>
      <c r="L687" s="936">
        <v>41845</v>
      </c>
      <c r="M687" s="982" t="s">
        <v>164</v>
      </c>
      <c r="N687" s="976">
        <v>41863</v>
      </c>
      <c r="O687" s="938" t="s">
        <v>280</v>
      </c>
    </row>
    <row r="688" spans="2:16" ht="16.5" hidden="1" customHeight="1" outlineLevel="1" thickBot="1">
      <c r="B688" s="977">
        <v>36</v>
      </c>
      <c r="C688" s="3512"/>
      <c r="D688" s="1098">
        <v>10</v>
      </c>
      <c r="E688" s="1298" t="s">
        <v>133</v>
      </c>
      <c r="F688" s="1294" t="s">
        <v>723</v>
      </c>
      <c r="G688" s="1385" t="s">
        <v>259</v>
      </c>
      <c r="H688" s="1161">
        <v>360814</v>
      </c>
      <c r="I688" s="1295" t="s">
        <v>183</v>
      </c>
      <c r="J688" s="1295" t="s">
        <v>129</v>
      </c>
      <c r="K688" s="1256" t="s">
        <v>296</v>
      </c>
      <c r="L688" s="1163">
        <v>41845</v>
      </c>
      <c r="M688" s="1299" t="s">
        <v>164</v>
      </c>
      <c r="N688" s="1258">
        <v>41863</v>
      </c>
      <c r="O688" s="1259" t="s">
        <v>280</v>
      </c>
    </row>
    <row r="689" spans="2:16" ht="16.5" hidden="1" customHeight="1" outlineLevel="1">
      <c r="B689" s="977">
        <v>37</v>
      </c>
      <c r="C689" s="3512"/>
      <c r="D689" s="1300">
        <v>1</v>
      </c>
      <c r="E689" s="941" t="s">
        <v>133</v>
      </c>
      <c r="F689" s="1260" t="s">
        <v>723</v>
      </c>
      <c r="G689" s="1381" t="s">
        <v>253</v>
      </c>
      <c r="H689" s="981">
        <v>370814</v>
      </c>
      <c r="I689" s="922" t="s">
        <v>179</v>
      </c>
      <c r="J689" s="922" t="s">
        <v>129</v>
      </c>
      <c r="K689" s="1154" t="s">
        <v>296</v>
      </c>
      <c r="L689" s="944">
        <v>41845</v>
      </c>
      <c r="M689" s="1301" t="s">
        <v>165</v>
      </c>
      <c r="N689" s="1156">
        <v>42238</v>
      </c>
      <c r="O689" s="947" t="s">
        <v>258</v>
      </c>
    </row>
    <row r="690" spans="2:16" ht="16.5" hidden="1" customHeight="1" outlineLevel="1" thickBot="1">
      <c r="B690" s="900">
        <v>38</v>
      </c>
      <c r="C690" s="3513"/>
      <c r="D690" s="1158">
        <v>2</v>
      </c>
      <c r="E690" s="1251" t="s">
        <v>133</v>
      </c>
      <c r="F690" s="1252" t="s">
        <v>723</v>
      </c>
      <c r="G690" s="1385" t="s">
        <v>253</v>
      </c>
      <c r="H690" s="1161">
        <v>380814</v>
      </c>
      <c r="I690" s="1295" t="s">
        <v>179</v>
      </c>
      <c r="J690" s="1295" t="s">
        <v>129</v>
      </c>
      <c r="K690" s="1162" t="s">
        <v>296</v>
      </c>
      <c r="L690" s="1163">
        <v>41845</v>
      </c>
      <c r="M690" s="1302" t="s">
        <v>165</v>
      </c>
      <c r="N690" s="1165">
        <v>42238</v>
      </c>
      <c r="O690" s="1259" t="s">
        <v>258</v>
      </c>
    </row>
    <row r="691" spans="2:16" ht="10.15" customHeight="1" collapsed="1" thickBot="1"/>
    <row r="692" spans="2:16" ht="16.5" hidden="1" customHeight="1" outlineLevel="1">
      <c r="B692" s="1283">
        <v>39</v>
      </c>
      <c r="C692" s="3509" t="s">
        <v>274</v>
      </c>
      <c r="D692" s="1300">
        <v>1</v>
      </c>
      <c r="E692" s="919" t="s">
        <v>133</v>
      </c>
      <c r="F692" s="1243" t="s">
        <v>723</v>
      </c>
      <c r="G692" s="1384" t="s">
        <v>253</v>
      </c>
      <c r="H692" s="920">
        <v>391114</v>
      </c>
      <c r="I692" s="1292" t="s">
        <v>179</v>
      </c>
      <c r="J692" s="1292" t="s">
        <v>129</v>
      </c>
      <c r="K692" s="1195" t="s">
        <v>297</v>
      </c>
      <c r="L692" s="924">
        <v>41950</v>
      </c>
      <c r="M692" s="1373" t="s">
        <v>152</v>
      </c>
      <c r="N692" s="1197"/>
      <c r="O692" s="1374" t="s">
        <v>411</v>
      </c>
    </row>
    <row r="693" spans="2:16" ht="16.5" hidden="1" customHeight="1" outlineLevel="1" thickBot="1">
      <c r="B693" s="900">
        <v>40</v>
      </c>
      <c r="C693" s="3510"/>
      <c r="D693" s="1158">
        <v>2</v>
      </c>
      <c r="E693" s="1251" t="s">
        <v>133</v>
      </c>
      <c r="F693" s="1252" t="s">
        <v>723</v>
      </c>
      <c r="G693" s="1385" t="s">
        <v>253</v>
      </c>
      <c r="H693" s="1161">
        <v>401114</v>
      </c>
      <c r="I693" s="1295" t="s">
        <v>179</v>
      </c>
      <c r="J693" s="1295" t="s">
        <v>129</v>
      </c>
      <c r="K693" s="1162" t="s">
        <v>297</v>
      </c>
      <c r="L693" s="1163">
        <v>41950</v>
      </c>
      <c r="M693" s="1375" t="s">
        <v>152</v>
      </c>
      <c r="N693" s="1165"/>
      <c r="O693" s="1376" t="s">
        <v>411</v>
      </c>
    </row>
    <row r="694" spans="2:16" ht="16.5" hidden="1" customHeight="1" outlineLevel="1">
      <c r="B694" s="977">
        <v>41</v>
      </c>
      <c r="C694" s="3510"/>
      <c r="D694" s="1300">
        <v>1</v>
      </c>
      <c r="E694" s="941" t="s">
        <v>133</v>
      </c>
      <c r="F694" s="1260" t="s">
        <v>723</v>
      </c>
      <c r="G694" s="1381" t="s">
        <v>253</v>
      </c>
      <c r="H694" s="981">
        <v>411114</v>
      </c>
      <c r="I694" s="922" t="s">
        <v>179</v>
      </c>
      <c r="J694" s="922" t="s">
        <v>129</v>
      </c>
      <c r="K694" s="1154" t="s">
        <v>297</v>
      </c>
      <c r="L694" s="944">
        <v>41950</v>
      </c>
      <c r="M694" s="1377" t="s">
        <v>155</v>
      </c>
      <c r="N694" s="1156"/>
      <c r="O694" s="947" t="s">
        <v>258</v>
      </c>
    </row>
    <row r="695" spans="2:16" ht="16.5" hidden="1" customHeight="1" outlineLevel="1" thickBot="1">
      <c r="B695" s="900">
        <v>42</v>
      </c>
      <c r="C695" s="3510"/>
      <c r="D695" s="1158">
        <v>2</v>
      </c>
      <c r="E695" s="1251" t="s">
        <v>133</v>
      </c>
      <c r="F695" s="1252" t="s">
        <v>723</v>
      </c>
      <c r="G695" s="1385" t="s">
        <v>253</v>
      </c>
      <c r="H695" s="1161">
        <v>421114</v>
      </c>
      <c r="I695" s="1295" t="s">
        <v>179</v>
      </c>
      <c r="J695" s="1295" t="s">
        <v>129</v>
      </c>
      <c r="K695" s="1162" t="s">
        <v>297</v>
      </c>
      <c r="L695" s="1163">
        <v>41950</v>
      </c>
      <c r="M695" s="1375" t="s">
        <v>155</v>
      </c>
      <c r="N695" s="1165"/>
      <c r="O695" s="1259" t="s">
        <v>258</v>
      </c>
    </row>
    <row r="696" spans="2:16" ht="16.5" hidden="1" customHeight="1" outlineLevel="1">
      <c r="B696" s="977">
        <v>43</v>
      </c>
      <c r="C696" s="3510"/>
      <c r="D696" s="1300">
        <v>1</v>
      </c>
      <c r="E696" s="941" t="s">
        <v>133</v>
      </c>
      <c r="F696" s="1260" t="s">
        <v>723</v>
      </c>
      <c r="G696" s="1381" t="s">
        <v>253</v>
      </c>
      <c r="H696" s="981">
        <v>431114</v>
      </c>
      <c r="I696" s="922" t="s">
        <v>179</v>
      </c>
      <c r="J696" s="922" t="s">
        <v>129</v>
      </c>
      <c r="K696" s="1154" t="s">
        <v>297</v>
      </c>
      <c r="L696" s="944">
        <v>41950</v>
      </c>
      <c r="M696" s="1377" t="s">
        <v>148</v>
      </c>
      <c r="N696" s="1156"/>
      <c r="O696" s="947" t="s">
        <v>258</v>
      </c>
    </row>
    <row r="697" spans="2:16" ht="16.5" hidden="1" customHeight="1" outlineLevel="1" thickBot="1">
      <c r="B697" s="900">
        <v>44</v>
      </c>
      <c r="C697" s="3511"/>
      <c r="D697" s="1158">
        <v>2</v>
      </c>
      <c r="E697" s="1251" t="s">
        <v>133</v>
      </c>
      <c r="F697" s="1252" t="s">
        <v>723</v>
      </c>
      <c r="G697" s="1385" t="s">
        <v>253</v>
      </c>
      <c r="H697" s="1161">
        <v>441114</v>
      </c>
      <c r="I697" s="1295" t="s">
        <v>179</v>
      </c>
      <c r="J697" s="1295" t="s">
        <v>129</v>
      </c>
      <c r="K697" s="1162" t="s">
        <v>297</v>
      </c>
      <c r="L697" s="1163">
        <v>41950</v>
      </c>
      <c r="M697" s="1375" t="s">
        <v>148</v>
      </c>
      <c r="N697" s="1165"/>
      <c r="O697" s="1259" t="s">
        <v>258</v>
      </c>
    </row>
    <row r="698" spans="2:16" ht="10.15" customHeight="1" collapsed="1" thickBot="1">
      <c r="D698" s="914"/>
      <c r="J698" s="1282"/>
    </row>
    <row r="699" spans="2:16" ht="15.2" hidden="1" customHeight="1" outlineLevel="1">
      <c r="B699" s="889">
        <v>45</v>
      </c>
      <c r="C699" s="3463" t="s">
        <v>276</v>
      </c>
      <c r="D699" s="1024">
        <v>1</v>
      </c>
      <c r="E699" s="917" t="s">
        <v>133</v>
      </c>
      <c r="F699" s="918" t="s">
        <v>723</v>
      </c>
      <c r="G699" s="1384" t="s">
        <v>253</v>
      </c>
      <c r="H699" s="920">
        <v>451214</v>
      </c>
      <c r="I699" s="1292" t="s">
        <v>179</v>
      </c>
      <c r="J699" s="922" t="s">
        <v>129</v>
      </c>
      <c r="K699" s="923" t="s">
        <v>298</v>
      </c>
      <c r="L699" s="924">
        <v>41992</v>
      </c>
      <c r="M699" s="925" t="s">
        <v>165</v>
      </c>
      <c r="N699" s="1248"/>
      <c r="O699" s="927" t="s">
        <v>258</v>
      </c>
      <c r="P699" s="928"/>
    </row>
    <row r="700" spans="2:16" hidden="1" outlineLevel="1">
      <c r="B700" s="889">
        <v>46</v>
      </c>
      <c r="C700" s="3464"/>
      <c r="D700" s="1264">
        <v>2</v>
      </c>
      <c r="E700" s="1265" t="s">
        <v>133</v>
      </c>
      <c r="F700" s="1266" t="s">
        <v>723</v>
      </c>
      <c r="G700" s="2522" t="s">
        <v>253</v>
      </c>
      <c r="H700" s="1267">
        <v>461214</v>
      </c>
      <c r="I700" s="1268" t="s">
        <v>179</v>
      </c>
      <c r="J700" s="1268" t="s">
        <v>129</v>
      </c>
      <c r="K700" s="1269" t="s">
        <v>298</v>
      </c>
      <c r="L700" s="1270">
        <v>41992</v>
      </c>
      <c r="M700" s="1271" t="s">
        <v>165</v>
      </c>
      <c r="N700" s="1272"/>
      <c r="O700" s="1273" t="s">
        <v>258</v>
      </c>
      <c r="P700" s="928"/>
    </row>
    <row r="701" spans="2:16" hidden="1" outlineLevel="1">
      <c r="B701" s="889">
        <v>47</v>
      </c>
      <c r="C701" s="3464"/>
      <c r="D701" s="1078">
        <v>3</v>
      </c>
      <c r="E701" s="939" t="s">
        <v>133</v>
      </c>
      <c r="F701" s="940" t="s">
        <v>723</v>
      </c>
      <c r="G701" s="1381" t="s">
        <v>259</v>
      </c>
      <c r="H701" s="894">
        <v>471214</v>
      </c>
      <c r="I701" s="922" t="s">
        <v>183</v>
      </c>
      <c r="J701" s="922" t="s">
        <v>129</v>
      </c>
      <c r="K701" s="943" t="s">
        <v>298</v>
      </c>
      <c r="L701" s="944">
        <v>41992</v>
      </c>
      <c r="M701" s="945" t="s">
        <v>165</v>
      </c>
      <c r="N701" s="1274"/>
      <c r="O701" s="947" t="s">
        <v>258</v>
      </c>
    </row>
    <row r="702" spans="2:16" hidden="1" outlineLevel="1">
      <c r="B702" s="889">
        <v>48</v>
      </c>
      <c r="C702" s="3464"/>
      <c r="D702" s="1037">
        <v>4</v>
      </c>
      <c r="E702" s="939" t="s">
        <v>133</v>
      </c>
      <c r="F702" s="940" t="s">
        <v>723</v>
      </c>
      <c r="G702" s="2508" t="s">
        <v>259</v>
      </c>
      <c r="H702" s="894">
        <v>481214</v>
      </c>
      <c r="I702" s="922" t="s">
        <v>183</v>
      </c>
      <c r="J702" s="922" t="s">
        <v>129</v>
      </c>
      <c r="K702" s="943" t="s">
        <v>298</v>
      </c>
      <c r="L702" s="936">
        <v>41992</v>
      </c>
      <c r="M702" s="945" t="s">
        <v>165</v>
      </c>
      <c r="N702" s="1275"/>
      <c r="O702" s="938" t="s">
        <v>258</v>
      </c>
    </row>
    <row r="703" spans="2:16" hidden="1" outlineLevel="1">
      <c r="B703" s="889">
        <v>49</v>
      </c>
      <c r="C703" s="3464"/>
      <c r="D703" s="1276">
        <v>5</v>
      </c>
      <c r="E703" s="949" t="s">
        <v>133</v>
      </c>
      <c r="F703" s="950" t="s">
        <v>723</v>
      </c>
      <c r="G703" s="1382" t="s">
        <v>259</v>
      </c>
      <c r="H703" s="894">
        <v>491214</v>
      </c>
      <c r="I703" s="922" t="s">
        <v>183</v>
      </c>
      <c r="J703" s="952" t="s">
        <v>129</v>
      </c>
      <c r="K703" s="953" t="s">
        <v>298</v>
      </c>
      <c r="L703" s="954">
        <v>41992</v>
      </c>
      <c r="M703" s="955" t="s">
        <v>165</v>
      </c>
      <c r="N703" s="1277"/>
      <c r="O703" s="957" t="s">
        <v>258</v>
      </c>
    </row>
    <row r="704" spans="2:16" hidden="1" outlineLevel="1">
      <c r="B704" s="889">
        <v>50</v>
      </c>
      <c r="C704" s="3465"/>
      <c r="D704" s="1037">
        <v>6</v>
      </c>
      <c r="E704" s="958" t="s">
        <v>133</v>
      </c>
      <c r="F704" s="959" t="s">
        <v>723</v>
      </c>
      <c r="G704" s="2508" t="s">
        <v>259</v>
      </c>
      <c r="H704" s="894">
        <v>501214</v>
      </c>
      <c r="I704" s="922" t="s">
        <v>183</v>
      </c>
      <c r="J704" s="934" t="s">
        <v>129</v>
      </c>
      <c r="K704" s="935" t="s">
        <v>298</v>
      </c>
      <c r="L704" s="936">
        <v>41992</v>
      </c>
      <c r="M704" s="960" t="s">
        <v>165</v>
      </c>
      <c r="N704" s="1275"/>
      <c r="O704" s="938" t="s">
        <v>258</v>
      </c>
    </row>
    <row r="705" spans="2:16" hidden="1" outlineLevel="1">
      <c r="B705" s="889">
        <v>51</v>
      </c>
      <c r="C705" s="3465"/>
      <c r="D705" s="1278">
        <v>7</v>
      </c>
      <c r="E705" s="891" t="s">
        <v>133</v>
      </c>
      <c r="F705" s="950" t="s">
        <v>723</v>
      </c>
      <c r="G705" s="2509" t="s">
        <v>259</v>
      </c>
      <c r="H705" s="894">
        <v>511214</v>
      </c>
      <c r="I705" s="922" t="s">
        <v>183</v>
      </c>
      <c r="J705" s="895" t="s">
        <v>129</v>
      </c>
      <c r="K705" s="896" t="s">
        <v>298</v>
      </c>
      <c r="L705" s="897">
        <v>41992</v>
      </c>
      <c r="M705" s="852" t="s">
        <v>165</v>
      </c>
      <c r="N705" s="1279"/>
      <c r="O705" s="899" t="s">
        <v>258</v>
      </c>
    </row>
    <row r="706" spans="2:16" hidden="1" outlineLevel="1">
      <c r="B706" s="889">
        <v>52</v>
      </c>
      <c r="C706" s="3465"/>
      <c r="D706" s="1278">
        <v>8</v>
      </c>
      <c r="E706" s="891" t="s">
        <v>133</v>
      </c>
      <c r="F706" s="892" t="s">
        <v>723</v>
      </c>
      <c r="G706" s="2509" t="s">
        <v>259</v>
      </c>
      <c r="H706" s="894">
        <v>521214</v>
      </c>
      <c r="I706" s="922" t="s">
        <v>183</v>
      </c>
      <c r="J706" s="895" t="s">
        <v>129</v>
      </c>
      <c r="K706" s="896" t="s">
        <v>298</v>
      </c>
      <c r="L706" s="897">
        <v>41992</v>
      </c>
      <c r="M706" s="852" t="s">
        <v>165</v>
      </c>
      <c r="N706" s="1279"/>
      <c r="O706" s="899" t="s">
        <v>258</v>
      </c>
    </row>
    <row r="707" spans="2:16" hidden="1" outlineLevel="1">
      <c r="B707" s="889">
        <v>53</v>
      </c>
      <c r="C707" s="3465"/>
      <c r="D707" s="1278">
        <v>9</v>
      </c>
      <c r="E707" s="891" t="s">
        <v>133</v>
      </c>
      <c r="F707" s="892" t="s">
        <v>723</v>
      </c>
      <c r="G707" s="2509" t="s">
        <v>259</v>
      </c>
      <c r="H707" s="894">
        <v>531214</v>
      </c>
      <c r="I707" s="922" t="s">
        <v>183</v>
      </c>
      <c r="J707" s="895" t="s">
        <v>129</v>
      </c>
      <c r="K707" s="896" t="s">
        <v>298</v>
      </c>
      <c r="L707" s="897">
        <v>41992</v>
      </c>
      <c r="M707" s="852" t="s">
        <v>165</v>
      </c>
      <c r="N707" s="1279"/>
      <c r="O707" s="899" t="s">
        <v>258</v>
      </c>
    </row>
    <row r="708" spans="2:16" ht="15.75" hidden="1" outlineLevel="1" thickBot="1">
      <c r="B708" s="889">
        <v>54</v>
      </c>
      <c r="C708" s="3466"/>
      <c r="D708" s="1280">
        <v>10</v>
      </c>
      <c r="E708" s="903" t="s">
        <v>133</v>
      </c>
      <c r="F708" s="904" t="s">
        <v>723</v>
      </c>
      <c r="G708" s="2516" t="s">
        <v>259</v>
      </c>
      <c r="H708" s="906">
        <v>541214</v>
      </c>
      <c r="I708" s="1295" t="s">
        <v>183</v>
      </c>
      <c r="J708" s="908" t="s">
        <v>129</v>
      </c>
      <c r="K708" s="909" t="s">
        <v>298</v>
      </c>
      <c r="L708" s="910">
        <v>41992</v>
      </c>
      <c r="M708" s="911" t="s">
        <v>165</v>
      </c>
      <c r="N708" s="1281"/>
      <c r="O708" s="913" t="s">
        <v>258</v>
      </c>
    </row>
    <row r="709" spans="2:16" ht="20.25" collapsed="1">
      <c r="D709" s="914"/>
    </row>
    <row r="710" spans="2:16" ht="21" thickBot="1">
      <c r="C710" s="867" t="s">
        <v>299</v>
      </c>
      <c r="D710" s="914"/>
    </row>
    <row r="711" spans="2:16" ht="15.75" thickBot="1">
      <c r="M711" s="3490" t="s">
        <v>175</v>
      </c>
      <c r="N711" s="3491"/>
      <c r="O711" s="915">
        <v>41377</v>
      </c>
    </row>
    <row r="712" spans="2:16" s="463" customFormat="1" ht="20.100000000000001" customHeight="1" thickBot="1">
      <c r="B712" s="874" t="s">
        <v>704</v>
      </c>
      <c r="C712" s="875" t="s">
        <v>113</v>
      </c>
      <c r="D712" s="876" t="s">
        <v>176</v>
      </c>
      <c r="E712" s="877" t="s">
        <v>114</v>
      </c>
      <c r="F712" s="878" t="s">
        <v>705</v>
      </c>
      <c r="G712" s="2507" t="s">
        <v>115</v>
      </c>
      <c r="H712" s="880" t="s">
        <v>116</v>
      </c>
      <c r="I712" s="2554" t="s">
        <v>117</v>
      </c>
      <c r="J712" s="882" t="s">
        <v>118</v>
      </c>
      <c r="K712" s="883" t="s">
        <v>119</v>
      </c>
      <c r="L712" s="884" t="s">
        <v>713</v>
      </c>
      <c r="M712" s="1378" t="s">
        <v>120</v>
      </c>
      <c r="N712" s="1379" t="s">
        <v>121</v>
      </c>
      <c r="O712" s="887" t="s">
        <v>719</v>
      </c>
    </row>
    <row r="713" spans="2:16" ht="18.95" hidden="1" customHeight="1" outlineLevel="1" thickTop="1">
      <c r="B713" s="977">
        <v>1</v>
      </c>
      <c r="C713" s="3514" t="s">
        <v>252</v>
      </c>
      <c r="D713" s="1380">
        <v>1</v>
      </c>
      <c r="E713" s="1381" t="s">
        <v>733</v>
      </c>
      <c r="F713" s="1260" t="s">
        <v>732</v>
      </c>
      <c r="G713" s="1381" t="s">
        <v>300</v>
      </c>
      <c r="H713" s="981" t="s">
        <v>301</v>
      </c>
      <c r="I713" s="922" t="s">
        <v>179</v>
      </c>
      <c r="J713" s="922" t="s">
        <v>304</v>
      </c>
      <c r="K713" s="1154" t="s">
        <v>305</v>
      </c>
      <c r="L713" s="944">
        <v>41295</v>
      </c>
      <c r="M713" s="1155" t="s">
        <v>148</v>
      </c>
      <c r="N713" s="1156">
        <v>41295</v>
      </c>
      <c r="O713" s="1157" t="s">
        <v>198</v>
      </c>
      <c r="P713" s="928"/>
    </row>
    <row r="714" spans="2:16" ht="18.75" hidden="1" outlineLevel="1" thickBot="1">
      <c r="B714" s="889">
        <v>2</v>
      </c>
      <c r="C714" s="3512"/>
      <c r="D714" s="1158">
        <v>2</v>
      </c>
      <c r="E714" s="1382" t="s">
        <v>733</v>
      </c>
      <c r="F714" s="1383" t="s">
        <v>732</v>
      </c>
      <c r="G714" s="1382" t="s">
        <v>300</v>
      </c>
      <c r="H714" s="1161" t="s">
        <v>306</v>
      </c>
      <c r="I714" s="1295" t="s">
        <v>179</v>
      </c>
      <c r="J714" s="1295" t="s">
        <v>304</v>
      </c>
      <c r="K714" s="1162" t="s">
        <v>305</v>
      </c>
      <c r="L714" s="1163">
        <v>41295</v>
      </c>
      <c r="M714" s="1164" t="s">
        <v>148</v>
      </c>
      <c r="N714" s="1165">
        <v>41295</v>
      </c>
      <c r="O714" s="1166" t="s">
        <v>198</v>
      </c>
      <c r="P714" s="928"/>
    </row>
    <row r="715" spans="2:16" ht="18" hidden="1" outlineLevel="1">
      <c r="B715" s="889">
        <v>3</v>
      </c>
      <c r="C715" s="3512"/>
      <c r="D715" s="349">
        <v>1</v>
      </c>
      <c r="E715" s="1384" t="s">
        <v>733</v>
      </c>
      <c r="F715" s="1243" t="s">
        <v>732</v>
      </c>
      <c r="G715" s="1384" t="s">
        <v>300</v>
      </c>
      <c r="H715" s="981" t="s">
        <v>307</v>
      </c>
      <c r="I715" s="922" t="s">
        <v>179</v>
      </c>
      <c r="J715" s="922" t="s">
        <v>304</v>
      </c>
      <c r="K715" s="1154" t="s">
        <v>305</v>
      </c>
      <c r="L715" s="944">
        <v>41295</v>
      </c>
      <c r="M715" s="1155" t="s">
        <v>193</v>
      </c>
      <c r="N715" s="1156">
        <v>41299</v>
      </c>
      <c r="O715" s="1157" t="s">
        <v>198</v>
      </c>
      <c r="P715" s="928"/>
    </row>
    <row r="716" spans="2:16" ht="18.75" hidden="1" outlineLevel="1" thickBot="1">
      <c r="B716" s="889">
        <v>4</v>
      </c>
      <c r="C716" s="3512"/>
      <c r="D716" s="1158">
        <v>2</v>
      </c>
      <c r="E716" s="1385" t="s">
        <v>733</v>
      </c>
      <c r="F716" s="1252" t="s">
        <v>732</v>
      </c>
      <c r="G716" s="1385" t="s">
        <v>300</v>
      </c>
      <c r="H716" s="1161" t="s">
        <v>308</v>
      </c>
      <c r="I716" s="1295" t="s">
        <v>179</v>
      </c>
      <c r="J716" s="1295" t="s">
        <v>304</v>
      </c>
      <c r="K716" s="1162" t="s">
        <v>305</v>
      </c>
      <c r="L716" s="1163">
        <v>41295</v>
      </c>
      <c r="M716" s="1164" t="s">
        <v>193</v>
      </c>
      <c r="N716" s="1165">
        <v>41299</v>
      </c>
      <c r="O716" s="1166" t="s">
        <v>198</v>
      </c>
      <c r="P716" s="928"/>
    </row>
    <row r="717" spans="2:16" ht="18" hidden="1" outlineLevel="1">
      <c r="B717" s="889">
        <v>5</v>
      </c>
      <c r="C717" s="3512"/>
      <c r="D717" s="349">
        <v>1</v>
      </c>
      <c r="E717" s="1381" t="s">
        <v>733</v>
      </c>
      <c r="F717" s="1260" t="s">
        <v>732</v>
      </c>
      <c r="G717" s="1381" t="s">
        <v>300</v>
      </c>
      <c r="H717" s="981" t="s">
        <v>309</v>
      </c>
      <c r="I717" s="922" t="s">
        <v>179</v>
      </c>
      <c r="J717" s="922" t="s">
        <v>304</v>
      </c>
      <c r="K717" s="1154" t="s">
        <v>305</v>
      </c>
      <c r="L717" s="944">
        <v>41295</v>
      </c>
      <c r="M717" s="1155" t="s">
        <v>164</v>
      </c>
      <c r="N717" s="1156">
        <v>41297</v>
      </c>
      <c r="O717" s="1157" t="s">
        <v>198</v>
      </c>
      <c r="P717" s="928"/>
    </row>
    <row r="718" spans="2:16" ht="18.75" hidden="1" outlineLevel="1" thickBot="1">
      <c r="B718" s="889">
        <v>6</v>
      </c>
      <c r="C718" s="3512"/>
      <c r="D718" s="1158">
        <v>2</v>
      </c>
      <c r="E718" s="1382" t="s">
        <v>733</v>
      </c>
      <c r="F718" s="1383" t="s">
        <v>732</v>
      </c>
      <c r="G718" s="1382" t="s">
        <v>300</v>
      </c>
      <c r="H718" s="1161" t="s">
        <v>310</v>
      </c>
      <c r="I718" s="1295" t="s">
        <v>179</v>
      </c>
      <c r="J718" s="1295" t="s">
        <v>304</v>
      </c>
      <c r="K718" s="1162" t="s">
        <v>305</v>
      </c>
      <c r="L718" s="1163">
        <v>41295</v>
      </c>
      <c r="M718" s="1164" t="s">
        <v>164</v>
      </c>
      <c r="N718" s="1165">
        <v>41297</v>
      </c>
      <c r="O718" s="1166" t="s">
        <v>198</v>
      </c>
      <c r="P718" s="928"/>
    </row>
    <row r="719" spans="2:16" ht="18" hidden="1" outlineLevel="1">
      <c r="B719" s="889">
        <v>7</v>
      </c>
      <c r="C719" s="3512"/>
      <c r="D719" s="349">
        <v>1</v>
      </c>
      <c r="E719" s="1384" t="s">
        <v>733</v>
      </c>
      <c r="F719" s="1243" t="s">
        <v>732</v>
      </c>
      <c r="G719" s="1384" t="s">
        <v>300</v>
      </c>
      <c r="H719" s="981" t="s">
        <v>311</v>
      </c>
      <c r="I719" s="922" t="s">
        <v>179</v>
      </c>
      <c r="J719" s="922" t="s">
        <v>304</v>
      </c>
      <c r="K719" s="1154" t="s">
        <v>305</v>
      </c>
      <c r="L719" s="944">
        <v>41295</v>
      </c>
      <c r="M719" s="1155" t="s">
        <v>312</v>
      </c>
      <c r="N719" s="1156">
        <v>41298</v>
      </c>
      <c r="O719" s="1157" t="s">
        <v>198</v>
      </c>
      <c r="P719" s="928"/>
    </row>
    <row r="720" spans="2:16" ht="18.75" hidden="1" outlineLevel="1" thickBot="1">
      <c r="B720" s="900">
        <v>8</v>
      </c>
      <c r="C720" s="3512"/>
      <c r="D720" s="1386">
        <v>2</v>
      </c>
      <c r="E720" s="1387" t="s">
        <v>733</v>
      </c>
      <c r="F720" s="1388" t="s">
        <v>732</v>
      </c>
      <c r="G720" s="1387" t="s">
        <v>300</v>
      </c>
      <c r="H720" s="1389" t="s">
        <v>313</v>
      </c>
      <c r="I720" s="1390" t="s">
        <v>179</v>
      </c>
      <c r="J720" s="1390" t="s">
        <v>304</v>
      </c>
      <c r="K720" s="1391" t="s">
        <v>305</v>
      </c>
      <c r="L720" s="1392">
        <v>41295</v>
      </c>
      <c r="M720" s="1393" t="s">
        <v>312</v>
      </c>
      <c r="N720" s="1394">
        <v>41298</v>
      </c>
      <c r="O720" s="1395" t="s">
        <v>198</v>
      </c>
      <c r="P720" s="928"/>
    </row>
    <row r="721" spans="2:16" hidden="1" outlineLevel="1">
      <c r="B721" s="977">
        <v>9</v>
      </c>
      <c r="C721" s="3512"/>
      <c r="D721" s="1078">
        <v>1</v>
      </c>
      <c r="E721" s="978" t="s">
        <v>133</v>
      </c>
      <c r="F721" s="979" t="s">
        <v>723</v>
      </c>
      <c r="G721" s="1381" t="s">
        <v>253</v>
      </c>
      <c r="H721" s="981" t="s">
        <v>314</v>
      </c>
      <c r="I721" s="922" t="s">
        <v>179</v>
      </c>
      <c r="J721" s="922" t="s">
        <v>129</v>
      </c>
      <c r="K721" s="943" t="s">
        <v>315</v>
      </c>
      <c r="L721" s="944">
        <v>41304</v>
      </c>
      <c r="M721" s="982" t="s">
        <v>168</v>
      </c>
      <c r="N721" s="983">
        <v>41304</v>
      </c>
      <c r="O721" s="1296" t="s">
        <v>279</v>
      </c>
    </row>
    <row r="722" spans="2:16" hidden="1" outlineLevel="1">
      <c r="B722" s="977">
        <v>10</v>
      </c>
      <c r="C722" s="3512"/>
      <c r="D722" s="1037">
        <v>2</v>
      </c>
      <c r="E722" s="930" t="s">
        <v>133</v>
      </c>
      <c r="F722" s="931" t="s">
        <v>723</v>
      </c>
      <c r="G722" s="2508" t="s">
        <v>253</v>
      </c>
      <c r="H722" s="981" t="s">
        <v>316</v>
      </c>
      <c r="I722" s="934" t="s">
        <v>179</v>
      </c>
      <c r="J722" s="934" t="s">
        <v>129</v>
      </c>
      <c r="K722" s="935" t="s">
        <v>315</v>
      </c>
      <c r="L722" s="936">
        <v>41304</v>
      </c>
      <c r="M722" s="846" t="s">
        <v>168</v>
      </c>
      <c r="N722" s="976">
        <v>41304</v>
      </c>
      <c r="O722" s="938" t="s">
        <v>279</v>
      </c>
    </row>
    <row r="723" spans="2:16" hidden="1" outlineLevel="1">
      <c r="B723" s="977">
        <v>11</v>
      </c>
      <c r="C723" s="3512"/>
      <c r="D723" s="1078">
        <v>3</v>
      </c>
      <c r="E723" s="978" t="s">
        <v>133</v>
      </c>
      <c r="F723" s="979" t="s">
        <v>723</v>
      </c>
      <c r="G723" s="1381" t="s">
        <v>259</v>
      </c>
      <c r="H723" s="981" t="s">
        <v>317</v>
      </c>
      <c r="I723" s="922" t="s">
        <v>183</v>
      </c>
      <c r="J723" s="922" t="s">
        <v>129</v>
      </c>
      <c r="K723" s="943" t="s">
        <v>315</v>
      </c>
      <c r="L723" s="936">
        <v>41304</v>
      </c>
      <c r="M723" s="982" t="s">
        <v>168</v>
      </c>
      <c r="N723" s="976">
        <v>41304</v>
      </c>
      <c r="O723" s="938" t="s">
        <v>279</v>
      </c>
    </row>
    <row r="724" spans="2:16" hidden="1" outlineLevel="1">
      <c r="B724" s="977">
        <v>12</v>
      </c>
      <c r="C724" s="3512"/>
      <c r="D724" s="1037">
        <v>4</v>
      </c>
      <c r="E724" s="978" t="s">
        <v>133</v>
      </c>
      <c r="F724" s="979" t="s">
        <v>723</v>
      </c>
      <c r="G724" s="1381" t="s">
        <v>259</v>
      </c>
      <c r="H724" s="981" t="s">
        <v>318</v>
      </c>
      <c r="I724" s="922" t="s">
        <v>183</v>
      </c>
      <c r="J724" s="922" t="s">
        <v>129</v>
      </c>
      <c r="K724" s="943" t="s">
        <v>315</v>
      </c>
      <c r="L724" s="936">
        <v>41304</v>
      </c>
      <c r="M724" s="982" t="s">
        <v>168</v>
      </c>
      <c r="N724" s="976">
        <v>41304</v>
      </c>
      <c r="O724" s="938" t="s">
        <v>279</v>
      </c>
    </row>
    <row r="725" spans="2:16" hidden="1" outlineLevel="1">
      <c r="B725" s="977">
        <v>13</v>
      </c>
      <c r="C725" s="3512"/>
      <c r="D725" s="1037">
        <v>5</v>
      </c>
      <c r="E725" s="978" t="s">
        <v>133</v>
      </c>
      <c r="F725" s="979" t="s">
        <v>723</v>
      </c>
      <c r="G725" s="1381" t="s">
        <v>259</v>
      </c>
      <c r="H725" s="981" t="s">
        <v>319</v>
      </c>
      <c r="I725" s="922" t="s">
        <v>183</v>
      </c>
      <c r="J725" s="922" t="s">
        <v>129</v>
      </c>
      <c r="K725" s="943" t="s">
        <v>315</v>
      </c>
      <c r="L725" s="936">
        <v>41304</v>
      </c>
      <c r="M725" s="982" t="s">
        <v>168</v>
      </c>
      <c r="N725" s="976">
        <v>41304</v>
      </c>
      <c r="O725" s="938" t="s">
        <v>279</v>
      </c>
    </row>
    <row r="726" spans="2:16" hidden="1" outlineLevel="1">
      <c r="B726" s="977">
        <v>14</v>
      </c>
      <c r="C726" s="3512"/>
      <c r="D726" s="1037">
        <v>6</v>
      </c>
      <c r="E726" s="978" t="s">
        <v>133</v>
      </c>
      <c r="F726" s="979" t="s">
        <v>723</v>
      </c>
      <c r="G726" s="1381" t="s">
        <v>259</v>
      </c>
      <c r="H726" s="981" t="s">
        <v>321</v>
      </c>
      <c r="I726" s="922" t="s">
        <v>183</v>
      </c>
      <c r="J726" s="922" t="s">
        <v>129</v>
      </c>
      <c r="K726" s="943" t="s">
        <v>315</v>
      </c>
      <c r="L726" s="936">
        <v>41304</v>
      </c>
      <c r="M726" s="982" t="s">
        <v>168</v>
      </c>
      <c r="N726" s="976">
        <v>41304</v>
      </c>
      <c r="O726" s="938" t="s">
        <v>279</v>
      </c>
    </row>
    <row r="727" spans="2:16" hidden="1" outlineLevel="1">
      <c r="B727" s="977">
        <v>15</v>
      </c>
      <c r="C727" s="3512"/>
      <c r="D727" s="1037">
        <v>7</v>
      </c>
      <c r="E727" s="978" t="s">
        <v>133</v>
      </c>
      <c r="F727" s="979" t="s">
        <v>723</v>
      </c>
      <c r="G727" s="1381" t="s">
        <v>259</v>
      </c>
      <c r="H727" s="1396" t="s">
        <v>322</v>
      </c>
      <c r="I727" s="922" t="s">
        <v>183</v>
      </c>
      <c r="J727" s="922" t="s">
        <v>129</v>
      </c>
      <c r="K727" s="943" t="s">
        <v>315</v>
      </c>
      <c r="L727" s="936">
        <v>41304</v>
      </c>
      <c r="M727" s="982" t="s">
        <v>168</v>
      </c>
      <c r="N727" s="976">
        <v>41304</v>
      </c>
      <c r="O727" s="938" t="s">
        <v>279</v>
      </c>
    </row>
    <row r="728" spans="2:16" hidden="1" outlineLevel="1">
      <c r="B728" s="977">
        <v>16</v>
      </c>
      <c r="C728" s="3512"/>
      <c r="D728" s="1037">
        <v>8</v>
      </c>
      <c r="E728" s="978" t="s">
        <v>133</v>
      </c>
      <c r="F728" s="979" t="s">
        <v>723</v>
      </c>
      <c r="G728" s="1381" t="s">
        <v>259</v>
      </c>
      <c r="H728" s="981" t="s">
        <v>323</v>
      </c>
      <c r="I728" s="922" t="s">
        <v>183</v>
      </c>
      <c r="J728" s="922" t="s">
        <v>129</v>
      </c>
      <c r="K728" s="943" t="s">
        <v>315</v>
      </c>
      <c r="L728" s="936">
        <v>41304</v>
      </c>
      <c r="M728" s="982" t="s">
        <v>168</v>
      </c>
      <c r="N728" s="976">
        <v>41304</v>
      </c>
      <c r="O728" s="938" t="s">
        <v>279</v>
      </c>
    </row>
    <row r="729" spans="2:16" hidden="1" outlineLevel="1">
      <c r="B729" s="977">
        <v>17</v>
      </c>
      <c r="C729" s="3512"/>
      <c r="D729" s="1037">
        <v>9</v>
      </c>
      <c r="E729" s="978" t="s">
        <v>133</v>
      </c>
      <c r="F729" s="979" t="s">
        <v>723</v>
      </c>
      <c r="G729" s="1381" t="s">
        <v>259</v>
      </c>
      <c r="H729" s="981" t="s">
        <v>324</v>
      </c>
      <c r="I729" s="922" t="s">
        <v>183</v>
      </c>
      <c r="J729" s="922" t="s">
        <v>129</v>
      </c>
      <c r="K729" s="943" t="s">
        <v>315</v>
      </c>
      <c r="L729" s="936">
        <v>41304</v>
      </c>
      <c r="M729" s="982" t="s">
        <v>168</v>
      </c>
      <c r="N729" s="976">
        <v>41304</v>
      </c>
      <c r="O729" s="938" t="s">
        <v>279</v>
      </c>
    </row>
    <row r="730" spans="2:16" ht="15.75" hidden="1" outlineLevel="1" thickBot="1">
      <c r="B730" s="900">
        <v>18</v>
      </c>
      <c r="C730" s="3513"/>
      <c r="D730" s="1098">
        <v>10</v>
      </c>
      <c r="E730" s="1298" t="s">
        <v>133</v>
      </c>
      <c r="F730" s="1294" t="s">
        <v>723</v>
      </c>
      <c r="G730" s="1385" t="s">
        <v>259</v>
      </c>
      <c r="H730" s="1161" t="s">
        <v>325</v>
      </c>
      <c r="I730" s="1295" t="s">
        <v>183</v>
      </c>
      <c r="J730" s="1295" t="s">
        <v>129</v>
      </c>
      <c r="K730" s="1256" t="s">
        <v>315</v>
      </c>
      <c r="L730" s="1163">
        <v>41304</v>
      </c>
      <c r="M730" s="1299" t="s">
        <v>168</v>
      </c>
      <c r="N730" s="1258">
        <v>41304</v>
      </c>
      <c r="O730" s="1259" t="s">
        <v>279</v>
      </c>
    </row>
    <row r="731" spans="2:16" ht="10.15" customHeight="1" collapsed="1" thickTop="1" thickBot="1">
      <c r="O731" s="1008"/>
    </row>
    <row r="732" spans="2:16" s="463" customFormat="1" ht="20.100000000000001" customHeight="1" thickBot="1">
      <c r="B732" s="874" t="s">
        <v>704</v>
      </c>
      <c r="C732" s="875" t="s">
        <v>113</v>
      </c>
      <c r="D732" s="876" t="s">
        <v>176</v>
      </c>
      <c r="E732" s="877" t="s">
        <v>114</v>
      </c>
      <c r="F732" s="878" t="s">
        <v>705</v>
      </c>
      <c r="G732" s="2507" t="s">
        <v>115</v>
      </c>
      <c r="H732" s="880" t="s">
        <v>116</v>
      </c>
      <c r="I732" s="2554" t="s">
        <v>117</v>
      </c>
      <c r="J732" s="882" t="s">
        <v>118</v>
      </c>
      <c r="K732" s="883" t="s">
        <v>119</v>
      </c>
      <c r="L732" s="884" t="s">
        <v>713</v>
      </c>
      <c r="M732" s="885" t="s">
        <v>120</v>
      </c>
      <c r="N732" s="886" t="s">
        <v>121</v>
      </c>
      <c r="O732" s="887" t="s">
        <v>719</v>
      </c>
    </row>
    <row r="733" spans="2:16" ht="18.95" hidden="1" customHeight="1" outlineLevel="1" thickTop="1">
      <c r="B733" s="977">
        <v>1</v>
      </c>
      <c r="C733" s="3514" t="s">
        <v>262</v>
      </c>
      <c r="D733" s="1078">
        <v>1</v>
      </c>
      <c r="E733" s="978" t="s">
        <v>133</v>
      </c>
      <c r="F733" s="979" t="s">
        <v>723</v>
      </c>
      <c r="G733" s="1381" t="s">
        <v>253</v>
      </c>
      <c r="H733" s="981" t="s">
        <v>326</v>
      </c>
      <c r="I733" s="922" t="s">
        <v>179</v>
      </c>
      <c r="J733" s="922" t="s">
        <v>129</v>
      </c>
      <c r="K733" s="943" t="s">
        <v>327</v>
      </c>
      <c r="L733" s="944">
        <v>41375</v>
      </c>
      <c r="M733" s="982" t="s">
        <v>154</v>
      </c>
      <c r="N733" s="983">
        <v>41377</v>
      </c>
      <c r="O733" s="1296" t="s">
        <v>279</v>
      </c>
      <c r="P733" s="928"/>
    </row>
    <row r="734" spans="2:16" hidden="1" outlineLevel="1">
      <c r="B734" s="889">
        <v>2</v>
      </c>
      <c r="C734" s="3512"/>
      <c r="D734" s="1037">
        <v>2</v>
      </c>
      <c r="E734" s="930" t="s">
        <v>133</v>
      </c>
      <c r="F734" s="931" t="s">
        <v>723</v>
      </c>
      <c r="G734" s="2508" t="s">
        <v>253</v>
      </c>
      <c r="H734" s="981" t="s">
        <v>328</v>
      </c>
      <c r="I734" s="934" t="s">
        <v>179</v>
      </c>
      <c r="J734" s="934" t="s">
        <v>129</v>
      </c>
      <c r="K734" s="935" t="s">
        <v>327</v>
      </c>
      <c r="L734" s="936">
        <v>41375</v>
      </c>
      <c r="M734" s="846" t="s">
        <v>154</v>
      </c>
      <c r="N734" s="976">
        <v>41377</v>
      </c>
      <c r="O734" s="938" t="s">
        <v>279</v>
      </c>
      <c r="P734" s="928">
        <v>123</v>
      </c>
    </row>
    <row r="735" spans="2:16" hidden="1" outlineLevel="1">
      <c r="B735" s="977">
        <v>3</v>
      </c>
      <c r="C735" s="3512"/>
      <c r="D735" s="1078">
        <v>3</v>
      </c>
      <c r="E735" s="978" t="s">
        <v>133</v>
      </c>
      <c r="F735" s="979" t="s">
        <v>723</v>
      </c>
      <c r="G735" s="1381" t="s">
        <v>259</v>
      </c>
      <c r="H735" s="981" t="s">
        <v>329</v>
      </c>
      <c r="I735" s="922" t="s">
        <v>183</v>
      </c>
      <c r="J735" s="922" t="s">
        <v>129</v>
      </c>
      <c r="K735" s="943" t="s">
        <v>327</v>
      </c>
      <c r="L735" s="936">
        <v>41375</v>
      </c>
      <c r="M735" s="982" t="s">
        <v>154</v>
      </c>
      <c r="N735" s="976">
        <v>41377</v>
      </c>
      <c r="O735" s="938" t="s">
        <v>279</v>
      </c>
    </row>
    <row r="736" spans="2:16" hidden="1" outlineLevel="1">
      <c r="B736" s="977">
        <v>4</v>
      </c>
      <c r="C736" s="3512"/>
      <c r="D736" s="1037">
        <v>4</v>
      </c>
      <c r="E736" s="978" t="s">
        <v>133</v>
      </c>
      <c r="F736" s="979" t="s">
        <v>723</v>
      </c>
      <c r="G736" s="1381" t="s">
        <v>259</v>
      </c>
      <c r="H736" s="981" t="s">
        <v>330</v>
      </c>
      <c r="I736" s="922" t="s">
        <v>183</v>
      </c>
      <c r="J736" s="922" t="s">
        <v>129</v>
      </c>
      <c r="K736" s="943" t="s">
        <v>327</v>
      </c>
      <c r="L736" s="936">
        <v>41375</v>
      </c>
      <c r="M736" s="982" t="s">
        <v>154</v>
      </c>
      <c r="N736" s="976">
        <v>41377</v>
      </c>
      <c r="O736" s="938" t="s">
        <v>279</v>
      </c>
    </row>
    <row r="737" spans="2:16" hidden="1" outlineLevel="1">
      <c r="B737" s="977">
        <v>5</v>
      </c>
      <c r="C737" s="3512"/>
      <c r="D737" s="1037">
        <v>5</v>
      </c>
      <c r="E737" s="978" t="s">
        <v>133</v>
      </c>
      <c r="F737" s="979" t="s">
        <v>723</v>
      </c>
      <c r="G737" s="1381" t="s">
        <v>259</v>
      </c>
      <c r="H737" s="981" t="s">
        <v>331</v>
      </c>
      <c r="I737" s="922" t="s">
        <v>183</v>
      </c>
      <c r="J737" s="922" t="s">
        <v>129</v>
      </c>
      <c r="K737" s="943" t="s">
        <v>327</v>
      </c>
      <c r="L737" s="936">
        <v>41375</v>
      </c>
      <c r="M737" s="982" t="s">
        <v>154</v>
      </c>
      <c r="N737" s="976">
        <v>41377</v>
      </c>
      <c r="O737" s="938" t="s">
        <v>279</v>
      </c>
    </row>
    <row r="738" spans="2:16" hidden="1" outlineLevel="1">
      <c r="B738" s="977">
        <v>6</v>
      </c>
      <c r="C738" s="3512"/>
      <c r="D738" s="1037">
        <v>6</v>
      </c>
      <c r="E738" s="978" t="s">
        <v>133</v>
      </c>
      <c r="F738" s="979" t="s">
        <v>723</v>
      </c>
      <c r="G738" s="1381" t="s">
        <v>259</v>
      </c>
      <c r="H738" s="981" t="s">
        <v>332</v>
      </c>
      <c r="I738" s="922" t="s">
        <v>183</v>
      </c>
      <c r="J738" s="922" t="s">
        <v>129</v>
      </c>
      <c r="K738" s="943" t="s">
        <v>327</v>
      </c>
      <c r="L738" s="936">
        <v>41375</v>
      </c>
      <c r="M738" s="982" t="s">
        <v>154</v>
      </c>
      <c r="N738" s="976">
        <v>41377</v>
      </c>
      <c r="O738" s="938" t="s">
        <v>279</v>
      </c>
    </row>
    <row r="739" spans="2:16" hidden="1" outlineLevel="1">
      <c r="B739" s="977">
        <v>7</v>
      </c>
      <c r="C739" s="3512"/>
      <c r="D739" s="1037">
        <v>7</v>
      </c>
      <c r="E739" s="978" t="s">
        <v>133</v>
      </c>
      <c r="F739" s="979" t="s">
        <v>723</v>
      </c>
      <c r="G739" s="1381" t="s">
        <v>259</v>
      </c>
      <c r="H739" s="981" t="s">
        <v>333</v>
      </c>
      <c r="I739" s="922" t="s">
        <v>183</v>
      </c>
      <c r="J739" s="922" t="s">
        <v>129</v>
      </c>
      <c r="K739" s="943" t="s">
        <v>327</v>
      </c>
      <c r="L739" s="936">
        <v>41375</v>
      </c>
      <c r="M739" s="982" t="s">
        <v>154</v>
      </c>
      <c r="N739" s="976">
        <v>41377</v>
      </c>
      <c r="O739" s="938" t="s">
        <v>279</v>
      </c>
    </row>
    <row r="740" spans="2:16" hidden="1" outlineLevel="1">
      <c r="B740" s="977">
        <v>8</v>
      </c>
      <c r="C740" s="3512"/>
      <c r="D740" s="1037">
        <v>8</v>
      </c>
      <c r="E740" s="978" t="s">
        <v>133</v>
      </c>
      <c r="F740" s="979" t="s">
        <v>723</v>
      </c>
      <c r="G740" s="1381" t="s">
        <v>259</v>
      </c>
      <c r="H740" s="981" t="s">
        <v>334</v>
      </c>
      <c r="I740" s="922" t="s">
        <v>183</v>
      </c>
      <c r="J740" s="922" t="s">
        <v>129</v>
      </c>
      <c r="K740" s="943" t="s">
        <v>327</v>
      </c>
      <c r="L740" s="936">
        <v>41375</v>
      </c>
      <c r="M740" s="982" t="s">
        <v>154</v>
      </c>
      <c r="N740" s="976">
        <v>41377</v>
      </c>
      <c r="O740" s="938" t="s">
        <v>279</v>
      </c>
    </row>
    <row r="741" spans="2:16" hidden="1" outlineLevel="1">
      <c r="B741" s="977">
        <v>9</v>
      </c>
      <c r="C741" s="3512"/>
      <c r="D741" s="1037">
        <v>9</v>
      </c>
      <c r="E741" s="978" t="s">
        <v>133</v>
      </c>
      <c r="F741" s="979" t="s">
        <v>723</v>
      </c>
      <c r="G741" s="1381" t="s">
        <v>259</v>
      </c>
      <c r="H741" s="981" t="s">
        <v>335</v>
      </c>
      <c r="I741" s="922" t="s">
        <v>183</v>
      </c>
      <c r="J741" s="922" t="s">
        <v>129</v>
      </c>
      <c r="K741" s="943" t="s">
        <v>327</v>
      </c>
      <c r="L741" s="936">
        <v>41375</v>
      </c>
      <c r="M741" s="982" t="s">
        <v>154</v>
      </c>
      <c r="N741" s="976">
        <v>41377</v>
      </c>
      <c r="O741" s="938" t="s">
        <v>279</v>
      </c>
    </row>
    <row r="742" spans="2:16" ht="15.75" hidden="1" outlineLevel="1" thickBot="1">
      <c r="B742" s="977">
        <v>10</v>
      </c>
      <c r="C742" s="3512"/>
      <c r="D742" s="1098">
        <v>10</v>
      </c>
      <c r="E742" s="1298" t="s">
        <v>133</v>
      </c>
      <c r="F742" s="1294" t="s">
        <v>723</v>
      </c>
      <c r="G742" s="1385" t="s">
        <v>259</v>
      </c>
      <c r="H742" s="1161" t="s">
        <v>336</v>
      </c>
      <c r="I742" s="1295" t="s">
        <v>183</v>
      </c>
      <c r="J742" s="1295" t="s">
        <v>129</v>
      </c>
      <c r="K742" s="1256" t="s">
        <v>327</v>
      </c>
      <c r="L742" s="1163">
        <v>41375</v>
      </c>
      <c r="M742" s="1299" t="s">
        <v>154</v>
      </c>
      <c r="N742" s="1258">
        <v>41377</v>
      </c>
      <c r="O742" s="1259" t="s">
        <v>279</v>
      </c>
    </row>
    <row r="743" spans="2:16" ht="18" hidden="1" outlineLevel="1">
      <c r="B743" s="977">
        <v>11</v>
      </c>
      <c r="C743" s="3512"/>
      <c r="D743" s="1300">
        <v>1</v>
      </c>
      <c r="E743" s="941" t="s">
        <v>133</v>
      </c>
      <c r="F743" s="1260" t="s">
        <v>723</v>
      </c>
      <c r="G743" s="1381" t="s">
        <v>253</v>
      </c>
      <c r="H743" s="981" t="s">
        <v>337</v>
      </c>
      <c r="I743" s="922" t="s">
        <v>179</v>
      </c>
      <c r="J743" s="922" t="s">
        <v>304</v>
      </c>
      <c r="K743" s="1154" t="s">
        <v>327</v>
      </c>
      <c r="L743" s="944">
        <v>41375</v>
      </c>
      <c r="M743" s="1397" t="s">
        <v>130</v>
      </c>
      <c r="N743" s="1156">
        <v>41387</v>
      </c>
      <c r="O743" s="947" t="s">
        <v>280</v>
      </c>
    </row>
    <row r="744" spans="2:16" ht="18.75" hidden="1" outlineLevel="1" thickBot="1">
      <c r="B744" s="900">
        <v>12</v>
      </c>
      <c r="C744" s="3513"/>
      <c r="D744" s="1158">
        <v>2</v>
      </c>
      <c r="E744" s="1251" t="s">
        <v>133</v>
      </c>
      <c r="F744" s="1252" t="s">
        <v>723</v>
      </c>
      <c r="G744" s="1385" t="s">
        <v>253</v>
      </c>
      <c r="H744" s="1161" t="s">
        <v>338</v>
      </c>
      <c r="I744" s="1295" t="s">
        <v>179</v>
      </c>
      <c r="J744" s="1295" t="s">
        <v>304</v>
      </c>
      <c r="K744" s="1162" t="s">
        <v>327</v>
      </c>
      <c r="L744" s="1163">
        <v>41375</v>
      </c>
      <c r="M744" s="1398" t="s">
        <v>130</v>
      </c>
      <c r="N744" s="1165">
        <v>41387</v>
      </c>
      <c r="O744" s="1259" t="s">
        <v>280</v>
      </c>
    </row>
    <row r="745" spans="2:16" ht="15.75" collapsed="1" thickTop="1">
      <c r="O745" s="1008"/>
    </row>
    <row r="746" spans="2:16" ht="21" thickBot="1">
      <c r="C746" s="867" t="s">
        <v>339</v>
      </c>
      <c r="D746" s="914"/>
    </row>
    <row r="747" spans="2:16" ht="15.75" thickBot="1">
      <c r="M747" s="3490" t="s">
        <v>175</v>
      </c>
      <c r="N747" s="3491"/>
      <c r="O747" s="915"/>
    </row>
    <row r="748" spans="2:16" s="463" customFormat="1" ht="20.100000000000001" customHeight="1" thickBot="1">
      <c r="B748" s="874" t="s">
        <v>704</v>
      </c>
      <c r="C748" s="875" t="s">
        <v>113</v>
      </c>
      <c r="D748" s="876" t="s">
        <v>176</v>
      </c>
      <c r="E748" s="877" t="s">
        <v>114</v>
      </c>
      <c r="F748" s="878" t="s">
        <v>705</v>
      </c>
      <c r="G748" s="2507" t="s">
        <v>115</v>
      </c>
      <c r="H748" s="880" t="s">
        <v>116</v>
      </c>
      <c r="I748" s="2554" t="s">
        <v>117</v>
      </c>
      <c r="J748" s="882" t="s">
        <v>118</v>
      </c>
      <c r="K748" s="883" t="s">
        <v>119</v>
      </c>
      <c r="L748" s="884" t="s">
        <v>713</v>
      </c>
      <c r="M748" s="1378" t="s">
        <v>120</v>
      </c>
      <c r="N748" s="1379" t="s">
        <v>121</v>
      </c>
      <c r="O748" s="887" t="s">
        <v>719</v>
      </c>
    </row>
    <row r="749" spans="2:16" ht="18.75" hidden="1" outlineLevel="1" thickTop="1">
      <c r="B749" s="977">
        <v>1</v>
      </c>
      <c r="C749" s="3496" t="s">
        <v>340</v>
      </c>
      <c r="D749" s="1399">
        <v>1</v>
      </c>
      <c r="E749" s="1153" t="s">
        <v>737</v>
      </c>
      <c r="F749" s="1042" t="s">
        <v>732</v>
      </c>
      <c r="G749" s="922" t="s">
        <v>178</v>
      </c>
      <c r="H749" s="981" t="s">
        <v>341</v>
      </c>
      <c r="I749" s="922" t="s">
        <v>179</v>
      </c>
      <c r="J749" s="922" t="s">
        <v>129</v>
      </c>
      <c r="K749" s="1154" t="s">
        <v>342</v>
      </c>
      <c r="L749" s="944">
        <v>40982</v>
      </c>
      <c r="M749" s="1155" t="s">
        <v>141</v>
      </c>
      <c r="N749" s="1156">
        <v>40986</v>
      </c>
      <c r="O749" s="1157" t="s">
        <v>198</v>
      </c>
      <c r="P749" s="928" t="s">
        <v>343</v>
      </c>
    </row>
    <row r="750" spans="2:16" ht="18.75" hidden="1" outlineLevel="1" thickBot="1">
      <c r="B750" s="889">
        <v>2</v>
      </c>
      <c r="C750" s="3497"/>
      <c r="D750" s="1207">
        <v>2</v>
      </c>
      <c r="E750" s="1159" t="s">
        <v>737</v>
      </c>
      <c r="F750" s="1160" t="s">
        <v>732</v>
      </c>
      <c r="G750" s="1295" t="s">
        <v>178</v>
      </c>
      <c r="H750" s="1161" t="s">
        <v>355</v>
      </c>
      <c r="I750" s="1295" t="s">
        <v>179</v>
      </c>
      <c r="J750" s="1295" t="s">
        <v>129</v>
      </c>
      <c r="K750" s="1162" t="s">
        <v>342</v>
      </c>
      <c r="L750" s="1163">
        <v>40982</v>
      </c>
      <c r="M750" s="1164" t="s">
        <v>141</v>
      </c>
      <c r="N750" s="1165">
        <v>40986</v>
      </c>
      <c r="O750" s="1166" t="s">
        <v>198</v>
      </c>
      <c r="P750" s="928" t="s">
        <v>343</v>
      </c>
    </row>
    <row r="751" spans="2:16" ht="18" hidden="1" outlineLevel="1">
      <c r="B751" s="889">
        <v>3</v>
      </c>
      <c r="C751" s="3497"/>
      <c r="D751" s="1399">
        <v>1</v>
      </c>
      <c r="E751" s="1153" t="s">
        <v>737</v>
      </c>
      <c r="F751" s="1042" t="s">
        <v>732</v>
      </c>
      <c r="G751" s="922" t="s">
        <v>178</v>
      </c>
      <c r="H751" s="981" t="s">
        <v>356</v>
      </c>
      <c r="I751" s="922" t="s">
        <v>179</v>
      </c>
      <c r="J751" s="922" t="s">
        <v>129</v>
      </c>
      <c r="K751" s="1154" t="s">
        <v>342</v>
      </c>
      <c r="L751" s="944">
        <v>40982</v>
      </c>
      <c r="M751" s="1155" t="s">
        <v>164</v>
      </c>
      <c r="N751" s="1156">
        <v>40987</v>
      </c>
      <c r="O751" s="1157" t="s">
        <v>198</v>
      </c>
      <c r="P751" s="928" t="s">
        <v>343</v>
      </c>
    </row>
    <row r="752" spans="2:16" ht="18.75" hidden="1" outlineLevel="1" thickBot="1">
      <c r="B752" s="889">
        <v>4</v>
      </c>
      <c r="C752" s="3497"/>
      <c r="D752" s="1207">
        <v>2</v>
      </c>
      <c r="E752" s="1159" t="s">
        <v>737</v>
      </c>
      <c r="F752" s="1160" t="s">
        <v>732</v>
      </c>
      <c r="G752" s="1295" t="s">
        <v>178</v>
      </c>
      <c r="H752" s="1161" t="s">
        <v>357</v>
      </c>
      <c r="I752" s="1295" t="s">
        <v>179</v>
      </c>
      <c r="J752" s="1295" t="s">
        <v>129</v>
      </c>
      <c r="K752" s="1162" t="s">
        <v>342</v>
      </c>
      <c r="L752" s="1163">
        <v>40982</v>
      </c>
      <c r="M752" s="1164" t="s">
        <v>164</v>
      </c>
      <c r="N752" s="1165">
        <v>40987</v>
      </c>
      <c r="O752" s="1166" t="s">
        <v>198</v>
      </c>
      <c r="P752" s="928" t="s">
        <v>343</v>
      </c>
    </row>
    <row r="753" spans="2:16" ht="18" hidden="1" outlineLevel="1">
      <c r="B753" s="889">
        <v>5</v>
      </c>
      <c r="C753" s="3497"/>
      <c r="D753" s="1399">
        <v>1</v>
      </c>
      <c r="E753" s="1153" t="s">
        <v>737</v>
      </c>
      <c r="F753" s="1042" t="s">
        <v>732</v>
      </c>
      <c r="G753" s="922" t="s">
        <v>178</v>
      </c>
      <c r="H753" s="981" t="s">
        <v>358</v>
      </c>
      <c r="I753" s="922" t="s">
        <v>179</v>
      </c>
      <c r="J753" s="922" t="s">
        <v>129</v>
      </c>
      <c r="K753" s="1154" t="s">
        <v>342</v>
      </c>
      <c r="L753" s="944">
        <v>40982</v>
      </c>
      <c r="M753" s="1155" t="s">
        <v>191</v>
      </c>
      <c r="N753" s="1156">
        <v>40987</v>
      </c>
      <c r="O753" s="1157" t="s">
        <v>198</v>
      </c>
      <c r="P753" s="928" t="s">
        <v>343</v>
      </c>
    </row>
    <row r="754" spans="2:16" ht="18.75" hidden="1" outlineLevel="1" thickBot="1">
      <c r="B754" s="889">
        <v>6</v>
      </c>
      <c r="C754" s="3497"/>
      <c r="D754" s="1207">
        <v>2</v>
      </c>
      <c r="E754" s="1159" t="s">
        <v>737</v>
      </c>
      <c r="F754" s="1160" t="s">
        <v>732</v>
      </c>
      <c r="G754" s="1295" t="s">
        <v>178</v>
      </c>
      <c r="H754" s="1161" t="s">
        <v>359</v>
      </c>
      <c r="I754" s="1295" t="s">
        <v>179</v>
      </c>
      <c r="J754" s="1295" t="s">
        <v>129</v>
      </c>
      <c r="K754" s="1162" t="s">
        <v>342</v>
      </c>
      <c r="L754" s="1163">
        <v>40982</v>
      </c>
      <c r="M754" s="1164" t="s">
        <v>191</v>
      </c>
      <c r="N754" s="1165">
        <v>40987</v>
      </c>
      <c r="O754" s="1166" t="s">
        <v>198</v>
      </c>
      <c r="P754" s="928" t="s">
        <v>343</v>
      </c>
    </row>
    <row r="755" spans="2:16" ht="18" hidden="1" outlineLevel="1">
      <c r="B755" s="889">
        <v>7</v>
      </c>
      <c r="C755" s="3497"/>
      <c r="D755" s="1399">
        <v>1</v>
      </c>
      <c r="E755" s="1153" t="s">
        <v>737</v>
      </c>
      <c r="F755" s="1042" t="s">
        <v>732</v>
      </c>
      <c r="G755" s="922" t="s">
        <v>178</v>
      </c>
      <c r="H755" s="981" t="s">
        <v>360</v>
      </c>
      <c r="I755" s="922" t="s">
        <v>179</v>
      </c>
      <c r="J755" s="922" t="s">
        <v>129</v>
      </c>
      <c r="K755" s="1154" t="s">
        <v>342</v>
      </c>
      <c r="L755" s="944">
        <v>40982</v>
      </c>
      <c r="M755" s="1155" t="s">
        <v>361</v>
      </c>
      <c r="N755" s="1156">
        <v>40987</v>
      </c>
      <c r="O755" s="1157" t="s">
        <v>198</v>
      </c>
      <c r="P755" s="928" t="s">
        <v>343</v>
      </c>
    </row>
    <row r="756" spans="2:16" ht="18.75" hidden="1" outlineLevel="1" thickBot="1">
      <c r="B756" s="900">
        <v>8</v>
      </c>
      <c r="C756" s="3498"/>
      <c r="D756" s="1207">
        <v>2</v>
      </c>
      <c r="E756" s="1159" t="s">
        <v>737</v>
      </c>
      <c r="F756" s="1160" t="s">
        <v>732</v>
      </c>
      <c r="G756" s="1295" t="s">
        <v>178</v>
      </c>
      <c r="H756" s="1161" t="s">
        <v>362</v>
      </c>
      <c r="I756" s="1295" t="s">
        <v>179</v>
      </c>
      <c r="J756" s="1295" t="s">
        <v>129</v>
      </c>
      <c r="K756" s="1162" t="s">
        <v>342</v>
      </c>
      <c r="L756" s="1163">
        <v>40982</v>
      </c>
      <c r="M756" s="1164" t="s">
        <v>361</v>
      </c>
      <c r="N756" s="1165">
        <v>40987</v>
      </c>
      <c r="O756" s="1166" t="s">
        <v>198</v>
      </c>
      <c r="P756" s="928" t="s">
        <v>343</v>
      </c>
    </row>
    <row r="757" spans="2:16" ht="10.15" customHeight="1" collapsed="1" thickTop="1" thickBot="1">
      <c r="B757" s="1303"/>
      <c r="C757" s="1400"/>
      <c r="D757" s="1401"/>
      <c r="E757" s="1402"/>
      <c r="F757" s="1403"/>
      <c r="G757" s="1405"/>
      <c r="H757" s="1404"/>
      <c r="I757" s="1405"/>
      <c r="J757" s="1405"/>
      <c r="K757" s="1406"/>
      <c r="L757" s="1407"/>
      <c r="M757" s="1408"/>
      <c r="N757" s="1409"/>
      <c r="O757" s="1410"/>
      <c r="P757" s="928"/>
    </row>
    <row r="758" spans="2:16" hidden="1" outlineLevel="1">
      <c r="B758" s="977">
        <v>9</v>
      </c>
      <c r="C758" s="3515" t="s">
        <v>204</v>
      </c>
      <c r="D758" s="1078">
        <v>1</v>
      </c>
      <c r="E758" s="978" t="s">
        <v>133</v>
      </c>
      <c r="F758" s="979" t="s">
        <v>723</v>
      </c>
      <c r="G758" s="1381" t="s">
        <v>253</v>
      </c>
      <c r="H758" s="981" t="s">
        <v>363</v>
      </c>
      <c r="I758" s="922" t="s">
        <v>179</v>
      </c>
      <c r="J758" s="922" t="s">
        <v>129</v>
      </c>
      <c r="K758" s="943" t="s">
        <v>364</v>
      </c>
      <c r="L758" s="944">
        <v>41066</v>
      </c>
      <c r="M758" s="982" t="s">
        <v>172</v>
      </c>
      <c r="N758" s="983">
        <v>41072</v>
      </c>
      <c r="O758" s="1296" t="s">
        <v>365</v>
      </c>
    </row>
    <row r="759" spans="2:16" hidden="1" outlineLevel="1">
      <c r="B759" s="889">
        <v>10</v>
      </c>
      <c r="C759" s="3515"/>
      <c r="D759" s="1037">
        <v>2</v>
      </c>
      <c r="E759" s="930" t="s">
        <v>133</v>
      </c>
      <c r="F759" s="931" t="s">
        <v>723</v>
      </c>
      <c r="G759" s="2508" t="s">
        <v>253</v>
      </c>
      <c r="H759" s="933" t="s">
        <v>366</v>
      </c>
      <c r="I759" s="934" t="s">
        <v>179</v>
      </c>
      <c r="J759" s="934" t="s">
        <v>129</v>
      </c>
      <c r="K759" s="935" t="s">
        <v>364</v>
      </c>
      <c r="L759" s="936">
        <v>41066</v>
      </c>
      <c r="M759" s="846" t="s">
        <v>172</v>
      </c>
      <c r="N759" s="976">
        <v>41072</v>
      </c>
      <c r="O759" s="938" t="s">
        <v>365</v>
      </c>
    </row>
    <row r="760" spans="2:16" hidden="1" outlineLevel="1">
      <c r="B760" s="889">
        <v>11</v>
      </c>
      <c r="C760" s="3515"/>
      <c r="D760" s="1078">
        <v>3</v>
      </c>
      <c r="E760" s="978" t="s">
        <v>133</v>
      </c>
      <c r="F760" s="979" t="s">
        <v>723</v>
      </c>
      <c r="G760" s="1381" t="s">
        <v>259</v>
      </c>
      <c r="H760" s="981" t="s">
        <v>367</v>
      </c>
      <c r="I760" s="922" t="s">
        <v>183</v>
      </c>
      <c r="J760" s="922" t="s">
        <v>129</v>
      </c>
      <c r="K760" s="943" t="s">
        <v>364</v>
      </c>
      <c r="L760" s="944">
        <v>41066</v>
      </c>
      <c r="M760" s="982" t="s">
        <v>172</v>
      </c>
      <c r="N760" s="983">
        <v>41072</v>
      </c>
      <c r="O760" s="938" t="s">
        <v>365</v>
      </c>
    </row>
    <row r="761" spans="2:16" hidden="1" outlineLevel="1">
      <c r="B761" s="889">
        <v>12</v>
      </c>
      <c r="C761" s="3515"/>
      <c r="D761" s="1037">
        <v>4</v>
      </c>
      <c r="E761" s="978" t="s">
        <v>133</v>
      </c>
      <c r="F761" s="979" t="s">
        <v>723</v>
      </c>
      <c r="G761" s="1381" t="s">
        <v>259</v>
      </c>
      <c r="H761" s="981" t="s">
        <v>368</v>
      </c>
      <c r="I761" s="922" t="s">
        <v>183</v>
      </c>
      <c r="J761" s="922" t="s">
        <v>129</v>
      </c>
      <c r="K761" s="943" t="s">
        <v>364</v>
      </c>
      <c r="L761" s="944">
        <v>41066</v>
      </c>
      <c r="M761" s="982" t="s">
        <v>172</v>
      </c>
      <c r="N761" s="983">
        <v>41072</v>
      </c>
      <c r="O761" s="938" t="s">
        <v>365</v>
      </c>
    </row>
    <row r="762" spans="2:16" hidden="1" outlineLevel="1">
      <c r="B762" s="889">
        <v>13</v>
      </c>
      <c r="C762" s="3515"/>
      <c r="D762" s="1037">
        <v>5</v>
      </c>
      <c r="E762" s="978" t="s">
        <v>133</v>
      </c>
      <c r="F762" s="979" t="s">
        <v>723</v>
      </c>
      <c r="G762" s="1381" t="s">
        <v>259</v>
      </c>
      <c r="H762" s="981" t="s">
        <v>369</v>
      </c>
      <c r="I762" s="922" t="s">
        <v>183</v>
      </c>
      <c r="J762" s="922" t="s">
        <v>129</v>
      </c>
      <c r="K762" s="943" t="s">
        <v>364</v>
      </c>
      <c r="L762" s="944">
        <v>41066</v>
      </c>
      <c r="M762" s="982" t="s">
        <v>172</v>
      </c>
      <c r="N762" s="983">
        <v>41072</v>
      </c>
      <c r="O762" s="938" t="s">
        <v>365</v>
      </c>
    </row>
    <row r="763" spans="2:16" hidden="1" outlineLevel="1">
      <c r="B763" s="889">
        <v>14</v>
      </c>
      <c r="C763" s="3515"/>
      <c r="D763" s="1037">
        <v>6</v>
      </c>
      <c r="E763" s="978" t="s">
        <v>133</v>
      </c>
      <c r="F763" s="979" t="s">
        <v>723</v>
      </c>
      <c r="G763" s="1381" t="s">
        <v>259</v>
      </c>
      <c r="H763" s="981" t="s">
        <v>370</v>
      </c>
      <c r="I763" s="922" t="s">
        <v>183</v>
      </c>
      <c r="J763" s="922" t="s">
        <v>129</v>
      </c>
      <c r="K763" s="943" t="s">
        <v>364</v>
      </c>
      <c r="L763" s="944">
        <v>41066</v>
      </c>
      <c r="M763" s="982" t="s">
        <v>172</v>
      </c>
      <c r="N763" s="983">
        <v>41072</v>
      </c>
      <c r="O763" s="938" t="s">
        <v>365</v>
      </c>
    </row>
    <row r="764" spans="2:16" hidden="1" outlineLevel="1">
      <c r="B764" s="889">
        <v>15</v>
      </c>
      <c r="C764" s="3515"/>
      <c r="D764" s="1037">
        <v>7</v>
      </c>
      <c r="E764" s="978" t="s">
        <v>133</v>
      </c>
      <c r="F764" s="979" t="s">
        <v>723</v>
      </c>
      <c r="G764" s="1381" t="s">
        <v>259</v>
      </c>
      <c r="H764" s="981" t="s">
        <v>371</v>
      </c>
      <c r="I764" s="922" t="s">
        <v>183</v>
      </c>
      <c r="J764" s="922" t="s">
        <v>129</v>
      </c>
      <c r="K764" s="943" t="s">
        <v>364</v>
      </c>
      <c r="L764" s="944">
        <v>41066</v>
      </c>
      <c r="M764" s="982" t="s">
        <v>172</v>
      </c>
      <c r="N764" s="983">
        <v>41072</v>
      </c>
      <c r="O764" s="938" t="s">
        <v>365</v>
      </c>
    </row>
    <row r="765" spans="2:16" hidden="1" outlineLevel="1">
      <c r="B765" s="889">
        <v>16</v>
      </c>
      <c r="C765" s="3515"/>
      <c r="D765" s="1037">
        <v>8</v>
      </c>
      <c r="E765" s="978" t="s">
        <v>133</v>
      </c>
      <c r="F765" s="979" t="s">
        <v>723</v>
      </c>
      <c r="G765" s="1381" t="s">
        <v>259</v>
      </c>
      <c r="H765" s="981" t="s">
        <v>372</v>
      </c>
      <c r="I765" s="922" t="s">
        <v>183</v>
      </c>
      <c r="J765" s="922" t="s">
        <v>129</v>
      </c>
      <c r="K765" s="943" t="s">
        <v>364</v>
      </c>
      <c r="L765" s="944">
        <v>41066</v>
      </c>
      <c r="M765" s="982" t="s">
        <v>172</v>
      </c>
      <c r="N765" s="983">
        <v>41072</v>
      </c>
      <c r="O765" s="938" t="s">
        <v>365</v>
      </c>
    </row>
    <row r="766" spans="2:16" hidden="1" outlineLevel="1">
      <c r="B766" s="889">
        <v>17</v>
      </c>
      <c r="C766" s="3515"/>
      <c r="D766" s="1037">
        <v>9</v>
      </c>
      <c r="E766" s="978" t="s">
        <v>133</v>
      </c>
      <c r="F766" s="979" t="s">
        <v>723</v>
      </c>
      <c r="G766" s="1381" t="s">
        <v>259</v>
      </c>
      <c r="H766" s="981" t="s">
        <v>373</v>
      </c>
      <c r="I766" s="922" t="s">
        <v>183</v>
      </c>
      <c r="J766" s="922" t="s">
        <v>129</v>
      </c>
      <c r="K766" s="943" t="s">
        <v>364</v>
      </c>
      <c r="L766" s="944">
        <v>41066</v>
      </c>
      <c r="M766" s="982" t="s">
        <v>172</v>
      </c>
      <c r="N766" s="983">
        <v>41072</v>
      </c>
      <c r="O766" s="938" t="s">
        <v>365</v>
      </c>
    </row>
    <row r="767" spans="2:16" ht="15.75" hidden="1" outlineLevel="1" thickBot="1">
      <c r="B767" s="900">
        <v>18</v>
      </c>
      <c r="C767" s="3516"/>
      <c r="D767" s="1098">
        <v>10</v>
      </c>
      <c r="E767" s="1298" t="s">
        <v>133</v>
      </c>
      <c r="F767" s="1294" t="s">
        <v>723</v>
      </c>
      <c r="G767" s="1385" t="s">
        <v>259</v>
      </c>
      <c r="H767" s="1161" t="s">
        <v>374</v>
      </c>
      <c r="I767" s="1295" t="s">
        <v>183</v>
      </c>
      <c r="J767" s="1295" t="s">
        <v>129</v>
      </c>
      <c r="K767" s="1256" t="s">
        <v>364</v>
      </c>
      <c r="L767" s="1163">
        <v>41066</v>
      </c>
      <c r="M767" s="1299" t="s">
        <v>172</v>
      </c>
      <c r="N767" s="1258">
        <v>41072</v>
      </c>
      <c r="O767" s="1259" t="s">
        <v>365</v>
      </c>
    </row>
    <row r="768" spans="2:16" ht="10.15" customHeight="1" collapsed="1" thickBot="1">
      <c r="B768" s="1303"/>
      <c r="C768" s="1411"/>
      <c r="D768" s="1412"/>
      <c r="E768" s="1413"/>
      <c r="F768" s="1414"/>
      <c r="G768" s="2537"/>
      <c r="H768" s="1404"/>
      <c r="I768" s="1405"/>
      <c r="J768" s="1405"/>
      <c r="K768" s="1415"/>
      <c r="L768" s="1407"/>
      <c r="M768" s="1416"/>
      <c r="N768" s="1417"/>
      <c r="O768" s="1418"/>
    </row>
    <row r="769" spans="2:15" ht="18" hidden="1" customHeight="1" outlineLevel="1">
      <c r="B769" s="977">
        <f>1+B767</f>
        <v>19</v>
      </c>
      <c r="C769" s="3496" t="s">
        <v>375</v>
      </c>
      <c r="D769" s="1078">
        <v>1</v>
      </c>
      <c r="E769" s="978" t="s">
        <v>376</v>
      </c>
      <c r="F769" s="979" t="s">
        <v>732</v>
      </c>
      <c r="G769" s="1381" t="s">
        <v>178</v>
      </c>
      <c r="H769" s="981" t="s">
        <v>377</v>
      </c>
      <c r="I769" s="922" t="s">
        <v>179</v>
      </c>
      <c r="J769" s="922" t="s">
        <v>129</v>
      </c>
      <c r="K769" s="943" t="s">
        <v>378</v>
      </c>
      <c r="L769" s="944">
        <v>41111</v>
      </c>
      <c r="M769" s="1263" t="s">
        <v>173</v>
      </c>
      <c r="N769" s="983">
        <v>41113</v>
      </c>
      <c r="O769" s="1296" t="s">
        <v>198</v>
      </c>
    </row>
    <row r="770" spans="2:15" ht="18.75" hidden="1" outlineLevel="1" thickBot="1">
      <c r="B770" s="977">
        <v>20</v>
      </c>
      <c r="C770" s="3497"/>
      <c r="D770" s="1098">
        <v>2</v>
      </c>
      <c r="E770" s="1298" t="s">
        <v>376</v>
      </c>
      <c r="F770" s="1294" t="s">
        <v>732</v>
      </c>
      <c r="G770" s="1385" t="s">
        <v>178</v>
      </c>
      <c r="H770" s="1161" t="s">
        <v>379</v>
      </c>
      <c r="I770" s="1295" t="s">
        <v>179</v>
      </c>
      <c r="J770" s="1295" t="s">
        <v>129</v>
      </c>
      <c r="K770" s="1256" t="s">
        <v>378</v>
      </c>
      <c r="L770" s="1163">
        <v>41111</v>
      </c>
      <c r="M770" s="1257" t="s">
        <v>173</v>
      </c>
      <c r="N770" s="1258">
        <v>41113</v>
      </c>
      <c r="O770" s="1259" t="s">
        <v>198</v>
      </c>
    </row>
    <row r="771" spans="2:15" ht="18" hidden="1" outlineLevel="1">
      <c r="B771" s="977">
        <v>21</v>
      </c>
      <c r="C771" s="3497"/>
      <c r="D771" s="1078">
        <v>1</v>
      </c>
      <c r="E771" s="978" t="s">
        <v>376</v>
      </c>
      <c r="F771" s="979" t="s">
        <v>732</v>
      </c>
      <c r="G771" s="1381" t="s">
        <v>178</v>
      </c>
      <c r="H771" s="1419" t="s">
        <v>380</v>
      </c>
      <c r="I771" s="2559" t="s">
        <v>179</v>
      </c>
      <c r="J771" s="922" t="s">
        <v>129</v>
      </c>
      <c r="K771" s="943" t="s">
        <v>378</v>
      </c>
      <c r="L771" s="944">
        <v>41111</v>
      </c>
      <c r="M771" s="1263" t="s">
        <v>159</v>
      </c>
      <c r="N771" s="983">
        <v>41113</v>
      </c>
      <c r="O771" s="947" t="s">
        <v>198</v>
      </c>
    </row>
    <row r="772" spans="2:15" ht="18.75" hidden="1" outlineLevel="1" thickBot="1">
      <c r="B772" s="977">
        <v>22</v>
      </c>
      <c r="C772" s="3497"/>
      <c r="D772" s="1098">
        <v>2</v>
      </c>
      <c r="E772" s="1298" t="s">
        <v>376</v>
      </c>
      <c r="F772" s="1294" t="s">
        <v>732</v>
      </c>
      <c r="G772" s="1385" t="s">
        <v>178</v>
      </c>
      <c r="H772" s="1161" t="s">
        <v>381</v>
      </c>
      <c r="I772" s="1295" t="s">
        <v>179</v>
      </c>
      <c r="J772" s="1295" t="s">
        <v>129</v>
      </c>
      <c r="K772" s="1256" t="s">
        <v>378</v>
      </c>
      <c r="L772" s="1163">
        <v>41111</v>
      </c>
      <c r="M772" s="1257" t="s">
        <v>159</v>
      </c>
      <c r="N772" s="1258">
        <v>41113</v>
      </c>
      <c r="O772" s="1259" t="s">
        <v>198</v>
      </c>
    </row>
    <row r="773" spans="2:15" ht="18" hidden="1" outlineLevel="1">
      <c r="B773" s="977">
        <v>23</v>
      </c>
      <c r="C773" s="3497"/>
      <c r="D773" s="1078">
        <v>1</v>
      </c>
      <c r="E773" s="978" t="s">
        <v>376</v>
      </c>
      <c r="F773" s="979" t="s">
        <v>732</v>
      </c>
      <c r="G773" s="1381" t="s">
        <v>178</v>
      </c>
      <c r="H773" s="1419" t="s">
        <v>382</v>
      </c>
      <c r="I773" s="2559" t="s">
        <v>179</v>
      </c>
      <c r="J773" s="922" t="s">
        <v>129</v>
      </c>
      <c r="K773" s="943" t="s">
        <v>378</v>
      </c>
      <c r="L773" s="944">
        <v>41111</v>
      </c>
      <c r="M773" s="1263" t="s">
        <v>165</v>
      </c>
      <c r="N773" s="983">
        <v>41114</v>
      </c>
      <c r="O773" s="947" t="s">
        <v>198</v>
      </c>
    </row>
    <row r="774" spans="2:15" ht="18.75" hidden="1" outlineLevel="1" thickBot="1">
      <c r="B774" s="977">
        <v>24</v>
      </c>
      <c r="C774" s="3497"/>
      <c r="D774" s="1098">
        <v>2</v>
      </c>
      <c r="E774" s="1298" t="s">
        <v>376</v>
      </c>
      <c r="F774" s="1294" t="s">
        <v>732</v>
      </c>
      <c r="G774" s="1385" t="s">
        <v>178</v>
      </c>
      <c r="H774" s="1161" t="s">
        <v>383</v>
      </c>
      <c r="I774" s="1295" t="s">
        <v>179</v>
      </c>
      <c r="J774" s="1295" t="s">
        <v>129</v>
      </c>
      <c r="K774" s="1256" t="s">
        <v>378</v>
      </c>
      <c r="L774" s="1163">
        <v>41111</v>
      </c>
      <c r="M774" s="1257" t="s">
        <v>165</v>
      </c>
      <c r="N774" s="1258">
        <v>41114</v>
      </c>
      <c r="O774" s="1259" t="s">
        <v>198</v>
      </c>
    </row>
    <row r="775" spans="2:15" ht="18" hidden="1" outlineLevel="1">
      <c r="B775" s="977">
        <v>25</v>
      </c>
      <c r="C775" s="3497"/>
      <c r="D775" s="1078">
        <v>1</v>
      </c>
      <c r="E775" s="978" t="s">
        <v>376</v>
      </c>
      <c r="F775" s="979" t="s">
        <v>732</v>
      </c>
      <c r="G775" s="1381" t="s">
        <v>178</v>
      </c>
      <c r="H775" s="1419" t="s">
        <v>384</v>
      </c>
      <c r="I775" s="2559" t="s">
        <v>179</v>
      </c>
      <c r="J775" s="922" t="s">
        <v>129</v>
      </c>
      <c r="K775" s="943" t="s">
        <v>378</v>
      </c>
      <c r="L775" s="944">
        <v>41111</v>
      </c>
      <c r="M775" s="1263" t="s">
        <v>226</v>
      </c>
      <c r="N775" s="983">
        <v>41114</v>
      </c>
      <c r="O775" s="947" t="s">
        <v>198</v>
      </c>
    </row>
    <row r="776" spans="2:15" ht="18.75" hidden="1" outlineLevel="1" thickBot="1">
      <c r="B776" s="985">
        <v>26</v>
      </c>
      <c r="C776" s="3498"/>
      <c r="D776" s="1098">
        <v>2</v>
      </c>
      <c r="E776" s="986" t="s">
        <v>376</v>
      </c>
      <c r="F776" s="987" t="s">
        <v>732</v>
      </c>
      <c r="G776" s="2519" t="s">
        <v>178</v>
      </c>
      <c r="H776" s="1161" t="s">
        <v>385</v>
      </c>
      <c r="I776" s="1295" t="s">
        <v>179</v>
      </c>
      <c r="J776" s="991" t="s">
        <v>129</v>
      </c>
      <c r="K776" s="992" t="s">
        <v>378</v>
      </c>
      <c r="L776" s="993">
        <v>41111</v>
      </c>
      <c r="M776" s="1420" t="s">
        <v>226</v>
      </c>
      <c r="N776" s="1258">
        <v>41114</v>
      </c>
      <c r="O776" s="1259" t="s">
        <v>198</v>
      </c>
    </row>
    <row r="777" spans="2:15" ht="10.15" customHeight="1" collapsed="1" thickBot="1">
      <c r="B777" s="1303"/>
      <c r="C777" s="1411"/>
      <c r="D777" s="1412"/>
      <c r="E777" s="1413"/>
      <c r="F777" s="1414"/>
      <c r="G777" s="2537"/>
      <c r="H777" s="1404"/>
      <c r="I777" s="1405"/>
      <c r="J777" s="1405"/>
      <c r="K777" s="1415"/>
      <c r="L777" s="1407"/>
      <c r="M777" s="1416"/>
      <c r="N777" s="1417"/>
      <c r="O777" s="1418"/>
    </row>
    <row r="778" spans="2:15" hidden="1" outlineLevel="1">
      <c r="B778" s="977">
        <v>27</v>
      </c>
      <c r="C778" s="3515" t="s">
        <v>270</v>
      </c>
      <c r="D778" s="1078">
        <v>1</v>
      </c>
      <c r="E778" s="978" t="s">
        <v>133</v>
      </c>
      <c r="F778" s="979" t="s">
        <v>723</v>
      </c>
      <c r="G778" s="1381" t="s">
        <v>253</v>
      </c>
      <c r="H778" s="981" t="s">
        <v>386</v>
      </c>
      <c r="I778" s="922" t="s">
        <v>179</v>
      </c>
      <c r="J778" s="922" t="s">
        <v>129</v>
      </c>
      <c r="K778" s="943" t="s">
        <v>387</v>
      </c>
      <c r="L778" s="944">
        <v>41164</v>
      </c>
      <c r="M778" s="982" t="s">
        <v>173</v>
      </c>
      <c r="N778" s="983"/>
      <c r="O778" s="1296" t="s">
        <v>365</v>
      </c>
    </row>
    <row r="779" spans="2:15" hidden="1" outlineLevel="1">
      <c r="B779" s="977">
        <v>28</v>
      </c>
      <c r="C779" s="3515"/>
      <c r="D779" s="1037">
        <v>2</v>
      </c>
      <c r="E779" s="930" t="s">
        <v>133</v>
      </c>
      <c r="F779" s="931" t="s">
        <v>723</v>
      </c>
      <c r="G779" s="2508" t="s">
        <v>253</v>
      </c>
      <c r="H779" s="981" t="s">
        <v>388</v>
      </c>
      <c r="I779" s="934" t="s">
        <v>179</v>
      </c>
      <c r="J779" s="934" t="s">
        <v>129</v>
      </c>
      <c r="K779" s="935" t="s">
        <v>387</v>
      </c>
      <c r="L779" s="936">
        <v>41164</v>
      </c>
      <c r="M779" s="846" t="s">
        <v>173</v>
      </c>
      <c r="N779" s="976"/>
      <c r="O779" s="938" t="s">
        <v>365</v>
      </c>
    </row>
    <row r="780" spans="2:15" hidden="1" outlineLevel="1">
      <c r="B780" s="977">
        <v>29</v>
      </c>
      <c r="C780" s="3515"/>
      <c r="D780" s="1078">
        <v>3</v>
      </c>
      <c r="E780" s="978" t="s">
        <v>133</v>
      </c>
      <c r="F780" s="979" t="s">
        <v>723</v>
      </c>
      <c r="G780" s="1381" t="s">
        <v>259</v>
      </c>
      <c r="H780" s="981" t="s">
        <v>389</v>
      </c>
      <c r="I780" s="922" t="s">
        <v>183</v>
      </c>
      <c r="J780" s="922" t="s">
        <v>129</v>
      </c>
      <c r="K780" s="943" t="s">
        <v>387</v>
      </c>
      <c r="L780" s="944">
        <v>41164</v>
      </c>
      <c r="M780" s="982" t="s">
        <v>173</v>
      </c>
      <c r="N780" s="983"/>
      <c r="O780" s="938" t="s">
        <v>365</v>
      </c>
    </row>
    <row r="781" spans="2:15" hidden="1" outlineLevel="1">
      <c r="B781" s="977">
        <v>30</v>
      </c>
      <c r="C781" s="3515"/>
      <c r="D781" s="1037">
        <v>4</v>
      </c>
      <c r="E781" s="978" t="s">
        <v>133</v>
      </c>
      <c r="F781" s="979" t="s">
        <v>723</v>
      </c>
      <c r="G781" s="1381" t="s">
        <v>259</v>
      </c>
      <c r="H781" s="1396" t="s">
        <v>390</v>
      </c>
      <c r="I781" s="922" t="s">
        <v>183</v>
      </c>
      <c r="J781" s="922" t="s">
        <v>129</v>
      </c>
      <c r="K781" s="943" t="s">
        <v>387</v>
      </c>
      <c r="L781" s="944">
        <v>41164</v>
      </c>
      <c r="M781" s="982" t="s">
        <v>173</v>
      </c>
      <c r="N781" s="983"/>
      <c r="O781" s="938" t="s">
        <v>365</v>
      </c>
    </row>
    <row r="782" spans="2:15" hidden="1" outlineLevel="1">
      <c r="B782" s="977">
        <v>31</v>
      </c>
      <c r="C782" s="3515"/>
      <c r="D782" s="1037">
        <v>5</v>
      </c>
      <c r="E782" s="978" t="s">
        <v>133</v>
      </c>
      <c r="F782" s="979" t="s">
        <v>723</v>
      </c>
      <c r="G782" s="1381" t="s">
        <v>259</v>
      </c>
      <c r="H782" s="981" t="s">
        <v>391</v>
      </c>
      <c r="I782" s="922" t="s">
        <v>183</v>
      </c>
      <c r="J782" s="922" t="s">
        <v>129</v>
      </c>
      <c r="K782" s="943" t="s">
        <v>387</v>
      </c>
      <c r="L782" s="944">
        <v>41164</v>
      </c>
      <c r="M782" s="982" t="s">
        <v>173</v>
      </c>
      <c r="N782" s="983"/>
      <c r="O782" s="938" t="s">
        <v>365</v>
      </c>
    </row>
    <row r="783" spans="2:15" hidden="1" outlineLevel="1">
      <c r="B783" s="977">
        <v>32</v>
      </c>
      <c r="C783" s="3515"/>
      <c r="D783" s="1037">
        <v>6</v>
      </c>
      <c r="E783" s="978" t="s">
        <v>133</v>
      </c>
      <c r="F783" s="979" t="s">
        <v>723</v>
      </c>
      <c r="G783" s="1381" t="s">
        <v>259</v>
      </c>
      <c r="H783" s="981" t="s">
        <v>392</v>
      </c>
      <c r="I783" s="922" t="s">
        <v>183</v>
      </c>
      <c r="J783" s="922" t="s">
        <v>129</v>
      </c>
      <c r="K783" s="943" t="s">
        <v>387</v>
      </c>
      <c r="L783" s="944">
        <v>41164</v>
      </c>
      <c r="M783" s="982" t="s">
        <v>173</v>
      </c>
      <c r="N783" s="983"/>
      <c r="O783" s="938" t="s">
        <v>365</v>
      </c>
    </row>
    <row r="784" spans="2:15" hidden="1" outlineLevel="1">
      <c r="B784" s="977">
        <v>33</v>
      </c>
      <c r="C784" s="3515"/>
      <c r="D784" s="1037">
        <v>7</v>
      </c>
      <c r="E784" s="978" t="s">
        <v>133</v>
      </c>
      <c r="F784" s="979" t="s">
        <v>723</v>
      </c>
      <c r="G784" s="1381" t="s">
        <v>259</v>
      </c>
      <c r="H784" s="981" t="s">
        <v>396</v>
      </c>
      <c r="I784" s="922" t="s">
        <v>183</v>
      </c>
      <c r="J784" s="922" t="s">
        <v>129</v>
      </c>
      <c r="K784" s="943" t="s">
        <v>387</v>
      </c>
      <c r="L784" s="944">
        <v>41164</v>
      </c>
      <c r="M784" s="982" t="s">
        <v>173</v>
      </c>
      <c r="N784" s="983"/>
      <c r="O784" s="938" t="s">
        <v>365</v>
      </c>
    </row>
    <row r="785" spans="2:15" hidden="1" outlineLevel="1">
      <c r="B785" s="977">
        <v>34</v>
      </c>
      <c r="C785" s="3515"/>
      <c r="D785" s="1037">
        <v>8</v>
      </c>
      <c r="E785" s="978" t="s">
        <v>133</v>
      </c>
      <c r="F785" s="979" t="s">
        <v>723</v>
      </c>
      <c r="G785" s="1381" t="s">
        <v>259</v>
      </c>
      <c r="H785" s="981" t="s">
        <v>397</v>
      </c>
      <c r="I785" s="922" t="s">
        <v>183</v>
      </c>
      <c r="J785" s="922" t="s">
        <v>129</v>
      </c>
      <c r="K785" s="943" t="s">
        <v>387</v>
      </c>
      <c r="L785" s="944">
        <v>41164</v>
      </c>
      <c r="M785" s="982" t="s">
        <v>173</v>
      </c>
      <c r="N785" s="983"/>
      <c r="O785" s="938" t="s">
        <v>365</v>
      </c>
    </row>
    <row r="786" spans="2:15" hidden="1" outlineLevel="1">
      <c r="B786" s="977">
        <v>35</v>
      </c>
      <c r="C786" s="3515"/>
      <c r="D786" s="1037">
        <v>9</v>
      </c>
      <c r="E786" s="978" t="s">
        <v>133</v>
      </c>
      <c r="F786" s="979" t="s">
        <v>723</v>
      </c>
      <c r="G786" s="1381" t="s">
        <v>259</v>
      </c>
      <c r="H786" s="981" t="s">
        <v>398</v>
      </c>
      <c r="I786" s="922" t="s">
        <v>183</v>
      </c>
      <c r="J786" s="922" t="s">
        <v>129</v>
      </c>
      <c r="K786" s="943" t="s">
        <v>387</v>
      </c>
      <c r="L786" s="944">
        <v>41164</v>
      </c>
      <c r="M786" s="982" t="s">
        <v>173</v>
      </c>
      <c r="N786" s="983"/>
      <c r="O786" s="938" t="s">
        <v>365</v>
      </c>
    </row>
    <row r="787" spans="2:15" ht="15.75" hidden="1" outlineLevel="1" thickBot="1">
      <c r="B787" s="900">
        <v>36</v>
      </c>
      <c r="C787" s="3516"/>
      <c r="D787" s="1098">
        <v>10</v>
      </c>
      <c r="E787" s="1298" t="s">
        <v>133</v>
      </c>
      <c r="F787" s="1294" t="s">
        <v>723</v>
      </c>
      <c r="G787" s="1385" t="s">
        <v>259</v>
      </c>
      <c r="H787" s="1161" t="s">
        <v>399</v>
      </c>
      <c r="I787" s="1295" t="s">
        <v>183</v>
      </c>
      <c r="J787" s="1295" t="s">
        <v>129</v>
      </c>
      <c r="K787" s="1256" t="s">
        <v>387</v>
      </c>
      <c r="L787" s="1163">
        <v>41164</v>
      </c>
      <c r="M787" s="1299" t="s">
        <v>173</v>
      </c>
      <c r="N787" s="1258"/>
      <c r="O787" s="1259" t="s">
        <v>365</v>
      </c>
    </row>
    <row r="788" spans="2:15" ht="10.15" customHeight="1" collapsed="1">
      <c r="B788" s="1421"/>
      <c r="C788" s="1422"/>
      <c r="D788" s="1401"/>
      <c r="E788" s="1423"/>
      <c r="F788" s="1424"/>
      <c r="G788" s="2538"/>
      <c r="H788" s="1426"/>
      <c r="I788" s="2560"/>
      <c r="J788" s="1423"/>
      <c r="K788" s="1427"/>
      <c r="L788" s="1425"/>
      <c r="M788" s="1428"/>
      <c r="N788" s="1428"/>
      <c r="O788" s="1429"/>
    </row>
    <row r="789" spans="2:15" ht="18" hidden="1" outlineLevel="1">
      <c r="B789" s="977">
        <v>37</v>
      </c>
      <c r="C789" s="3506" t="s">
        <v>274</v>
      </c>
      <c r="D789" s="1430">
        <v>1</v>
      </c>
      <c r="E789" s="1381" t="s">
        <v>733</v>
      </c>
      <c r="F789" s="1260" t="s">
        <v>732</v>
      </c>
      <c r="G789" s="1381" t="s">
        <v>300</v>
      </c>
      <c r="H789" s="981">
        <v>371112</v>
      </c>
      <c r="I789" s="922" t="s">
        <v>179</v>
      </c>
      <c r="J789" s="922" t="s">
        <v>304</v>
      </c>
      <c r="K789" s="943" t="s">
        <v>408</v>
      </c>
      <c r="L789" s="944">
        <v>41220</v>
      </c>
      <c r="M789" s="1263" t="s">
        <v>152</v>
      </c>
      <c r="N789" s="983"/>
      <c r="O789" s="1157" t="s">
        <v>198</v>
      </c>
    </row>
    <row r="790" spans="2:15" ht="18.75" hidden="1" outlineLevel="1" thickBot="1">
      <c r="B790" s="977">
        <v>38</v>
      </c>
      <c r="C790" s="3507"/>
      <c r="D790" s="1431">
        <v>2</v>
      </c>
      <c r="E790" s="1382" t="s">
        <v>733</v>
      </c>
      <c r="F790" s="1383" t="s">
        <v>732</v>
      </c>
      <c r="G790" s="1382" t="s">
        <v>300</v>
      </c>
      <c r="H790" s="1432">
        <v>381112</v>
      </c>
      <c r="I790" s="1433" t="s">
        <v>179</v>
      </c>
      <c r="J790" s="1433" t="s">
        <v>304</v>
      </c>
      <c r="K790" s="1434" t="s">
        <v>408</v>
      </c>
      <c r="L790" s="954">
        <v>41220</v>
      </c>
      <c r="M790" s="1435" t="s">
        <v>152</v>
      </c>
      <c r="N790" s="1284"/>
      <c r="O790" s="1436" t="s">
        <v>198</v>
      </c>
    </row>
    <row r="791" spans="2:15" ht="18" hidden="1" outlineLevel="1">
      <c r="B791" s="977">
        <v>39</v>
      </c>
      <c r="C791" s="3507"/>
      <c r="D791" s="1437">
        <v>1</v>
      </c>
      <c r="E791" s="1384" t="s">
        <v>733</v>
      </c>
      <c r="F791" s="1243" t="s">
        <v>732</v>
      </c>
      <c r="G791" s="1384" t="s">
        <v>300</v>
      </c>
      <c r="H791" s="920">
        <v>391112</v>
      </c>
      <c r="I791" s="1292" t="s">
        <v>179</v>
      </c>
      <c r="J791" s="1292" t="s">
        <v>304</v>
      </c>
      <c r="K791" s="923" t="s">
        <v>408</v>
      </c>
      <c r="L791" s="924">
        <v>41220</v>
      </c>
      <c r="M791" s="1247" t="s">
        <v>156</v>
      </c>
      <c r="N791" s="1248"/>
      <c r="O791" s="1198" t="s">
        <v>198</v>
      </c>
    </row>
    <row r="792" spans="2:15" ht="18.75" hidden="1" outlineLevel="1" thickBot="1">
      <c r="B792" s="977">
        <v>40</v>
      </c>
      <c r="C792" s="3507"/>
      <c r="D792" s="1438">
        <v>2</v>
      </c>
      <c r="E792" s="1385" t="s">
        <v>733</v>
      </c>
      <c r="F792" s="1252" t="s">
        <v>732</v>
      </c>
      <c r="G792" s="1385" t="s">
        <v>300</v>
      </c>
      <c r="H792" s="1161">
        <v>401112</v>
      </c>
      <c r="I792" s="1295" t="s">
        <v>179</v>
      </c>
      <c r="J792" s="1295" t="s">
        <v>304</v>
      </c>
      <c r="K792" s="1256" t="s">
        <v>408</v>
      </c>
      <c r="L792" s="1163">
        <v>41220</v>
      </c>
      <c r="M792" s="1257" t="s">
        <v>156</v>
      </c>
      <c r="N792" s="1258"/>
      <c r="O792" s="1166" t="s">
        <v>198</v>
      </c>
    </row>
    <row r="793" spans="2:15" ht="18" hidden="1" outlineLevel="1">
      <c r="B793" s="977">
        <v>41</v>
      </c>
      <c r="C793" s="3507"/>
      <c r="D793" s="1430">
        <v>1</v>
      </c>
      <c r="E793" s="1381" t="s">
        <v>733</v>
      </c>
      <c r="F793" s="1260" t="s">
        <v>732</v>
      </c>
      <c r="G793" s="1381" t="s">
        <v>300</v>
      </c>
      <c r="H793" s="981">
        <v>411112</v>
      </c>
      <c r="I793" s="922" t="s">
        <v>179</v>
      </c>
      <c r="J793" s="922" t="s">
        <v>304</v>
      </c>
      <c r="K793" s="943" t="s">
        <v>408</v>
      </c>
      <c r="L793" s="944">
        <v>41220</v>
      </c>
      <c r="M793" s="1263" t="s">
        <v>134</v>
      </c>
      <c r="N793" s="983"/>
      <c r="O793" s="1157" t="s">
        <v>198</v>
      </c>
    </row>
    <row r="794" spans="2:15" ht="18.75" hidden="1" outlineLevel="1" thickBot="1">
      <c r="B794" s="977">
        <v>42</v>
      </c>
      <c r="C794" s="3507"/>
      <c r="D794" s="1431">
        <v>2</v>
      </c>
      <c r="E794" s="1382" t="s">
        <v>733</v>
      </c>
      <c r="F794" s="1383" t="s">
        <v>732</v>
      </c>
      <c r="G794" s="1382" t="s">
        <v>300</v>
      </c>
      <c r="H794" s="1432">
        <v>421112</v>
      </c>
      <c r="I794" s="1433" t="s">
        <v>179</v>
      </c>
      <c r="J794" s="1433" t="s">
        <v>304</v>
      </c>
      <c r="K794" s="1434" t="s">
        <v>408</v>
      </c>
      <c r="L794" s="954">
        <v>41220</v>
      </c>
      <c r="M794" s="1435" t="s">
        <v>134</v>
      </c>
      <c r="N794" s="1284"/>
      <c r="O794" s="1436" t="s">
        <v>198</v>
      </c>
    </row>
    <row r="795" spans="2:15" ht="18" hidden="1" outlineLevel="1">
      <c r="B795" s="977">
        <v>43</v>
      </c>
      <c r="C795" s="3507"/>
      <c r="D795" s="1437">
        <v>1</v>
      </c>
      <c r="E795" s="1384" t="s">
        <v>733</v>
      </c>
      <c r="F795" s="1243" t="s">
        <v>732</v>
      </c>
      <c r="G795" s="1384" t="s">
        <v>300</v>
      </c>
      <c r="H795" s="920">
        <v>431112</v>
      </c>
      <c r="I795" s="1292" t="s">
        <v>179</v>
      </c>
      <c r="J795" s="1292" t="s">
        <v>304</v>
      </c>
      <c r="K795" s="923" t="s">
        <v>408</v>
      </c>
      <c r="L795" s="924">
        <v>41220</v>
      </c>
      <c r="M795" s="1247" t="s">
        <v>409</v>
      </c>
      <c r="N795" s="1248"/>
      <c r="O795" s="1198" t="s">
        <v>198</v>
      </c>
    </row>
    <row r="796" spans="2:15" ht="18.75" hidden="1" outlineLevel="1" thickBot="1">
      <c r="B796" s="977">
        <v>44</v>
      </c>
      <c r="C796" s="3507"/>
      <c r="D796" s="1438">
        <v>2</v>
      </c>
      <c r="E796" s="1385" t="s">
        <v>733</v>
      </c>
      <c r="F796" s="1252" t="s">
        <v>732</v>
      </c>
      <c r="G796" s="1385" t="s">
        <v>300</v>
      </c>
      <c r="H796" s="1161">
        <v>441112</v>
      </c>
      <c r="I796" s="1295" t="s">
        <v>179</v>
      </c>
      <c r="J796" s="1295" t="s">
        <v>304</v>
      </c>
      <c r="K796" s="1256" t="s">
        <v>408</v>
      </c>
      <c r="L796" s="1163">
        <v>41220</v>
      </c>
      <c r="M796" s="1257" t="s">
        <v>409</v>
      </c>
      <c r="N796" s="1258"/>
      <c r="O796" s="1166" t="s">
        <v>198</v>
      </c>
    </row>
    <row r="797" spans="2:15" ht="18" hidden="1" outlineLevel="1">
      <c r="B797" s="977">
        <v>45</v>
      </c>
      <c r="C797" s="3507"/>
      <c r="D797" s="1430">
        <v>1</v>
      </c>
      <c r="E797" s="1381" t="s">
        <v>733</v>
      </c>
      <c r="F797" s="1260" t="s">
        <v>732</v>
      </c>
      <c r="G797" s="1381" t="s">
        <v>300</v>
      </c>
      <c r="H797" s="981">
        <v>451112</v>
      </c>
      <c r="I797" s="922" t="s">
        <v>179</v>
      </c>
      <c r="J797" s="922" t="s">
        <v>304</v>
      </c>
      <c r="K797" s="943" t="s">
        <v>408</v>
      </c>
      <c r="L797" s="944">
        <v>41220</v>
      </c>
      <c r="M797" s="1263" t="s">
        <v>153</v>
      </c>
      <c r="N797" s="983"/>
      <c r="O797" s="1157" t="s">
        <v>198</v>
      </c>
    </row>
    <row r="798" spans="2:15" ht="18.75" hidden="1" outlineLevel="1" thickBot="1">
      <c r="B798" s="977">
        <v>46</v>
      </c>
      <c r="C798" s="3507"/>
      <c r="D798" s="1431">
        <v>2</v>
      </c>
      <c r="E798" s="1382" t="s">
        <v>733</v>
      </c>
      <c r="F798" s="1383" t="s">
        <v>732</v>
      </c>
      <c r="G798" s="1382" t="s">
        <v>300</v>
      </c>
      <c r="H798" s="1432">
        <v>461112</v>
      </c>
      <c r="I798" s="1433" t="s">
        <v>179</v>
      </c>
      <c r="J798" s="1433" t="s">
        <v>304</v>
      </c>
      <c r="K798" s="1434" t="s">
        <v>408</v>
      </c>
      <c r="L798" s="954">
        <v>41220</v>
      </c>
      <c r="M798" s="1435" t="s">
        <v>153</v>
      </c>
      <c r="N798" s="1284"/>
      <c r="O798" s="1436" t="s">
        <v>198</v>
      </c>
    </row>
    <row r="799" spans="2:15" ht="18" hidden="1" outlineLevel="1">
      <c r="B799" s="977">
        <v>47</v>
      </c>
      <c r="C799" s="3507"/>
      <c r="D799" s="1437">
        <v>1</v>
      </c>
      <c r="E799" s="1384" t="s">
        <v>733</v>
      </c>
      <c r="F799" s="1243" t="s">
        <v>732</v>
      </c>
      <c r="G799" s="1384" t="s">
        <v>300</v>
      </c>
      <c r="H799" s="920">
        <v>471112</v>
      </c>
      <c r="I799" s="1292" t="s">
        <v>179</v>
      </c>
      <c r="J799" s="1292" t="s">
        <v>304</v>
      </c>
      <c r="K799" s="923" t="s">
        <v>408</v>
      </c>
      <c r="L799" s="924">
        <v>41220</v>
      </c>
      <c r="M799" s="1247" t="s">
        <v>149</v>
      </c>
      <c r="N799" s="1248"/>
      <c r="O799" s="1198" t="s">
        <v>198</v>
      </c>
    </row>
    <row r="800" spans="2:15" ht="18.75" hidden="1" outlineLevel="1" thickBot="1">
      <c r="B800" s="985">
        <v>48</v>
      </c>
      <c r="C800" s="3508"/>
      <c r="D800" s="1438">
        <v>2</v>
      </c>
      <c r="E800" s="1385" t="s">
        <v>733</v>
      </c>
      <c r="F800" s="1252" t="s">
        <v>732</v>
      </c>
      <c r="G800" s="1385" t="s">
        <v>300</v>
      </c>
      <c r="H800" s="1161">
        <v>481112</v>
      </c>
      <c r="I800" s="1295" t="s">
        <v>179</v>
      </c>
      <c r="J800" s="1295" t="s">
        <v>304</v>
      </c>
      <c r="K800" s="1256" t="s">
        <v>408</v>
      </c>
      <c r="L800" s="1163">
        <v>41220</v>
      </c>
      <c r="M800" s="1257" t="s">
        <v>149</v>
      </c>
      <c r="N800" s="1258"/>
      <c r="O800" s="1166" t="s">
        <v>198</v>
      </c>
    </row>
    <row r="801" spans="2:29" collapsed="1"/>
    <row r="802" spans="2:29" ht="21" thickBot="1">
      <c r="C802" s="867" t="s">
        <v>174</v>
      </c>
      <c r="D802" s="914"/>
    </row>
    <row r="803" spans="2:29" ht="15.75" thickBot="1">
      <c r="M803" s="3490" t="s">
        <v>175</v>
      </c>
      <c r="N803" s="3491"/>
    </row>
    <row r="804" spans="2:29" s="463" customFormat="1" ht="20.100000000000001" customHeight="1" thickBot="1">
      <c r="B804" s="1009" t="s">
        <v>704</v>
      </c>
      <c r="C804" s="1010" t="s">
        <v>113</v>
      </c>
      <c r="D804" s="1011" t="s">
        <v>176</v>
      </c>
      <c r="E804" s="1012" t="s">
        <v>114</v>
      </c>
      <c r="F804" s="1013" t="s">
        <v>705</v>
      </c>
      <c r="G804" s="2539" t="s">
        <v>115</v>
      </c>
      <c r="H804" s="1015" t="s">
        <v>116</v>
      </c>
      <c r="I804" s="2561" t="s">
        <v>117</v>
      </c>
      <c r="J804" s="1017" t="s">
        <v>118</v>
      </c>
      <c r="K804" s="1018" t="s">
        <v>119</v>
      </c>
      <c r="L804" s="1019" t="s">
        <v>713</v>
      </c>
      <c r="M804" s="1020" t="s">
        <v>120</v>
      </c>
      <c r="N804" s="1021" t="s">
        <v>121</v>
      </c>
      <c r="O804" s="1022" t="s">
        <v>719</v>
      </c>
    </row>
    <row r="805" spans="2:29" s="463" customFormat="1" ht="20.100000000000001" hidden="1" customHeight="1" outlineLevel="1" thickBot="1">
      <c r="B805" s="1023">
        <v>1</v>
      </c>
      <c r="C805" s="3528" t="s">
        <v>177</v>
      </c>
      <c r="D805" s="1024">
        <v>1</v>
      </c>
      <c r="E805" s="1025" t="s">
        <v>737</v>
      </c>
      <c r="F805" s="1026" t="s">
        <v>732</v>
      </c>
      <c r="G805" s="2540" t="s">
        <v>178</v>
      </c>
      <c r="H805" s="1028">
        <v>10111</v>
      </c>
      <c r="I805" s="2562" t="s">
        <v>179</v>
      </c>
      <c r="J805" s="1030" t="s">
        <v>129</v>
      </c>
      <c r="K805" s="2258" t="s">
        <v>1307</v>
      </c>
      <c r="L805" s="1032">
        <v>40560</v>
      </c>
      <c r="M805" s="1033" t="s">
        <v>173</v>
      </c>
      <c r="N805" s="1034">
        <v>40560</v>
      </c>
      <c r="O805" s="1035" t="s">
        <v>236</v>
      </c>
    </row>
    <row r="806" spans="2:29" s="463" customFormat="1" ht="20.100000000000001" hidden="1" customHeight="1" outlineLevel="1" thickTop="1">
      <c r="B806" s="1036">
        <v>2</v>
      </c>
      <c r="C806" s="3526"/>
      <c r="D806" s="1037">
        <v>2</v>
      </c>
      <c r="E806" s="1038" t="s">
        <v>737</v>
      </c>
      <c r="F806" s="1039" t="s">
        <v>732</v>
      </c>
      <c r="G806" s="2541" t="s">
        <v>178</v>
      </c>
      <c r="H806" s="1041">
        <v>110111</v>
      </c>
      <c r="I806" s="2563" t="s">
        <v>179</v>
      </c>
      <c r="J806" s="1043" t="s">
        <v>129</v>
      </c>
      <c r="K806" s="2259" t="s">
        <v>1307</v>
      </c>
      <c r="L806" s="1045">
        <v>40560</v>
      </c>
      <c r="M806" s="1046" t="s">
        <v>173</v>
      </c>
      <c r="N806" s="1047">
        <v>40560</v>
      </c>
      <c r="O806" s="1048" t="s">
        <v>181</v>
      </c>
      <c r="U806" s="1049"/>
      <c r="V806" s="1050"/>
      <c r="W806" s="1050"/>
      <c r="X806" s="1051"/>
    </row>
    <row r="807" spans="2:29" s="463" customFormat="1" ht="20.100000000000001" hidden="1" customHeight="1" outlineLevel="1">
      <c r="B807" s="1036">
        <v>3</v>
      </c>
      <c r="C807" s="3526"/>
      <c r="D807" s="1037">
        <v>3</v>
      </c>
      <c r="E807" s="1038" t="s">
        <v>737</v>
      </c>
      <c r="F807" s="1039" t="s">
        <v>732</v>
      </c>
      <c r="G807" s="2541" t="s">
        <v>182</v>
      </c>
      <c r="H807" s="1041">
        <v>30111</v>
      </c>
      <c r="I807" s="2563" t="s">
        <v>183</v>
      </c>
      <c r="J807" s="1043" t="s">
        <v>129</v>
      </c>
      <c r="K807" s="2259" t="s">
        <v>1307</v>
      </c>
      <c r="L807" s="1045">
        <v>40560</v>
      </c>
      <c r="M807" s="1046" t="s">
        <v>173</v>
      </c>
      <c r="N807" s="1047">
        <v>40560</v>
      </c>
      <c r="O807" s="1048" t="s">
        <v>184</v>
      </c>
      <c r="S807" s="3484">
        <v>1</v>
      </c>
      <c r="T807" s="3485"/>
      <c r="U807" s="1052"/>
      <c r="V807" s="1052"/>
      <c r="W807" s="1052"/>
      <c r="X807" s="1052"/>
      <c r="Y807" s="3484">
        <v>2</v>
      </c>
      <c r="Z807" s="3485"/>
    </row>
    <row r="808" spans="2:29" s="463" customFormat="1" ht="20.100000000000001" hidden="1" customHeight="1" outlineLevel="1">
      <c r="B808" s="1036">
        <v>4</v>
      </c>
      <c r="C808" s="3526"/>
      <c r="D808" s="1037">
        <v>4</v>
      </c>
      <c r="E808" s="1038" t="s">
        <v>737</v>
      </c>
      <c r="F808" s="1039" t="s">
        <v>732</v>
      </c>
      <c r="G808" s="2541" t="s">
        <v>182</v>
      </c>
      <c r="H808" s="1041">
        <v>40111</v>
      </c>
      <c r="I808" s="2563" t="s">
        <v>183</v>
      </c>
      <c r="J808" s="1043" t="s">
        <v>129</v>
      </c>
      <c r="K808" s="2259" t="s">
        <v>1307</v>
      </c>
      <c r="L808" s="1045">
        <v>40560</v>
      </c>
      <c r="M808" s="1046" t="s">
        <v>173</v>
      </c>
      <c r="N808" s="1047">
        <v>40560</v>
      </c>
      <c r="O808" s="1048" t="s">
        <v>184</v>
      </c>
      <c r="S808" s="3486"/>
      <c r="T808" s="3487"/>
      <c r="U808" s="1053"/>
      <c r="V808" s="1054"/>
      <c r="W808" s="1054"/>
      <c r="X808" s="1055"/>
      <c r="Y808" s="3486"/>
      <c r="Z808" s="3487"/>
    </row>
    <row r="809" spans="2:29" ht="18" hidden="1" customHeight="1" outlineLevel="1">
      <c r="B809" s="1036">
        <v>5</v>
      </c>
      <c r="C809" s="3526"/>
      <c r="D809" s="1037">
        <v>5</v>
      </c>
      <c r="E809" s="1038" t="s">
        <v>737</v>
      </c>
      <c r="F809" s="1039" t="s">
        <v>732</v>
      </c>
      <c r="G809" s="2541" t="s">
        <v>182</v>
      </c>
      <c r="H809" s="1041">
        <v>50111</v>
      </c>
      <c r="I809" s="2563" t="s">
        <v>183</v>
      </c>
      <c r="J809" s="1043" t="s">
        <v>129</v>
      </c>
      <c r="K809" s="2259" t="s">
        <v>1307</v>
      </c>
      <c r="L809" s="1045">
        <v>40560</v>
      </c>
      <c r="M809" s="1046" t="s">
        <v>173</v>
      </c>
      <c r="N809" s="1047">
        <v>40560</v>
      </c>
      <c r="O809" s="1048" t="s">
        <v>185</v>
      </c>
      <c r="P809" s="463"/>
      <c r="Q809" s="463"/>
      <c r="R809" s="463"/>
      <c r="S809" s="3488"/>
      <c r="T809" s="3489"/>
      <c r="U809" s="1056"/>
      <c r="V809" s="1056"/>
      <c r="W809" s="1056"/>
      <c r="X809" s="1056"/>
      <c r="Y809" s="3488"/>
      <c r="Z809" s="3489"/>
      <c r="AA809" s="463"/>
      <c r="AB809" s="463"/>
      <c r="AC809" s="463"/>
    </row>
    <row r="810" spans="2:29" ht="18" hidden="1" outlineLevel="1">
      <c r="B810" s="1057">
        <v>6</v>
      </c>
      <c r="C810" s="3526"/>
      <c r="D810" s="1037">
        <v>6</v>
      </c>
      <c r="E810" s="1038" t="s">
        <v>737</v>
      </c>
      <c r="F810" s="1039" t="s">
        <v>732</v>
      </c>
      <c r="G810" s="2541" t="s">
        <v>182</v>
      </c>
      <c r="H810" s="1041">
        <v>60111</v>
      </c>
      <c r="I810" s="2563" t="s">
        <v>183</v>
      </c>
      <c r="J810" s="1043" t="s">
        <v>129</v>
      </c>
      <c r="K810" s="2259" t="s">
        <v>1307</v>
      </c>
      <c r="L810" s="1045">
        <v>40560</v>
      </c>
      <c r="M810" s="1046" t="s">
        <v>173</v>
      </c>
      <c r="N810" s="1047">
        <v>40560</v>
      </c>
      <c r="O810" s="1048" t="s">
        <v>237</v>
      </c>
      <c r="P810" s="463"/>
      <c r="Q810" s="463"/>
      <c r="R810" s="463"/>
      <c r="S810" s="736"/>
      <c r="T810" s="736"/>
      <c r="U810" s="1058"/>
      <c r="V810" s="1056"/>
      <c r="W810" s="1056"/>
      <c r="X810" s="1059"/>
      <c r="Y810" s="463"/>
      <c r="Z810" s="736"/>
      <c r="AA810" s="463"/>
      <c r="AB810" s="463"/>
      <c r="AC810" s="463"/>
    </row>
    <row r="811" spans="2:29" ht="18" hidden="1" outlineLevel="1">
      <c r="B811" s="1057">
        <v>7</v>
      </c>
      <c r="C811" s="3526"/>
      <c r="D811" s="1037">
        <v>7</v>
      </c>
      <c r="E811" s="1038" t="s">
        <v>737</v>
      </c>
      <c r="F811" s="1039" t="s">
        <v>732</v>
      </c>
      <c r="G811" s="2541" t="s">
        <v>182</v>
      </c>
      <c r="H811" s="1041">
        <v>70111</v>
      </c>
      <c r="I811" s="2563" t="s">
        <v>183</v>
      </c>
      <c r="J811" s="1043" t="s">
        <v>129</v>
      </c>
      <c r="K811" s="2259" t="s">
        <v>1307</v>
      </c>
      <c r="L811" s="1045">
        <v>40560</v>
      </c>
      <c r="M811" s="1046" t="s">
        <v>173</v>
      </c>
      <c r="N811" s="1047">
        <v>40560</v>
      </c>
      <c r="O811" s="1048" t="s">
        <v>184</v>
      </c>
      <c r="P811" s="463"/>
      <c r="Q811" s="463"/>
      <c r="R811" s="463"/>
      <c r="S811" s="736"/>
      <c r="T811" s="736"/>
      <c r="U811" s="1058"/>
      <c r="V811" s="1056"/>
      <c r="W811" s="1056"/>
      <c r="X811" s="1059"/>
      <c r="Y811" s="463"/>
      <c r="Z811" s="736"/>
      <c r="AA811" s="463"/>
      <c r="AB811" s="463"/>
    </row>
    <row r="812" spans="2:29" ht="18" hidden="1" outlineLevel="1">
      <c r="B812" s="1057">
        <v>8</v>
      </c>
      <c r="C812" s="3526"/>
      <c r="D812" s="1037">
        <v>8</v>
      </c>
      <c r="E812" s="1038" t="s">
        <v>737</v>
      </c>
      <c r="F812" s="1039" t="s">
        <v>732</v>
      </c>
      <c r="G812" s="2541" t="s">
        <v>182</v>
      </c>
      <c r="H812" s="1041">
        <v>80111</v>
      </c>
      <c r="I812" s="2563" t="s">
        <v>183</v>
      </c>
      <c r="J812" s="1043" t="s">
        <v>129</v>
      </c>
      <c r="K812" s="2259" t="s">
        <v>1307</v>
      </c>
      <c r="L812" s="1045">
        <v>40560</v>
      </c>
      <c r="M812" s="1046" t="s">
        <v>173</v>
      </c>
      <c r="N812" s="1047">
        <v>40560</v>
      </c>
      <c r="O812" s="1048" t="s">
        <v>184</v>
      </c>
      <c r="P812" s="463"/>
      <c r="Q812" s="463"/>
      <c r="R812" s="463"/>
      <c r="S812" s="463"/>
      <c r="T812" s="463"/>
      <c r="U812" s="1060"/>
      <c r="V812" s="1056"/>
      <c r="W812" s="1056"/>
      <c r="X812" s="1061"/>
      <c r="Y812" s="463"/>
      <c r="Z812" s="463"/>
      <c r="AA812" s="463"/>
      <c r="AB812" s="463"/>
    </row>
    <row r="813" spans="2:29" ht="18" hidden="1" outlineLevel="1">
      <c r="B813" s="1057">
        <v>9</v>
      </c>
      <c r="C813" s="3526"/>
      <c r="D813" s="1037">
        <v>9</v>
      </c>
      <c r="E813" s="1038" t="s">
        <v>737</v>
      </c>
      <c r="F813" s="1039" t="s">
        <v>732</v>
      </c>
      <c r="G813" s="2541" t="s">
        <v>182</v>
      </c>
      <c r="H813" s="1041">
        <v>90111</v>
      </c>
      <c r="I813" s="2563" t="s">
        <v>183</v>
      </c>
      <c r="J813" s="1043" t="s">
        <v>129</v>
      </c>
      <c r="K813" s="2259" t="s">
        <v>1307</v>
      </c>
      <c r="L813" s="1045">
        <v>40560</v>
      </c>
      <c r="M813" s="1046" t="s">
        <v>173</v>
      </c>
      <c r="N813" s="1047">
        <v>40560</v>
      </c>
      <c r="O813" s="1048" t="s">
        <v>245</v>
      </c>
      <c r="Q813" s="3484">
        <v>3</v>
      </c>
      <c r="R813" s="3485"/>
      <c r="S813" s="1062"/>
      <c r="T813" s="3484">
        <v>4</v>
      </c>
      <c r="U813" s="3485"/>
      <c r="V813" s="1052"/>
      <c r="W813" s="1052"/>
      <c r="X813" s="3484">
        <v>5</v>
      </c>
      <c r="Y813" s="3485"/>
      <c r="Z813" s="1062"/>
      <c r="AA813" s="3484">
        <v>6</v>
      </c>
      <c r="AB813" s="3485"/>
    </row>
    <row r="814" spans="2:29" ht="18.75" hidden="1" outlineLevel="1" thickBot="1">
      <c r="B814" s="1057">
        <v>10</v>
      </c>
      <c r="C814" s="3526"/>
      <c r="D814" s="1063">
        <v>10</v>
      </c>
      <c r="E814" s="1064" t="s">
        <v>737</v>
      </c>
      <c r="F814" s="1065" t="s">
        <v>732</v>
      </c>
      <c r="G814" s="2542" t="s">
        <v>182</v>
      </c>
      <c r="H814" s="1067">
        <v>100111</v>
      </c>
      <c r="I814" s="2564" t="s">
        <v>183</v>
      </c>
      <c r="J814" s="1069" t="s">
        <v>129</v>
      </c>
      <c r="K814" s="2260" t="s">
        <v>1307</v>
      </c>
      <c r="L814" s="1071">
        <v>40560</v>
      </c>
      <c r="M814" s="1072" t="s">
        <v>173</v>
      </c>
      <c r="N814" s="1073">
        <v>40560</v>
      </c>
      <c r="O814" s="1074" t="s">
        <v>246</v>
      </c>
      <c r="Q814" s="3486"/>
      <c r="R814" s="3487"/>
      <c r="S814" s="1075"/>
      <c r="T814" s="3486"/>
      <c r="U814" s="3487"/>
      <c r="V814" s="1076"/>
      <c r="W814" s="1077"/>
      <c r="X814" s="3486"/>
      <c r="Y814" s="3487"/>
      <c r="Z814" s="1075"/>
      <c r="AA814" s="3486"/>
      <c r="AB814" s="3487"/>
    </row>
    <row r="815" spans="2:29" ht="18" hidden="1" outlineLevel="1">
      <c r="B815" s="1057">
        <v>11</v>
      </c>
      <c r="C815" s="3526"/>
      <c r="D815" s="1078">
        <v>1</v>
      </c>
      <c r="E815" s="1079" t="s">
        <v>737</v>
      </c>
      <c r="F815" s="1039" t="s">
        <v>732</v>
      </c>
      <c r="G815" s="2543" t="s">
        <v>178</v>
      </c>
      <c r="H815" s="1081">
        <v>120111</v>
      </c>
      <c r="I815" s="2565" t="s">
        <v>179</v>
      </c>
      <c r="J815" s="1083" t="s">
        <v>129</v>
      </c>
      <c r="K815" s="2261" t="s">
        <v>1307</v>
      </c>
      <c r="L815" s="1085">
        <v>40560</v>
      </c>
      <c r="M815" s="1086" t="s">
        <v>168</v>
      </c>
      <c r="N815" s="1087">
        <v>40561</v>
      </c>
      <c r="O815" s="1088" t="s">
        <v>186</v>
      </c>
      <c r="Q815" s="3488"/>
      <c r="R815" s="3489"/>
      <c r="T815" s="3488"/>
      <c r="U815" s="3489"/>
      <c r="V815" s="1089"/>
      <c r="W815" s="1089"/>
      <c r="X815" s="3488"/>
      <c r="Y815" s="3489"/>
      <c r="AA815" s="3488"/>
      <c r="AB815" s="3489"/>
    </row>
    <row r="816" spans="2:29" ht="18" hidden="1" outlineLevel="1">
      <c r="B816" s="1057">
        <v>12</v>
      </c>
      <c r="C816" s="3526"/>
      <c r="D816" s="1037">
        <v>2</v>
      </c>
      <c r="E816" s="1079" t="s">
        <v>737</v>
      </c>
      <c r="F816" s="1039" t="s">
        <v>732</v>
      </c>
      <c r="G816" s="2543" t="s">
        <v>178</v>
      </c>
      <c r="H816" s="1081">
        <v>20111</v>
      </c>
      <c r="I816" s="2565" t="s">
        <v>179</v>
      </c>
      <c r="J816" s="1083" t="s">
        <v>129</v>
      </c>
      <c r="K816" s="2261" t="s">
        <v>1307</v>
      </c>
      <c r="L816" s="1085">
        <v>40560</v>
      </c>
      <c r="M816" s="1086" t="s">
        <v>168</v>
      </c>
      <c r="N816" s="1090">
        <v>40561</v>
      </c>
      <c r="O816" s="1088" t="s">
        <v>187</v>
      </c>
      <c r="U816" s="1091"/>
      <c r="V816" s="1089"/>
      <c r="W816" s="1089"/>
      <c r="X816" s="1089"/>
      <c r="Y816" s="1092"/>
    </row>
    <row r="817" spans="2:28" ht="18" hidden="1" outlineLevel="1">
      <c r="B817" s="1057">
        <v>13</v>
      </c>
      <c r="C817" s="3526"/>
      <c r="D817" s="1037">
        <v>3</v>
      </c>
      <c r="E817" s="1079" t="s">
        <v>737</v>
      </c>
      <c r="F817" s="1039" t="s">
        <v>732</v>
      </c>
      <c r="G817" s="2543" t="s">
        <v>182</v>
      </c>
      <c r="H817" s="1081">
        <v>130111</v>
      </c>
      <c r="I817" s="2565" t="s">
        <v>183</v>
      </c>
      <c r="J817" s="1083" t="s">
        <v>129</v>
      </c>
      <c r="K817" s="2261" t="s">
        <v>1307</v>
      </c>
      <c r="L817" s="1085">
        <v>40560</v>
      </c>
      <c r="M817" s="1086" t="s">
        <v>168</v>
      </c>
      <c r="N817" s="1090">
        <v>40561</v>
      </c>
      <c r="O817" s="1088" t="s">
        <v>186</v>
      </c>
      <c r="Q817" s="3484">
        <v>7</v>
      </c>
      <c r="R817" s="3485"/>
      <c r="S817" s="437"/>
      <c r="T817" s="3484">
        <v>8</v>
      </c>
      <c r="U817" s="3485"/>
      <c r="V817" s="1093"/>
      <c r="W817" s="1093"/>
      <c r="X817" s="3484">
        <v>9</v>
      </c>
      <c r="Y817" s="3485"/>
      <c r="Z817" s="437"/>
      <c r="AA817" s="3484">
        <v>10</v>
      </c>
      <c r="AB817" s="3485"/>
    </row>
    <row r="818" spans="2:28" ht="18" hidden="1" outlineLevel="1">
      <c r="B818" s="1057">
        <v>14</v>
      </c>
      <c r="C818" s="3526"/>
      <c r="D818" s="1037">
        <v>4</v>
      </c>
      <c r="E818" s="1079" t="s">
        <v>737</v>
      </c>
      <c r="F818" s="1039" t="s">
        <v>732</v>
      </c>
      <c r="G818" s="2543" t="s">
        <v>182</v>
      </c>
      <c r="H818" s="1081">
        <v>140111</v>
      </c>
      <c r="I818" s="2565" t="s">
        <v>183</v>
      </c>
      <c r="J818" s="1083" t="s">
        <v>129</v>
      </c>
      <c r="K818" s="2261" t="s">
        <v>1307</v>
      </c>
      <c r="L818" s="1085">
        <v>40560</v>
      </c>
      <c r="M818" s="1086" t="s">
        <v>168</v>
      </c>
      <c r="N818" s="1090">
        <v>40561</v>
      </c>
      <c r="O818" s="1088" t="s">
        <v>186</v>
      </c>
      <c r="Q818" s="3486"/>
      <c r="R818" s="3487"/>
      <c r="S818" s="1075"/>
      <c r="T818" s="3486"/>
      <c r="U818" s="3487"/>
      <c r="V818" s="1076"/>
      <c r="W818" s="1077"/>
      <c r="X818" s="3486"/>
      <c r="Y818" s="3487"/>
      <c r="Z818" s="1075"/>
      <c r="AA818" s="3486"/>
      <c r="AB818" s="3487"/>
    </row>
    <row r="819" spans="2:28" ht="18" hidden="1" outlineLevel="1">
      <c r="B819" s="1057">
        <v>15</v>
      </c>
      <c r="C819" s="3526"/>
      <c r="D819" s="1037">
        <v>5</v>
      </c>
      <c r="E819" s="1079" t="s">
        <v>737</v>
      </c>
      <c r="F819" s="1039" t="s">
        <v>732</v>
      </c>
      <c r="G819" s="2543" t="s">
        <v>182</v>
      </c>
      <c r="H819" s="1081">
        <v>170111</v>
      </c>
      <c r="I819" s="2565" t="s">
        <v>183</v>
      </c>
      <c r="J819" s="1083" t="s">
        <v>129</v>
      </c>
      <c r="K819" s="2261" t="s">
        <v>1307</v>
      </c>
      <c r="L819" s="1085">
        <v>40560</v>
      </c>
      <c r="M819" s="1086" t="s">
        <v>168</v>
      </c>
      <c r="N819" s="1090">
        <v>40561</v>
      </c>
      <c r="O819" s="1088" t="s">
        <v>187</v>
      </c>
      <c r="Q819" s="3488"/>
      <c r="R819" s="3489"/>
      <c r="T819" s="3488"/>
      <c r="U819" s="3489"/>
      <c r="V819" s="1089"/>
      <c r="W819" s="1089"/>
      <c r="X819" s="3488"/>
      <c r="Y819" s="3489"/>
      <c r="AA819" s="3488"/>
      <c r="AB819" s="3489"/>
    </row>
    <row r="820" spans="2:28" ht="18.75" hidden="1" outlineLevel="1" thickBot="1">
      <c r="B820" s="1057">
        <v>16</v>
      </c>
      <c r="C820" s="3526"/>
      <c r="D820" s="1037">
        <v>6</v>
      </c>
      <c r="E820" s="1079" t="s">
        <v>737</v>
      </c>
      <c r="F820" s="1039" t="s">
        <v>732</v>
      </c>
      <c r="G820" s="2543" t="s">
        <v>182</v>
      </c>
      <c r="H820" s="1081">
        <v>180111</v>
      </c>
      <c r="I820" s="2565" t="s">
        <v>183</v>
      </c>
      <c r="J820" s="1083" t="s">
        <v>129</v>
      </c>
      <c r="K820" s="2261" t="s">
        <v>1307</v>
      </c>
      <c r="L820" s="1085">
        <v>40560</v>
      </c>
      <c r="M820" s="1086" t="s">
        <v>168</v>
      </c>
      <c r="N820" s="1090">
        <v>40561</v>
      </c>
      <c r="O820" s="1088" t="s">
        <v>187</v>
      </c>
      <c r="U820" s="1094"/>
      <c r="V820" s="1095"/>
      <c r="W820" s="1095"/>
      <c r="X820" s="1096"/>
    </row>
    <row r="821" spans="2:28" ht="18.75" hidden="1" outlineLevel="1" thickTop="1">
      <c r="B821" s="1057">
        <v>17</v>
      </c>
      <c r="C821" s="3526"/>
      <c r="D821" s="1037">
        <v>7</v>
      </c>
      <c r="E821" s="1079" t="s">
        <v>737</v>
      </c>
      <c r="F821" s="1039" t="s">
        <v>732</v>
      </c>
      <c r="G821" s="2543" t="s">
        <v>182</v>
      </c>
      <c r="H821" s="1081">
        <v>150111</v>
      </c>
      <c r="I821" s="2565" t="s">
        <v>183</v>
      </c>
      <c r="J821" s="1083" t="s">
        <v>129</v>
      </c>
      <c r="K821" s="2261" t="s">
        <v>1307</v>
      </c>
      <c r="L821" s="1085">
        <v>40560</v>
      </c>
      <c r="M821" s="1086" t="s">
        <v>168</v>
      </c>
      <c r="N821" s="1090">
        <v>40561</v>
      </c>
      <c r="O821" s="1088" t="s">
        <v>186</v>
      </c>
    </row>
    <row r="822" spans="2:28" ht="18" hidden="1" outlineLevel="1">
      <c r="B822" s="1057">
        <v>18</v>
      </c>
      <c r="C822" s="3526"/>
      <c r="D822" s="1037">
        <v>8</v>
      </c>
      <c r="E822" s="1079" t="s">
        <v>737</v>
      </c>
      <c r="F822" s="1039" t="s">
        <v>732</v>
      </c>
      <c r="G822" s="2543" t="s">
        <v>182</v>
      </c>
      <c r="H822" s="1081">
        <v>160111</v>
      </c>
      <c r="I822" s="2565" t="s">
        <v>183</v>
      </c>
      <c r="J822" s="1083" t="s">
        <v>129</v>
      </c>
      <c r="K822" s="2261" t="s">
        <v>1307</v>
      </c>
      <c r="L822" s="1085">
        <v>40560</v>
      </c>
      <c r="M822" s="1086" t="s">
        <v>168</v>
      </c>
      <c r="N822" s="1090">
        <v>40561</v>
      </c>
      <c r="O822" s="1088" t="s">
        <v>186</v>
      </c>
    </row>
    <row r="823" spans="2:28" ht="18" hidden="1" outlineLevel="1">
      <c r="B823" s="1057">
        <v>19</v>
      </c>
      <c r="C823" s="3526"/>
      <c r="D823" s="1037">
        <v>9</v>
      </c>
      <c r="E823" s="1079" t="s">
        <v>737</v>
      </c>
      <c r="F823" s="1039" t="s">
        <v>732</v>
      </c>
      <c r="G823" s="2543" t="s">
        <v>182</v>
      </c>
      <c r="H823" s="1081">
        <v>190111</v>
      </c>
      <c r="I823" s="2565" t="s">
        <v>183</v>
      </c>
      <c r="J823" s="1083" t="s">
        <v>129</v>
      </c>
      <c r="K823" s="2261" t="s">
        <v>1307</v>
      </c>
      <c r="L823" s="1085">
        <v>40560</v>
      </c>
      <c r="M823" s="1086" t="s">
        <v>168</v>
      </c>
      <c r="N823" s="1090">
        <v>40561</v>
      </c>
      <c r="O823" s="1088" t="s">
        <v>187</v>
      </c>
    </row>
    <row r="824" spans="2:28" ht="18.75" hidden="1" outlineLevel="1" thickBot="1">
      <c r="B824" s="1097">
        <v>20</v>
      </c>
      <c r="C824" s="3527"/>
      <c r="D824" s="1098">
        <v>10</v>
      </c>
      <c r="E824" s="1099" t="s">
        <v>737</v>
      </c>
      <c r="F824" s="1100" t="s">
        <v>732</v>
      </c>
      <c r="G824" s="2544" t="s">
        <v>182</v>
      </c>
      <c r="H824" s="1102">
        <v>200111</v>
      </c>
      <c r="I824" s="2566" t="s">
        <v>183</v>
      </c>
      <c r="J824" s="1104" t="s">
        <v>129</v>
      </c>
      <c r="K824" s="2262" t="s">
        <v>1307</v>
      </c>
      <c r="L824" s="1106">
        <v>40560</v>
      </c>
      <c r="M824" s="1107" t="s">
        <v>168</v>
      </c>
      <c r="N824" s="1108">
        <v>40561</v>
      </c>
      <c r="O824" s="1109" t="s">
        <v>187</v>
      </c>
    </row>
    <row r="825" spans="2:28" ht="10.15" customHeight="1" collapsed="1" thickBot="1">
      <c r="B825" s="1110"/>
      <c r="C825" s="1111"/>
      <c r="D825" s="1112"/>
      <c r="E825" s="1113"/>
      <c r="F825" s="1114"/>
      <c r="G825" s="2545"/>
      <c r="H825" s="1116"/>
      <c r="I825" s="2567"/>
      <c r="J825" s="1118"/>
      <c r="K825" s="1119"/>
      <c r="L825" s="1120"/>
      <c r="M825" s="1121"/>
      <c r="N825" s="1122"/>
      <c r="O825" s="1123"/>
    </row>
    <row r="826" spans="2:28" ht="19.5" hidden="1" outlineLevel="1" thickBot="1">
      <c r="B826" s="1124">
        <v>1</v>
      </c>
      <c r="C826" s="3473" t="s">
        <v>188</v>
      </c>
      <c r="D826" s="1125">
        <v>9</v>
      </c>
      <c r="E826" s="1126" t="s">
        <v>733</v>
      </c>
      <c r="F826" s="1127" t="s">
        <v>732</v>
      </c>
      <c r="G826" s="2546" t="s">
        <v>189</v>
      </c>
      <c r="H826" s="1128">
        <v>810910</v>
      </c>
      <c r="I826" s="2546" t="s">
        <v>183</v>
      </c>
      <c r="J826" s="1126" t="s">
        <v>733</v>
      </c>
      <c r="K826" s="1129" t="s">
        <v>190</v>
      </c>
      <c r="L826" s="1130">
        <v>40593</v>
      </c>
      <c r="M826" s="1131" t="s">
        <v>191</v>
      </c>
      <c r="N826" s="1132">
        <v>40598</v>
      </c>
      <c r="O826" s="1133" t="s">
        <v>192</v>
      </c>
      <c r="Q826" s="463"/>
      <c r="R826" s="463"/>
      <c r="S826" s="463"/>
      <c r="T826" s="463"/>
      <c r="U826" s="463"/>
      <c r="V826" s="463"/>
      <c r="W826" s="463"/>
      <c r="X826" s="463"/>
      <c r="Y826" s="463"/>
      <c r="Z826" s="463"/>
      <c r="AA826" s="463"/>
      <c r="AB826" s="463"/>
    </row>
    <row r="827" spans="2:28" ht="19.5" hidden="1" outlineLevel="1" thickTop="1">
      <c r="B827" s="1134">
        <v>2</v>
      </c>
      <c r="C827" s="3526"/>
      <c r="D827" s="1135">
        <v>9</v>
      </c>
      <c r="E827" s="1136" t="s">
        <v>733</v>
      </c>
      <c r="F827" s="1137" t="s">
        <v>732</v>
      </c>
      <c r="G827" s="2547" t="s">
        <v>189</v>
      </c>
      <c r="H827" s="1138">
        <v>210211</v>
      </c>
      <c r="I827" s="2547" t="s">
        <v>183</v>
      </c>
      <c r="J827" s="1136" t="s">
        <v>733</v>
      </c>
      <c r="K827" s="1139" t="s">
        <v>190</v>
      </c>
      <c r="L827" s="1140">
        <v>40597</v>
      </c>
      <c r="M827" s="1141" t="s">
        <v>193</v>
      </c>
      <c r="N827" s="1142">
        <v>40599</v>
      </c>
      <c r="O827" s="1143" t="s">
        <v>194</v>
      </c>
      <c r="Q827" s="463"/>
      <c r="R827" s="463"/>
      <c r="S827" s="463"/>
      <c r="T827" s="463"/>
      <c r="U827" s="1049"/>
      <c r="V827" s="1050"/>
      <c r="W827" s="1050"/>
      <c r="X827" s="1051"/>
      <c r="Y827" s="463"/>
      <c r="Z827" s="463"/>
      <c r="AA827" s="463"/>
      <c r="AB827" s="463"/>
    </row>
    <row r="828" spans="2:28" ht="18.75" hidden="1" outlineLevel="1" thickBot="1">
      <c r="B828" s="1134">
        <v>3</v>
      </c>
      <c r="C828" s="3526"/>
      <c r="D828" s="1144">
        <v>10</v>
      </c>
      <c r="E828" s="1145" t="s">
        <v>733</v>
      </c>
      <c r="F828" s="1146" t="s">
        <v>732</v>
      </c>
      <c r="G828" s="2548" t="s">
        <v>189</v>
      </c>
      <c r="H828" s="1147">
        <v>220211</v>
      </c>
      <c r="I828" s="2548" t="s">
        <v>183</v>
      </c>
      <c r="J828" s="1145" t="s">
        <v>733</v>
      </c>
      <c r="K828" s="1148" t="s">
        <v>195</v>
      </c>
      <c r="L828" s="1149">
        <v>40597</v>
      </c>
      <c r="M828" s="1150" t="s">
        <v>193</v>
      </c>
      <c r="N828" s="1151">
        <v>40599</v>
      </c>
      <c r="O828" s="1152" t="s">
        <v>196</v>
      </c>
      <c r="Q828" s="463"/>
      <c r="R828" s="463"/>
      <c r="S828" s="3517">
        <v>1</v>
      </c>
      <c r="T828" s="3518"/>
      <c r="U828" s="1052"/>
      <c r="V828" s="1052"/>
      <c r="W828" s="1052"/>
      <c r="X828" s="1052"/>
      <c r="Y828" s="3517">
        <v>2</v>
      </c>
      <c r="Z828" s="3518"/>
      <c r="AA828" s="463"/>
      <c r="AB828" s="463"/>
    </row>
    <row r="829" spans="2:28" ht="18" hidden="1" outlineLevel="1">
      <c r="B829" s="1134">
        <v>4</v>
      </c>
      <c r="C829" s="3526"/>
      <c r="D829" s="349">
        <v>1</v>
      </c>
      <c r="E829" s="1153" t="s">
        <v>737</v>
      </c>
      <c r="F829" s="1042" t="s">
        <v>732</v>
      </c>
      <c r="G829" s="922" t="s">
        <v>178</v>
      </c>
      <c r="H829" s="981">
        <v>230211</v>
      </c>
      <c r="I829" s="922" t="s">
        <v>179</v>
      </c>
      <c r="J829" s="1153" t="s">
        <v>129</v>
      </c>
      <c r="K829" s="1154" t="s">
        <v>197</v>
      </c>
      <c r="L829" s="944">
        <v>40600</v>
      </c>
      <c r="M829" s="1155" t="s">
        <v>134</v>
      </c>
      <c r="N829" s="1156">
        <v>40602</v>
      </c>
      <c r="O829" s="1157" t="s">
        <v>198</v>
      </c>
      <c r="Q829" s="463"/>
      <c r="R829" s="463"/>
      <c r="S829" s="3519"/>
      <c r="T829" s="3520"/>
      <c r="U829" s="1053"/>
      <c r="V829" s="1054"/>
      <c r="W829" s="1054"/>
      <c r="X829" s="1055"/>
      <c r="Y829" s="3519"/>
      <c r="Z829" s="3520"/>
      <c r="AA829" s="463"/>
      <c r="AB829" s="463"/>
    </row>
    <row r="830" spans="2:28" ht="18.75" hidden="1" outlineLevel="1" thickBot="1">
      <c r="B830" s="1134">
        <v>5</v>
      </c>
      <c r="C830" s="3526"/>
      <c r="D830" s="1158">
        <v>2</v>
      </c>
      <c r="E830" s="1159" t="s">
        <v>737</v>
      </c>
      <c r="F830" s="1160" t="s">
        <v>732</v>
      </c>
      <c r="G830" s="1295" t="s">
        <v>178</v>
      </c>
      <c r="H830" s="1161">
        <v>240211</v>
      </c>
      <c r="I830" s="1295" t="s">
        <v>179</v>
      </c>
      <c r="J830" s="1159" t="s">
        <v>129</v>
      </c>
      <c r="K830" s="1162" t="s">
        <v>197</v>
      </c>
      <c r="L830" s="1163">
        <v>40600</v>
      </c>
      <c r="M830" s="1164" t="s">
        <v>134</v>
      </c>
      <c r="N830" s="1165">
        <v>40602</v>
      </c>
      <c r="O830" s="1166" t="s">
        <v>198</v>
      </c>
      <c r="Q830" s="463"/>
      <c r="R830" s="463"/>
      <c r="S830" s="3521"/>
      <c r="T830" s="3522"/>
      <c r="U830" s="1056"/>
      <c r="V830" s="1056"/>
      <c r="W830" s="1056"/>
      <c r="X830" s="1056"/>
      <c r="Y830" s="3521"/>
      <c r="Z830" s="3522"/>
      <c r="AA830" s="463"/>
      <c r="AB830" s="463"/>
    </row>
    <row r="831" spans="2:28" ht="18" hidden="1" outlineLevel="1">
      <c r="B831" s="1134">
        <v>6</v>
      </c>
      <c r="C831" s="3526"/>
      <c r="D831" s="349">
        <v>1</v>
      </c>
      <c r="E831" s="1153" t="s">
        <v>737</v>
      </c>
      <c r="F831" s="1042" t="s">
        <v>732</v>
      </c>
      <c r="G831" s="922" t="s">
        <v>178</v>
      </c>
      <c r="H831" s="981">
        <v>250211</v>
      </c>
      <c r="I831" s="922" t="s">
        <v>179</v>
      </c>
      <c r="J831" s="1153" t="s">
        <v>129</v>
      </c>
      <c r="K831" s="1154" t="s">
        <v>197</v>
      </c>
      <c r="L831" s="944">
        <v>40600</v>
      </c>
      <c r="M831" s="1155" t="s">
        <v>159</v>
      </c>
      <c r="N831" s="1156">
        <v>40604</v>
      </c>
      <c r="O831" s="1157" t="s">
        <v>198</v>
      </c>
      <c r="Q831" s="463"/>
      <c r="R831" s="463"/>
      <c r="S831" s="736"/>
      <c r="T831" s="736"/>
      <c r="U831" s="1058"/>
      <c r="V831" s="1056"/>
      <c r="W831" s="1056"/>
      <c r="X831" s="1059"/>
      <c r="Y831" s="463"/>
      <c r="Z831" s="736"/>
      <c r="AA831" s="463"/>
      <c r="AB831" s="463"/>
    </row>
    <row r="832" spans="2:28" ht="18.75" hidden="1" outlineLevel="1" thickBot="1">
      <c r="B832" s="1134">
        <v>7</v>
      </c>
      <c r="C832" s="3526"/>
      <c r="D832" s="1158">
        <v>2</v>
      </c>
      <c r="E832" s="1159" t="s">
        <v>737</v>
      </c>
      <c r="F832" s="1160" t="s">
        <v>732</v>
      </c>
      <c r="G832" s="1295" t="s">
        <v>178</v>
      </c>
      <c r="H832" s="1161">
        <v>260211</v>
      </c>
      <c r="I832" s="1295" t="s">
        <v>179</v>
      </c>
      <c r="J832" s="1159" t="s">
        <v>129</v>
      </c>
      <c r="K832" s="1162" t="s">
        <v>197</v>
      </c>
      <c r="L832" s="1163">
        <v>40600</v>
      </c>
      <c r="M832" s="1164" t="s">
        <v>159</v>
      </c>
      <c r="N832" s="1165">
        <v>40604</v>
      </c>
      <c r="O832" s="1166" t="s">
        <v>198</v>
      </c>
      <c r="Q832" s="463"/>
      <c r="R832" s="463"/>
      <c r="S832" s="736"/>
      <c r="T832" s="736"/>
      <c r="U832" s="1058"/>
      <c r="V832" s="1056"/>
      <c r="W832" s="1056"/>
      <c r="X832" s="1059"/>
      <c r="Y832" s="463"/>
      <c r="Z832" s="736"/>
      <c r="AA832" s="463"/>
      <c r="AB832" s="463"/>
    </row>
    <row r="833" spans="2:28" ht="18" hidden="1" outlineLevel="1">
      <c r="B833" s="1134">
        <v>8</v>
      </c>
      <c r="C833" s="3526"/>
      <c r="D833" s="349">
        <v>3</v>
      </c>
      <c r="E833" s="1153" t="s">
        <v>737</v>
      </c>
      <c r="F833" s="1042" t="s">
        <v>732</v>
      </c>
      <c r="G833" s="922" t="s">
        <v>182</v>
      </c>
      <c r="H833" s="981">
        <v>270211</v>
      </c>
      <c r="I833" s="922" t="s">
        <v>183</v>
      </c>
      <c r="J833" s="1153" t="s">
        <v>129</v>
      </c>
      <c r="K833" s="1154" t="s">
        <v>197</v>
      </c>
      <c r="L833" s="944">
        <v>40600</v>
      </c>
      <c r="M833" s="1155" t="s">
        <v>148</v>
      </c>
      <c r="N833" s="1156">
        <v>40603</v>
      </c>
      <c r="O833" s="1157" t="s">
        <v>198</v>
      </c>
      <c r="Q833" s="463"/>
      <c r="R833" s="463"/>
      <c r="S833" s="463"/>
      <c r="T833" s="463"/>
      <c r="U833" s="1060"/>
      <c r="V833" s="1056"/>
      <c r="W833" s="1056"/>
      <c r="X833" s="1061"/>
      <c r="Y833" s="463"/>
      <c r="Z833" s="463"/>
      <c r="AA833" s="463"/>
      <c r="AB833" s="463"/>
    </row>
    <row r="834" spans="2:28" ht="18" hidden="1" outlineLevel="1">
      <c r="B834" s="1134">
        <v>9</v>
      </c>
      <c r="C834" s="3526"/>
      <c r="D834" s="1167">
        <v>4</v>
      </c>
      <c r="E834" s="1168" t="s">
        <v>737</v>
      </c>
      <c r="F834" s="1169" t="s">
        <v>732</v>
      </c>
      <c r="G834" s="934" t="s">
        <v>182</v>
      </c>
      <c r="H834" s="933">
        <v>280211</v>
      </c>
      <c r="I834" s="934" t="s">
        <v>183</v>
      </c>
      <c r="J834" s="1168" t="s">
        <v>129</v>
      </c>
      <c r="K834" s="1170" t="s">
        <v>197</v>
      </c>
      <c r="L834" s="936">
        <v>40600</v>
      </c>
      <c r="M834" s="1171" t="s">
        <v>148</v>
      </c>
      <c r="N834" s="1172">
        <v>40603</v>
      </c>
      <c r="O834" s="1173" t="s">
        <v>198</v>
      </c>
      <c r="Q834" s="3484">
        <v>3</v>
      </c>
      <c r="R834" s="3485"/>
      <c r="S834" s="1062"/>
      <c r="T834" s="3484">
        <v>4</v>
      </c>
      <c r="U834" s="3485"/>
      <c r="V834" s="1052"/>
      <c r="W834" s="1052"/>
      <c r="X834" s="3484">
        <v>5</v>
      </c>
      <c r="Y834" s="3485"/>
      <c r="Z834" s="1062"/>
      <c r="AA834" s="3484">
        <v>6</v>
      </c>
      <c r="AB834" s="3485"/>
    </row>
    <row r="835" spans="2:28" ht="18" hidden="1" outlineLevel="1">
      <c r="B835" s="1134">
        <v>10</v>
      </c>
      <c r="C835" s="3526"/>
      <c r="D835" s="1167">
        <v>5</v>
      </c>
      <c r="E835" s="1168" t="s">
        <v>737</v>
      </c>
      <c r="F835" s="1169" t="s">
        <v>732</v>
      </c>
      <c r="G835" s="934" t="s">
        <v>182</v>
      </c>
      <c r="H835" s="933">
        <v>290211</v>
      </c>
      <c r="I835" s="934" t="s">
        <v>183</v>
      </c>
      <c r="J835" s="1168" t="s">
        <v>129</v>
      </c>
      <c r="K835" s="1170" t="s">
        <v>197</v>
      </c>
      <c r="L835" s="936">
        <v>40600</v>
      </c>
      <c r="M835" s="1171" t="s">
        <v>148</v>
      </c>
      <c r="N835" s="1172">
        <v>40603</v>
      </c>
      <c r="O835" s="1173" t="s">
        <v>198</v>
      </c>
      <c r="Q835" s="3486"/>
      <c r="R835" s="3487"/>
      <c r="S835" s="1075"/>
      <c r="T835" s="3486"/>
      <c r="U835" s="3487"/>
      <c r="V835" s="1076"/>
      <c r="W835" s="1077"/>
      <c r="X835" s="3486"/>
      <c r="Y835" s="3487"/>
      <c r="Z835" s="1075"/>
      <c r="AA835" s="3486"/>
      <c r="AB835" s="3487"/>
    </row>
    <row r="836" spans="2:28" ht="18" hidden="1" outlineLevel="1">
      <c r="B836" s="1134">
        <v>11</v>
      </c>
      <c r="C836" s="3526"/>
      <c r="D836" s="1167">
        <v>6</v>
      </c>
      <c r="E836" s="1168" t="s">
        <v>737</v>
      </c>
      <c r="F836" s="1169" t="s">
        <v>732</v>
      </c>
      <c r="G836" s="934" t="s">
        <v>182</v>
      </c>
      <c r="H836" s="933">
        <v>300211</v>
      </c>
      <c r="I836" s="934" t="s">
        <v>183</v>
      </c>
      <c r="J836" s="1168" t="s">
        <v>129</v>
      </c>
      <c r="K836" s="1170" t="s">
        <v>197</v>
      </c>
      <c r="L836" s="936">
        <v>40600</v>
      </c>
      <c r="M836" s="1171" t="s">
        <v>148</v>
      </c>
      <c r="N836" s="1172">
        <v>40603</v>
      </c>
      <c r="O836" s="1173" t="s">
        <v>198</v>
      </c>
      <c r="Q836" s="3488"/>
      <c r="R836" s="3489"/>
      <c r="T836" s="3488"/>
      <c r="U836" s="3489"/>
      <c r="V836" s="1089"/>
      <c r="W836" s="1089"/>
      <c r="X836" s="3488"/>
      <c r="Y836" s="3489"/>
      <c r="AA836" s="3488"/>
      <c r="AB836" s="3489"/>
    </row>
    <row r="837" spans="2:28" ht="18" hidden="1" outlineLevel="1">
      <c r="B837" s="1134">
        <v>12</v>
      </c>
      <c r="C837" s="3526"/>
      <c r="D837" s="1167">
        <v>7</v>
      </c>
      <c r="E837" s="1168" t="s">
        <v>737</v>
      </c>
      <c r="F837" s="1169" t="s">
        <v>732</v>
      </c>
      <c r="G837" s="934" t="s">
        <v>182</v>
      </c>
      <c r="H837" s="933">
        <v>310211</v>
      </c>
      <c r="I837" s="934" t="s">
        <v>183</v>
      </c>
      <c r="J837" s="1168" t="s">
        <v>129</v>
      </c>
      <c r="K837" s="1170" t="s">
        <v>197</v>
      </c>
      <c r="L837" s="936">
        <v>40600</v>
      </c>
      <c r="M837" s="1171" t="s">
        <v>148</v>
      </c>
      <c r="N837" s="1172">
        <v>40603</v>
      </c>
      <c r="O837" s="1173" t="s">
        <v>198</v>
      </c>
      <c r="U837" s="1174"/>
      <c r="V837" s="1089"/>
      <c r="W837" s="1089"/>
      <c r="X837" s="1089"/>
      <c r="Y837" s="1175"/>
    </row>
    <row r="838" spans="2:28" ht="18" hidden="1" outlineLevel="1">
      <c r="B838" s="1134">
        <v>13</v>
      </c>
      <c r="C838" s="3526"/>
      <c r="D838" s="1167">
        <v>8</v>
      </c>
      <c r="E838" s="1168" t="s">
        <v>737</v>
      </c>
      <c r="F838" s="1169" t="s">
        <v>732</v>
      </c>
      <c r="G838" s="934" t="s">
        <v>182</v>
      </c>
      <c r="H838" s="933">
        <v>320211</v>
      </c>
      <c r="I838" s="934" t="s">
        <v>183</v>
      </c>
      <c r="J838" s="1168" t="s">
        <v>129</v>
      </c>
      <c r="K838" s="1170" t="s">
        <v>197</v>
      </c>
      <c r="L838" s="936">
        <v>40600</v>
      </c>
      <c r="M838" s="1171" t="s">
        <v>148</v>
      </c>
      <c r="N838" s="1172">
        <v>40603</v>
      </c>
      <c r="O838" s="1173" t="s">
        <v>198</v>
      </c>
      <c r="Q838" s="3484">
        <v>7</v>
      </c>
      <c r="R838" s="3485"/>
      <c r="S838" s="437"/>
      <c r="T838" s="3484">
        <v>8</v>
      </c>
      <c r="U838" s="3485"/>
      <c r="V838" s="1093"/>
      <c r="W838" s="1093"/>
      <c r="X838" s="3484">
        <v>9</v>
      </c>
      <c r="Y838" s="3485"/>
      <c r="Z838" s="437"/>
      <c r="AA838" s="3484">
        <v>10</v>
      </c>
      <c r="AB838" s="3485"/>
    </row>
    <row r="839" spans="2:28" ht="18" hidden="1" outlineLevel="1">
      <c r="B839" s="1134">
        <v>14</v>
      </c>
      <c r="C839" s="3526"/>
      <c r="D839" s="1167">
        <v>9</v>
      </c>
      <c r="E839" s="1168" t="s">
        <v>737</v>
      </c>
      <c r="F839" s="1169" t="s">
        <v>732</v>
      </c>
      <c r="G839" s="934" t="s">
        <v>182</v>
      </c>
      <c r="H839" s="933">
        <v>330211</v>
      </c>
      <c r="I839" s="934" t="s">
        <v>183</v>
      </c>
      <c r="J839" s="1168" t="s">
        <v>129</v>
      </c>
      <c r="K839" s="1170" t="s">
        <v>197</v>
      </c>
      <c r="L839" s="936">
        <v>40600</v>
      </c>
      <c r="M839" s="1171" t="s">
        <v>148</v>
      </c>
      <c r="N839" s="1172">
        <v>40603</v>
      </c>
      <c r="O839" s="1173" t="s">
        <v>198</v>
      </c>
      <c r="Q839" s="3486"/>
      <c r="R839" s="3487"/>
      <c r="S839" s="1176"/>
      <c r="T839" s="3486"/>
      <c r="U839" s="3487"/>
      <c r="V839" s="1176"/>
      <c r="W839" s="1176"/>
      <c r="X839" s="3486"/>
      <c r="Y839" s="3487"/>
      <c r="Z839" s="1176"/>
      <c r="AA839" s="3486"/>
      <c r="AB839" s="3487"/>
    </row>
    <row r="840" spans="2:28" ht="18.75" hidden="1" outlineLevel="1" thickBot="1">
      <c r="B840" s="1177">
        <v>15</v>
      </c>
      <c r="C840" s="3527"/>
      <c r="D840" s="1158">
        <v>10</v>
      </c>
      <c r="E840" s="1159" t="s">
        <v>737</v>
      </c>
      <c r="F840" s="1160" t="s">
        <v>732</v>
      </c>
      <c r="G840" s="1295" t="s">
        <v>182</v>
      </c>
      <c r="H840" s="1161">
        <v>340211</v>
      </c>
      <c r="I840" s="1295" t="s">
        <v>183</v>
      </c>
      <c r="J840" s="1159" t="s">
        <v>129</v>
      </c>
      <c r="K840" s="1162" t="s">
        <v>197</v>
      </c>
      <c r="L840" s="1163">
        <v>40600</v>
      </c>
      <c r="M840" s="1164" t="s">
        <v>148</v>
      </c>
      <c r="N840" s="1165">
        <v>40603</v>
      </c>
      <c r="O840" s="1166" t="s">
        <v>198</v>
      </c>
      <c r="Q840" s="3488"/>
      <c r="R840" s="3489"/>
      <c r="T840" s="3488"/>
      <c r="U840" s="3489"/>
      <c r="V840" s="1089"/>
      <c r="W840" s="1089"/>
      <c r="X840" s="3488"/>
      <c r="Y840" s="3489"/>
      <c r="AA840" s="3488"/>
      <c r="AB840" s="3489"/>
    </row>
    <row r="841" spans="2:28" ht="10.15" customHeight="1" collapsed="1" thickBot="1">
      <c r="B841" s="1178"/>
      <c r="C841" s="962"/>
      <c r="D841" s="1179"/>
      <c r="E841" s="1180"/>
      <c r="F841" s="1181"/>
      <c r="G841" s="2549"/>
      <c r="H841" s="1182"/>
      <c r="I841" s="2549"/>
      <c r="J841" s="1180"/>
      <c r="K841" s="1183"/>
      <c r="L841" s="1184"/>
      <c r="M841" s="1185"/>
      <c r="N841" s="1186"/>
      <c r="O841" s="1187"/>
      <c r="U841" s="1188"/>
      <c r="V841" s="1093"/>
      <c r="W841" s="1093"/>
      <c r="X841" s="1189"/>
    </row>
    <row r="842" spans="2:28" ht="18.75" hidden="1" outlineLevel="1" thickBot="1">
      <c r="B842" s="1190">
        <v>16</v>
      </c>
      <c r="C842" s="3529" t="s">
        <v>199</v>
      </c>
      <c r="D842" s="1191">
        <v>3</v>
      </c>
      <c r="E842" s="1192" t="s">
        <v>733</v>
      </c>
      <c r="F842" s="1193" t="s">
        <v>732</v>
      </c>
      <c r="G842" s="1292" t="s">
        <v>189</v>
      </c>
      <c r="H842" s="920">
        <v>350411</v>
      </c>
      <c r="I842" s="1292" t="s">
        <v>183</v>
      </c>
      <c r="J842" s="1194" t="s">
        <v>733</v>
      </c>
      <c r="K842" s="1195" t="s">
        <v>200</v>
      </c>
      <c r="L842" s="924">
        <v>40640</v>
      </c>
      <c r="M842" s="1196" t="s">
        <v>201</v>
      </c>
      <c r="N842" s="1197">
        <v>40641</v>
      </c>
      <c r="O842" s="1198" t="s">
        <v>202</v>
      </c>
      <c r="U842" s="1094"/>
      <c r="V842" s="1095"/>
      <c r="W842" s="1095"/>
      <c r="X842" s="1096"/>
    </row>
    <row r="843" spans="2:28" ht="18.75" hidden="1" outlineLevel="1" thickTop="1">
      <c r="B843" s="1134">
        <v>17</v>
      </c>
      <c r="C843" s="3530"/>
      <c r="D843" s="1199">
        <v>4</v>
      </c>
      <c r="E843" s="1200" t="s">
        <v>733</v>
      </c>
      <c r="F843" s="1201" t="s">
        <v>732</v>
      </c>
      <c r="G843" s="934" t="s">
        <v>189</v>
      </c>
      <c r="H843" s="933">
        <v>360411</v>
      </c>
      <c r="I843" s="934" t="s">
        <v>183</v>
      </c>
      <c r="J843" s="1168" t="s">
        <v>733</v>
      </c>
      <c r="K843" s="1170" t="s">
        <v>200</v>
      </c>
      <c r="L843" s="936">
        <v>40640</v>
      </c>
      <c r="M843" s="1171" t="s">
        <v>201</v>
      </c>
      <c r="N843" s="1172">
        <v>40641</v>
      </c>
      <c r="O843" s="1173" t="s">
        <v>202</v>
      </c>
    </row>
    <row r="844" spans="2:28" ht="18" hidden="1" outlineLevel="1">
      <c r="B844" s="1134">
        <v>18</v>
      </c>
      <c r="C844" s="3530"/>
      <c r="D844" s="1199">
        <v>5</v>
      </c>
      <c r="E844" s="1200" t="s">
        <v>733</v>
      </c>
      <c r="F844" s="1201" t="s">
        <v>732</v>
      </c>
      <c r="G844" s="934" t="s">
        <v>189</v>
      </c>
      <c r="H844" s="933">
        <v>370411</v>
      </c>
      <c r="I844" s="934" t="s">
        <v>183</v>
      </c>
      <c r="J844" s="1168" t="s">
        <v>733</v>
      </c>
      <c r="K844" s="1170" t="s">
        <v>200</v>
      </c>
      <c r="L844" s="936">
        <v>40640</v>
      </c>
      <c r="M844" s="1171" t="s">
        <v>201</v>
      </c>
      <c r="N844" s="1172">
        <v>40641</v>
      </c>
      <c r="O844" s="1173" t="s">
        <v>202</v>
      </c>
    </row>
    <row r="845" spans="2:28" ht="18" hidden="1" outlineLevel="1">
      <c r="B845" s="1134">
        <v>19</v>
      </c>
      <c r="C845" s="3530"/>
      <c r="D845" s="1199">
        <v>6</v>
      </c>
      <c r="E845" s="1200" t="s">
        <v>733</v>
      </c>
      <c r="F845" s="1201" t="s">
        <v>732</v>
      </c>
      <c r="G845" s="934" t="s">
        <v>189</v>
      </c>
      <c r="H845" s="933">
        <v>380411</v>
      </c>
      <c r="I845" s="934" t="s">
        <v>183</v>
      </c>
      <c r="J845" s="1168" t="s">
        <v>733</v>
      </c>
      <c r="K845" s="1170" t="s">
        <v>200</v>
      </c>
      <c r="L845" s="936">
        <v>40640</v>
      </c>
      <c r="M845" s="1171" t="s">
        <v>201</v>
      </c>
      <c r="N845" s="1172">
        <v>40641</v>
      </c>
      <c r="O845" s="1173" t="s">
        <v>202</v>
      </c>
    </row>
    <row r="846" spans="2:28" ht="18.75" hidden="1" outlineLevel="1" thickBot="1">
      <c r="B846" s="1134">
        <v>20</v>
      </c>
      <c r="C846" s="3530"/>
      <c r="D846" s="1199">
        <v>7</v>
      </c>
      <c r="E846" s="1200" t="s">
        <v>733</v>
      </c>
      <c r="F846" s="1201" t="s">
        <v>732</v>
      </c>
      <c r="G846" s="934" t="s">
        <v>189</v>
      </c>
      <c r="H846" s="933">
        <v>390411</v>
      </c>
      <c r="I846" s="934" t="s">
        <v>183</v>
      </c>
      <c r="J846" s="1168" t="s">
        <v>733</v>
      </c>
      <c r="K846" s="1170" t="s">
        <v>200</v>
      </c>
      <c r="L846" s="936">
        <v>40640</v>
      </c>
      <c r="M846" s="1171" t="s">
        <v>201</v>
      </c>
      <c r="N846" s="1172">
        <v>40641</v>
      </c>
      <c r="O846" s="1173" t="s">
        <v>202</v>
      </c>
      <c r="Q846" s="463"/>
      <c r="R846" s="463"/>
      <c r="S846" s="463"/>
      <c r="T846" s="463"/>
      <c r="U846" s="463"/>
      <c r="V846" s="463"/>
      <c r="W846" s="463"/>
      <c r="X846" s="463"/>
      <c r="Y846" s="463"/>
      <c r="Z846" s="463"/>
      <c r="AA846" s="463"/>
      <c r="AB846" s="463"/>
    </row>
    <row r="847" spans="2:28" ht="18.95" hidden="1" customHeight="1" outlineLevel="1" thickTop="1">
      <c r="B847" s="1134">
        <v>21</v>
      </c>
      <c r="C847" s="3530"/>
      <c r="D847" s="1199">
        <v>8</v>
      </c>
      <c r="E847" s="1200" t="s">
        <v>733</v>
      </c>
      <c r="F847" s="1201" t="s">
        <v>732</v>
      </c>
      <c r="G847" s="934" t="s">
        <v>189</v>
      </c>
      <c r="H847" s="933">
        <v>400411</v>
      </c>
      <c r="I847" s="934" t="s">
        <v>183</v>
      </c>
      <c r="J847" s="1168" t="s">
        <v>733</v>
      </c>
      <c r="K847" s="1170" t="s">
        <v>200</v>
      </c>
      <c r="L847" s="936">
        <v>40640</v>
      </c>
      <c r="M847" s="1171" t="s">
        <v>201</v>
      </c>
      <c r="N847" s="1172">
        <v>40641</v>
      </c>
      <c r="O847" s="1173" t="s">
        <v>202</v>
      </c>
      <c r="Q847" s="463"/>
      <c r="R847" s="463"/>
      <c r="S847" s="463"/>
      <c r="T847" s="463"/>
      <c r="U847" s="1049"/>
      <c r="V847" s="1050"/>
      <c r="W847" s="1050"/>
      <c r="X847" s="1051"/>
      <c r="Y847" s="463"/>
      <c r="Z847" s="463"/>
      <c r="AA847" s="463"/>
      <c r="AB847" s="463"/>
    </row>
    <row r="848" spans="2:28" ht="18.95" hidden="1" customHeight="1" outlineLevel="1">
      <c r="B848" s="1134">
        <v>22</v>
      </c>
      <c r="C848" s="3530"/>
      <c r="D848" s="1199">
        <v>9</v>
      </c>
      <c r="E848" s="1200" t="s">
        <v>733</v>
      </c>
      <c r="F848" s="1201" t="s">
        <v>732</v>
      </c>
      <c r="G848" s="934" t="s">
        <v>189</v>
      </c>
      <c r="H848" s="933">
        <v>410411</v>
      </c>
      <c r="I848" s="934" t="s">
        <v>183</v>
      </c>
      <c r="J848" s="1168" t="s">
        <v>733</v>
      </c>
      <c r="K848" s="1170" t="s">
        <v>200</v>
      </c>
      <c r="L848" s="936">
        <v>40640</v>
      </c>
      <c r="M848" s="1171" t="s">
        <v>201</v>
      </c>
      <c r="N848" s="1172">
        <v>40641</v>
      </c>
      <c r="O848" s="1173" t="s">
        <v>202</v>
      </c>
      <c r="Q848" s="463"/>
      <c r="R848" s="463"/>
      <c r="S848" s="3484">
        <v>1</v>
      </c>
      <c r="T848" s="3485"/>
      <c r="U848" s="1052"/>
      <c r="V848" s="1052"/>
      <c r="W848" s="1052"/>
      <c r="X848" s="1052"/>
      <c r="Y848" s="3484">
        <v>2</v>
      </c>
      <c r="Z848" s="3485"/>
      <c r="AA848" s="463"/>
      <c r="AB848" s="463"/>
    </row>
    <row r="849" spans="2:29" ht="18.95" hidden="1" customHeight="1" outlineLevel="1" thickBot="1">
      <c r="B849" s="1134">
        <v>23</v>
      </c>
      <c r="C849" s="3530"/>
      <c r="D849" s="1202">
        <v>10</v>
      </c>
      <c r="E849" s="1203" t="s">
        <v>733</v>
      </c>
      <c r="F849" s="1204" t="s">
        <v>732</v>
      </c>
      <c r="G849" s="1295" t="s">
        <v>189</v>
      </c>
      <c r="H849" s="1161">
        <v>420411</v>
      </c>
      <c r="I849" s="1295" t="s">
        <v>183</v>
      </c>
      <c r="J849" s="1159" t="s">
        <v>733</v>
      </c>
      <c r="K849" s="1162" t="s">
        <v>200</v>
      </c>
      <c r="L849" s="1163">
        <v>40640</v>
      </c>
      <c r="M849" s="1164" t="s">
        <v>201</v>
      </c>
      <c r="N849" s="1165">
        <v>40641</v>
      </c>
      <c r="O849" s="1166" t="s">
        <v>202</v>
      </c>
      <c r="Q849" s="463"/>
      <c r="R849" s="463"/>
      <c r="S849" s="3486"/>
      <c r="T849" s="3487"/>
      <c r="U849" s="1053"/>
      <c r="V849" s="1054"/>
      <c r="W849" s="1054"/>
      <c r="X849" s="1055"/>
      <c r="Y849" s="3486"/>
      <c r="Z849" s="3487"/>
      <c r="AA849" s="463"/>
      <c r="AB849" s="463"/>
    </row>
    <row r="850" spans="2:29" ht="18.95" hidden="1" customHeight="1" outlineLevel="1">
      <c r="B850" s="1134">
        <v>24</v>
      </c>
      <c r="C850" s="3530"/>
      <c r="D850" s="1205">
        <v>3</v>
      </c>
      <c r="E850" s="1168" t="s">
        <v>737</v>
      </c>
      <c r="F850" s="1169" t="s">
        <v>732</v>
      </c>
      <c r="G850" s="934" t="s">
        <v>182</v>
      </c>
      <c r="H850" s="933">
        <v>430411</v>
      </c>
      <c r="I850" s="934" t="s">
        <v>183</v>
      </c>
      <c r="J850" s="1168" t="s">
        <v>129</v>
      </c>
      <c r="K850" s="1170" t="s">
        <v>203</v>
      </c>
      <c r="L850" s="936">
        <v>40640</v>
      </c>
      <c r="M850" s="1171" t="s">
        <v>150</v>
      </c>
      <c r="N850" s="1172">
        <v>40658</v>
      </c>
      <c r="O850" s="1173" t="s">
        <v>198</v>
      </c>
      <c r="Q850" s="463"/>
      <c r="R850" s="463"/>
      <c r="S850" s="3488"/>
      <c r="T850" s="3489"/>
      <c r="U850" s="1056"/>
      <c r="V850" s="1056"/>
      <c r="W850" s="1056"/>
      <c r="X850" s="1056"/>
      <c r="Y850" s="3488"/>
      <c r="Z850" s="3489"/>
      <c r="AA850" s="463"/>
      <c r="AB850" s="463"/>
    </row>
    <row r="851" spans="2:29" ht="18.95" hidden="1" customHeight="1" outlineLevel="1">
      <c r="B851" s="1134">
        <v>25</v>
      </c>
      <c r="C851" s="3530"/>
      <c r="D851" s="1205">
        <v>4</v>
      </c>
      <c r="E851" s="1168" t="s">
        <v>737</v>
      </c>
      <c r="F851" s="1169" t="s">
        <v>732</v>
      </c>
      <c r="G851" s="934" t="s">
        <v>182</v>
      </c>
      <c r="H851" s="933">
        <v>440411</v>
      </c>
      <c r="I851" s="934" t="s">
        <v>183</v>
      </c>
      <c r="J851" s="1168" t="s">
        <v>129</v>
      </c>
      <c r="K851" s="1170" t="s">
        <v>203</v>
      </c>
      <c r="L851" s="936">
        <v>40640</v>
      </c>
      <c r="M851" s="1171" t="s">
        <v>150</v>
      </c>
      <c r="N851" s="1172">
        <v>40658</v>
      </c>
      <c r="O851" s="1173" t="s">
        <v>198</v>
      </c>
      <c r="Q851" s="463"/>
      <c r="R851" s="463"/>
      <c r="S851" s="736"/>
      <c r="T851" s="736"/>
      <c r="U851" s="1058"/>
      <c r="V851" s="1056"/>
      <c r="W851" s="1056"/>
      <c r="X851" s="1059"/>
      <c r="Y851" s="463"/>
      <c r="Z851" s="736"/>
      <c r="AA851" s="463"/>
      <c r="AB851" s="463"/>
    </row>
    <row r="852" spans="2:29" ht="18.95" hidden="1" customHeight="1" outlineLevel="1">
      <c r="B852" s="1134">
        <v>26</v>
      </c>
      <c r="C852" s="3530"/>
      <c r="D852" s="1205">
        <v>5</v>
      </c>
      <c r="E852" s="1168" t="s">
        <v>737</v>
      </c>
      <c r="F852" s="1169" t="s">
        <v>732</v>
      </c>
      <c r="G852" s="934" t="s">
        <v>182</v>
      </c>
      <c r="H852" s="933">
        <v>450411</v>
      </c>
      <c r="I852" s="934" t="s">
        <v>183</v>
      </c>
      <c r="J852" s="1168" t="s">
        <v>129</v>
      </c>
      <c r="K852" s="1170" t="s">
        <v>203</v>
      </c>
      <c r="L852" s="936">
        <v>40640</v>
      </c>
      <c r="M852" s="1171" t="s">
        <v>150</v>
      </c>
      <c r="N852" s="1172">
        <v>40658</v>
      </c>
      <c r="O852" s="1173" t="s">
        <v>198</v>
      </c>
      <c r="Q852" s="463"/>
      <c r="R852" s="463"/>
      <c r="S852" s="736"/>
      <c r="T852" s="736"/>
      <c r="U852" s="1058"/>
      <c r="V852" s="1056"/>
      <c r="W852" s="1056"/>
      <c r="X852" s="1059"/>
      <c r="Y852" s="463"/>
      <c r="Z852" s="736"/>
      <c r="AA852" s="463"/>
      <c r="AB852" s="463"/>
    </row>
    <row r="853" spans="2:29" ht="18.95" hidden="1" customHeight="1" outlineLevel="1">
      <c r="B853" s="1134">
        <v>27</v>
      </c>
      <c r="C853" s="3530"/>
      <c r="D853" s="1205">
        <v>6</v>
      </c>
      <c r="E853" s="1168" t="s">
        <v>737</v>
      </c>
      <c r="F853" s="1169" t="s">
        <v>732</v>
      </c>
      <c r="G853" s="934" t="s">
        <v>182</v>
      </c>
      <c r="H853" s="933">
        <v>460411</v>
      </c>
      <c r="I853" s="934" t="s">
        <v>183</v>
      </c>
      <c r="J853" s="1168" t="s">
        <v>129</v>
      </c>
      <c r="K853" s="1170" t="s">
        <v>203</v>
      </c>
      <c r="L853" s="936">
        <v>40640</v>
      </c>
      <c r="M853" s="1171" t="s">
        <v>150</v>
      </c>
      <c r="N853" s="1172">
        <v>40658</v>
      </c>
      <c r="O853" s="1173" t="s">
        <v>198</v>
      </c>
      <c r="Q853" s="463"/>
      <c r="R853" s="463"/>
      <c r="S853" s="463"/>
      <c r="T853" s="463"/>
      <c r="U853" s="1060"/>
      <c r="V853" s="1056"/>
      <c r="W853" s="1056"/>
      <c r="X853" s="1061"/>
      <c r="Y853" s="463"/>
      <c r="Z853" s="463"/>
      <c r="AA853" s="463"/>
      <c r="AB853" s="463"/>
    </row>
    <row r="854" spans="2:29" ht="18.95" hidden="1" customHeight="1" outlineLevel="1">
      <c r="B854" s="1134">
        <v>28</v>
      </c>
      <c r="C854" s="3530"/>
      <c r="D854" s="1205">
        <v>7</v>
      </c>
      <c r="E854" s="1168" t="s">
        <v>737</v>
      </c>
      <c r="F854" s="1169" t="s">
        <v>732</v>
      </c>
      <c r="G854" s="934" t="s">
        <v>182</v>
      </c>
      <c r="H854" s="933">
        <v>470411</v>
      </c>
      <c r="I854" s="934" t="s">
        <v>183</v>
      </c>
      <c r="J854" s="1168" t="s">
        <v>129</v>
      </c>
      <c r="K854" s="1170" t="s">
        <v>203</v>
      </c>
      <c r="L854" s="936">
        <v>40640</v>
      </c>
      <c r="M854" s="1171" t="s">
        <v>150</v>
      </c>
      <c r="N854" s="1172">
        <v>40658</v>
      </c>
      <c r="O854" s="1173" t="s">
        <v>198</v>
      </c>
      <c r="Q854" s="3484">
        <v>3</v>
      </c>
      <c r="R854" s="3485"/>
      <c r="S854" s="1062"/>
      <c r="T854" s="3484">
        <v>4</v>
      </c>
      <c r="U854" s="3485"/>
      <c r="V854" s="1052"/>
      <c r="W854" s="1052"/>
      <c r="X854" s="3484">
        <v>5</v>
      </c>
      <c r="Y854" s="3485"/>
      <c r="Z854" s="1062"/>
      <c r="AA854" s="3484">
        <v>6</v>
      </c>
      <c r="AB854" s="3485"/>
    </row>
    <row r="855" spans="2:29" ht="18.95" hidden="1" customHeight="1" outlineLevel="1">
      <c r="B855" s="1134">
        <v>29</v>
      </c>
      <c r="C855" s="3530"/>
      <c r="D855" s="1205">
        <v>8</v>
      </c>
      <c r="E855" s="1168" t="s">
        <v>737</v>
      </c>
      <c r="F855" s="1169" t="s">
        <v>732</v>
      </c>
      <c r="G855" s="934" t="s">
        <v>182</v>
      </c>
      <c r="H855" s="933">
        <v>480411</v>
      </c>
      <c r="I855" s="934" t="s">
        <v>183</v>
      </c>
      <c r="J855" s="1168" t="s">
        <v>129</v>
      </c>
      <c r="K855" s="1170" t="s">
        <v>203</v>
      </c>
      <c r="L855" s="936">
        <v>40640</v>
      </c>
      <c r="M855" s="1171" t="s">
        <v>150</v>
      </c>
      <c r="N855" s="1172">
        <v>40658</v>
      </c>
      <c r="O855" s="1173" t="s">
        <v>198</v>
      </c>
      <c r="Q855" s="3486"/>
      <c r="R855" s="3487"/>
      <c r="S855" s="1075"/>
      <c r="T855" s="3486"/>
      <c r="U855" s="3487"/>
      <c r="V855" s="1076"/>
      <c r="W855" s="1077"/>
      <c r="X855" s="3486"/>
      <c r="Y855" s="3487"/>
      <c r="Z855" s="1075"/>
      <c r="AA855" s="3486"/>
      <c r="AB855" s="3487"/>
    </row>
    <row r="856" spans="2:29" ht="18.95" hidden="1" customHeight="1" outlineLevel="1">
      <c r="B856" s="1134">
        <v>30</v>
      </c>
      <c r="C856" s="3530"/>
      <c r="D856" s="1205">
        <v>9</v>
      </c>
      <c r="E856" s="1168" t="s">
        <v>737</v>
      </c>
      <c r="F856" s="1169" t="s">
        <v>732</v>
      </c>
      <c r="G856" s="934" t="s">
        <v>182</v>
      </c>
      <c r="H856" s="933">
        <v>490411</v>
      </c>
      <c r="I856" s="934" t="s">
        <v>183</v>
      </c>
      <c r="J856" s="1168" t="s">
        <v>129</v>
      </c>
      <c r="K856" s="1170" t="s">
        <v>203</v>
      </c>
      <c r="L856" s="936">
        <v>40640</v>
      </c>
      <c r="M856" s="1171" t="s">
        <v>150</v>
      </c>
      <c r="N856" s="1172">
        <v>40658</v>
      </c>
      <c r="O856" s="1173" t="s">
        <v>198</v>
      </c>
      <c r="Q856" s="3488"/>
      <c r="R856" s="3489"/>
      <c r="T856" s="3488"/>
      <c r="U856" s="3489"/>
      <c r="V856" s="1089"/>
      <c r="W856" s="1089"/>
      <c r="X856" s="3488"/>
      <c r="Y856" s="3489"/>
      <c r="AA856" s="3488"/>
      <c r="AB856" s="3489"/>
    </row>
    <row r="857" spans="2:29" ht="18.95" hidden="1" customHeight="1" outlineLevel="1" thickBot="1">
      <c r="B857" s="1206">
        <v>31</v>
      </c>
      <c r="C857" s="3531"/>
      <c r="D857" s="1207">
        <v>10</v>
      </c>
      <c r="E857" s="1159" t="s">
        <v>737</v>
      </c>
      <c r="F857" s="1160" t="s">
        <v>732</v>
      </c>
      <c r="G857" s="1295" t="s">
        <v>182</v>
      </c>
      <c r="H857" s="1161">
        <v>500411</v>
      </c>
      <c r="I857" s="1295" t="s">
        <v>183</v>
      </c>
      <c r="J857" s="1159" t="s">
        <v>129</v>
      </c>
      <c r="K857" s="1162" t="s">
        <v>203</v>
      </c>
      <c r="L857" s="1163">
        <v>40640</v>
      </c>
      <c r="M857" s="1164" t="s">
        <v>150</v>
      </c>
      <c r="N857" s="1165">
        <v>40658</v>
      </c>
      <c r="O857" s="1166" t="s">
        <v>198</v>
      </c>
      <c r="U857" s="1091"/>
      <c r="V857" s="1089"/>
      <c r="W857" s="1089"/>
      <c r="X857" s="1089"/>
      <c r="Y857" s="1092"/>
    </row>
    <row r="858" spans="2:29" ht="10.15" customHeight="1" collapsed="1" thickBot="1">
      <c r="B858" s="1180"/>
      <c r="C858" s="1439"/>
      <c r="D858" s="1179"/>
      <c r="E858" s="1180"/>
      <c r="F858" s="1181"/>
      <c r="G858" s="2549"/>
      <c r="H858" s="1182"/>
      <c r="I858" s="2549"/>
      <c r="J858" s="1180"/>
      <c r="K858" s="1183"/>
      <c r="L858" s="1184"/>
      <c r="M858" s="1185"/>
      <c r="N858" s="1186"/>
      <c r="O858" s="1440"/>
      <c r="U858" s="1218"/>
      <c r="V858" s="1089"/>
      <c r="W858" s="1089"/>
      <c r="X858" s="1089"/>
      <c r="Y858" s="1219"/>
    </row>
    <row r="859" spans="2:29" s="463" customFormat="1" ht="20.100000000000001" hidden="1" customHeight="1" outlineLevel="1">
      <c r="B859" s="1190">
        <v>32</v>
      </c>
      <c r="C859" s="3523" t="s">
        <v>204</v>
      </c>
      <c r="D859" s="1078">
        <v>1</v>
      </c>
      <c r="E859" s="2221" t="s">
        <v>825</v>
      </c>
      <c r="F859" s="2222" t="s">
        <v>723</v>
      </c>
      <c r="G859" s="2550" t="s">
        <v>205</v>
      </c>
      <c r="H859" s="2223" t="s">
        <v>206</v>
      </c>
      <c r="I859" s="2568" t="s">
        <v>179</v>
      </c>
      <c r="J859" s="2224" t="s">
        <v>733</v>
      </c>
      <c r="K859" s="2225" t="s">
        <v>207</v>
      </c>
      <c r="L859" s="2226">
        <v>40725</v>
      </c>
      <c r="M859" s="2227" t="s">
        <v>154</v>
      </c>
      <c r="N859" s="2228">
        <v>40725</v>
      </c>
      <c r="O859" s="2229" t="s">
        <v>412</v>
      </c>
      <c r="Q859" s="3484">
        <v>7</v>
      </c>
      <c r="R859" s="3485"/>
      <c r="S859" s="437"/>
      <c r="T859" s="3484">
        <v>8</v>
      </c>
      <c r="U859" s="3485"/>
      <c r="V859" s="1093"/>
      <c r="W859" s="1093"/>
      <c r="X859" s="3484">
        <v>9</v>
      </c>
      <c r="Y859" s="3485"/>
      <c r="Z859" s="437"/>
      <c r="AA859" s="3484">
        <v>10</v>
      </c>
      <c r="AB859" s="3485"/>
    </row>
    <row r="860" spans="2:29" s="463" customFormat="1" ht="20.100000000000001" hidden="1" customHeight="1" outlineLevel="1">
      <c r="B860" s="1134">
        <v>33</v>
      </c>
      <c r="C860" s="3524"/>
      <c r="D860" s="1441">
        <v>2</v>
      </c>
      <c r="E860" s="2230" t="s">
        <v>825</v>
      </c>
      <c r="F860" s="2231" t="s">
        <v>723</v>
      </c>
      <c r="G860" s="2551" t="s">
        <v>205</v>
      </c>
      <c r="H860" s="2232" t="s">
        <v>209</v>
      </c>
      <c r="I860" s="2569" t="s">
        <v>179</v>
      </c>
      <c r="J860" s="2233" t="s">
        <v>733</v>
      </c>
      <c r="K860" s="2234" t="s">
        <v>207</v>
      </c>
      <c r="L860" s="2235">
        <v>40725</v>
      </c>
      <c r="M860" s="2236" t="s">
        <v>154</v>
      </c>
      <c r="N860" s="2237">
        <v>40725</v>
      </c>
      <c r="O860" s="2238" t="s">
        <v>208</v>
      </c>
      <c r="Q860" s="3486"/>
      <c r="R860" s="3487"/>
      <c r="S860" s="1075"/>
      <c r="T860" s="3486"/>
      <c r="U860" s="3487"/>
      <c r="V860" s="1076"/>
      <c r="W860" s="1077"/>
      <c r="X860" s="3486"/>
      <c r="Y860" s="3487"/>
      <c r="Z860" s="1075"/>
      <c r="AA860" s="3486"/>
      <c r="AB860" s="3487"/>
    </row>
    <row r="861" spans="2:29" s="463" customFormat="1" ht="20.100000000000001" hidden="1" customHeight="1" outlineLevel="1">
      <c r="B861" s="1134">
        <v>34</v>
      </c>
      <c r="C861" s="3524"/>
      <c r="D861" s="1078">
        <v>3</v>
      </c>
      <c r="E861" s="2239" t="s">
        <v>825</v>
      </c>
      <c r="F861" s="2240" t="s">
        <v>723</v>
      </c>
      <c r="G861" s="2552" t="s">
        <v>210</v>
      </c>
      <c r="H861" s="2241" t="s">
        <v>211</v>
      </c>
      <c r="I861" s="2570" t="s">
        <v>183</v>
      </c>
      <c r="J861" s="2242" t="s">
        <v>733</v>
      </c>
      <c r="K861" s="2243" t="s">
        <v>207</v>
      </c>
      <c r="L861" s="2244">
        <v>40725</v>
      </c>
      <c r="M861" s="2245" t="s">
        <v>154</v>
      </c>
      <c r="N861" s="2246">
        <v>40725</v>
      </c>
      <c r="O861" s="2247" t="s">
        <v>208</v>
      </c>
      <c r="Q861" s="3488"/>
      <c r="R861" s="3489"/>
      <c r="S861"/>
      <c r="T861" s="3488"/>
      <c r="U861" s="3489"/>
      <c r="V861" s="1089"/>
      <c r="W861" s="1089"/>
      <c r="X861" s="3488"/>
      <c r="Y861" s="3489"/>
      <c r="Z861"/>
      <c r="AA861" s="3488"/>
      <c r="AB861" s="3489"/>
    </row>
    <row r="862" spans="2:29" s="463" customFormat="1" ht="20.100000000000001" hidden="1" customHeight="1" outlineLevel="1" thickBot="1">
      <c r="B862" s="1134">
        <v>35</v>
      </c>
      <c r="C862" s="3524"/>
      <c r="D862" s="1037">
        <v>4</v>
      </c>
      <c r="E862" s="2239" t="s">
        <v>825</v>
      </c>
      <c r="F862" s="2240" t="s">
        <v>723</v>
      </c>
      <c r="G862" s="2552" t="s">
        <v>210</v>
      </c>
      <c r="H862" s="2241" t="s">
        <v>212</v>
      </c>
      <c r="I862" s="2570" t="s">
        <v>183</v>
      </c>
      <c r="J862" s="2242" t="s">
        <v>733</v>
      </c>
      <c r="K862" s="2243" t="s">
        <v>207</v>
      </c>
      <c r="L862" s="2244">
        <v>40725</v>
      </c>
      <c r="M862" s="2245" t="s">
        <v>154</v>
      </c>
      <c r="N862" s="2246">
        <v>40725</v>
      </c>
      <c r="O862" s="2248" t="s">
        <v>208</v>
      </c>
      <c r="Q862"/>
      <c r="R862"/>
      <c r="S862"/>
      <c r="T862"/>
      <c r="U862" s="1094"/>
      <c r="V862" s="1095"/>
      <c r="W862" s="1095"/>
      <c r="X862" s="1096"/>
      <c r="Y862"/>
      <c r="Z862"/>
      <c r="AA862"/>
      <c r="AB862"/>
    </row>
    <row r="863" spans="2:29" ht="18" hidden="1" customHeight="1" outlineLevel="1" thickTop="1">
      <c r="B863" s="1134">
        <v>36</v>
      </c>
      <c r="C863" s="3524"/>
      <c r="D863" s="1037">
        <v>5</v>
      </c>
      <c r="E863" s="2239" t="s">
        <v>825</v>
      </c>
      <c r="F863" s="2240" t="s">
        <v>723</v>
      </c>
      <c r="G863" s="2552" t="s">
        <v>210</v>
      </c>
      <c r="H863" s="2241" t="s">
        <v>213</v>
      </c>
      <c r="I863" s="2570" t="s">
        <v>183</v>
      </c>
      <c r="J863" s="2242" t="s">
        <v>733</v>
      </c>
      <c r="K863" s="2243" t="s">
        <v>207</v>
      </c>
      <c r="L863" s="2244">
        <v>40725</v>
      </c>
      <c r="M863" s="2245" t="s">
        <v>154</v>
      </c>
      <c r="N863" s="2246">
        <v>40725</v>
      </c>
      <c r="O863" s="2248" t="s">
        <v>208</v>
      </c>
      <c r="P863" s="463"/>
      <c r="AC863" s="463"/>
    </row>
    <row r="864" spans="2:29" ht="15.75" hidden="1" outlineLevel="1">
      <c r="B864" s="1134">
        <v>37</v>
      </c>
      <c r="C864" s="3524"/>
      <c r="D864" s="1037">
        <v>6</v>
      </c>
      <c r="E864" s="2239" t="s">
        <v>825</v>
      </c>
      <c r="F864" s="2240" t="s">
        <v>723</v>
      </c>
      <c r="G864" s="2552" t="s">
        <v>210</v>
      </c>
      <c r="H864" s="2241" t="s">
        <v>214</v>
      </c>
      <c r="I864" s="2570" t="s">
        <v>183</v>
      </c>
      <c r="J864" s="2242" t="s">
        <v>733</v>
      </c>
      <c r="K864" s="2243" t="s">
        <v>207</v>
      </c>
      <c r="L864" s="2244">
        <v>40725</v>
      </c>
      <c r="M864" s="2245" t="s">
        <v>154</v>
      </c>
      <c r="N864" s="2246">
        <v>40725</v>
      </c>
      <c r="O864" s="2248" t="s">
        <v>208</v>
      </c>
      <c r="P864" s="463"/>
      <c r="AC864" s="463"/>
    </row>
    <row r="865" spans="2:34" ht="16.5" hidden="1" outlineLevel="1" thickBot="1">
      <c r="B865" s="1134">
        <v>38</v>
      </c>
      <c r="C865" s="3524"/>
      <c r="D865" s="1037">
        <v>7</v>
      </c>
      <c r="E865" s="2239" t="s">
        <v>825</v>
      </c>
      <c r="F865" s="2240" t="s">
        <v>723</v>
      </c>
      <c r="G865" s="2552" t="s">
        <v>210</v>
      </c>
      <c r="H865" s="2241" t="s">
        <v>215</v>
      </c>
      <c r="I865" s="2570" t="s">
        <v>183</v>
      </c>
      <c r="J865" s="2242" t="s">
        <v>733</v>
      </c>
      <c r="K865" s="2243" t="s">
        <v>207</v>
      </c>
      <c r="L865" s="2244">
        <v>40725</v>
      </c>
      <c r="M865" s="2245" t="s">
        <v>154</v>
      </c>
      <c r="N865" s="2246">
        <v>40725</v>
      </c>
      <c r="O865" s="2248" t="s">
        <v>208</v>
      </c>
      <c r="P865" s="463"/>
      <c r="Q865" s="463"/>
      <c r="R865" s="463"/>
      <c r="S865" s="463"/>
      <c r="T865" s="463"/>
      <c r="U865" s="463"/>
      <c r="V865" s="463"/>
      <c r="W865" s="463"/>
      <c r="X865" s="463"/>
      <c r="Y865" s="463"/>
      <c r="Z865" s="463"/>
      <c r="AA865" s="463"/>
      <c r="AB865" s="463"/>
    </row>
    <row r="866" spans="2:34" ht="16.5" hidden="1" outlineLevel="1" thickTop="1">
      <c r="B866" s="1134">
        <v>39</v>
      </c>
      <c r="C866" s="3524"/>
      <c r="D866" s="1037">
        <v>8</v>
      </c>
      <c r="E866" s="2239" t="s">
        <v>825</v>
      </c>
      <c r="F866" s="2240" t="s">
        <v>723</v>
      </c>
      <c r="G866" s="2552" t="s">
        <v>210</v>
      </c>
      <c r="H866" s="2241" t="s">
        <v>216</v>
      </c>
      <c r="I866" s="2570" t="s">
        <v>183</v>
      </c>
      <c r="J866" s="2242" t="s">
        <v>733</v>
      </c>
      <c r="K866" s="2243" t="s">
        <v>207</v>
      </c>
      <c r="L866" s="2244">
        <v>40725</v>
      </c>
      <c r="M866" s="2245" t="s">
        <v>154</v>
      </c>
      <c r="N866" s="2246">
        <v>40725</v>
      </c>
      <c r="O866" s="2248" t="s">
        <v>208</v>
      </c>
      <c r="P866" s="463"/>
      <c r="Q866" s="463"/>
      <c r="R866" s="463"/>
      <c r="S866" s="463"/>
      <c r="T866" s="463"/>
      <c r="U866" s="1049"/>
      <c r="V866" s="1050"/>
      <c r="W866" s="1050"/>
      <c r="X866" s="1051"/>
      <c r="Y866" s="463"/>
      <c r="Z866" s="463"/>
      <c r="AA866" s="463"/>
      <c r="AB866" s="463"/>
      <c r="AD866" s="1238" t="s">
        <v>217</v>
      </c>
    </row>
    <row r="867" spans="2:34" ht="15.75" hidden="1" outlineLevel="1">
      <c r="B867" s="1134">
        <v>40</v>
      </c>
      <c r="C867" s="3524"/>
      <c r="D867" s="1037">
        <v>9</v>
      </c>
      <c r="E867" s="2239" t="s">
        <v>825</v>
      </c>
      <c r="F867" s="2240" t="s">
        <v>723</v>
      </c>
      <c r="G867" s="2552" t="s">
        <v>210</v>
      </c>
      <c r="H867" s="2241" t="s">
        <v>218</v>
      </c>
      <c r="I867" s="2570" t="s">
        <v>183</v>
      </c>
      <c r="J867" s="2242" t="s">
        <v>733</v>
      </c>
      <c r="K867" s="2243" t="s">
        <v>207</v>
      </c>
      <c r="L867" s="2244">
        <v>40725</v>
      </c>
      <c r="M867" s="2245" t="s">
        <v>154</v>
      </c>
      <c r="N867" s="2246">
        <v>40725</v>
      </c>
      <c r="O867" s="2248" t="s">
        <v>208</v>
      </c>
      <c r="Q867" s="463"/>
      <c r="R867" s="463"/>
      <c r="S867" s="3484">
        <v>1</v>
      </c>
      <c r="T867" s="3485"/>
      <c r="U867" s="1052"/>
      <c r="V867" s="1052"/>
      <c r="W867" s="1052"/>
      <c r="X867" s="1052"/>
      <c r="Y867" s="3484">
        <v>2</v>
      </c>
      <c r="Z867" s="3485"/>
      <c r="AA867" s="463"/>
      <c r="AB867" s="463"/>
    </row>
    <row r="868" spans="2:34" ht="16.5" hidden="1" outlineLevel="1" thickBot="1">
      <c r="B868" s="1206">
        <v>41</v>
      </c>
      <c r="C868" s="3525"/>
      <c r="D868" s="1098">
        <v>10</v>
      </c>
      <c r="E868" s="2249" t="s">
        <v>825</v>
      </c>
      <c r="F868" s="2250" t="s">
        <v>723</v>
      </c>
      <c r="G868" s="2553" t="s">
        <v>210</v>
      </c>
      <c r="H868" s="2251" t="s">
        <v>219</v>
      </c>
      <c r="I868" s="2571" t="s">
        <v>183</v>
      </c>
      <c r="J868" s="2252" t="s">
        <v>733</v>
      </c>
      <c r="K868" s="2253" t="s">
        <v>207</v>
      </c>
      <c r="L868" s="2254">
        <v>40725</v>
      </c>
      <c r="M868" s="2255" t="s">
        <v>154</v>
      </c>
      <c r="N868" s="2256">
        <v>40725</v>
      </c>
      <c r="O868" s="2257" t="s">
        <v>208</v>
      </c>
      <c r="Q868" s="463"/>
      <c r="R868" s="463"/>
      <c r="S868" s="3486"/>
      <c r="T868" s="3487"/>
      <c r="U868" s="1053"/>
      <c r="V868" s="1054"/>
      <c r="W868" s="1054"/>
      <c r="X868" s="1055"/>
      <c r="Y868" s="3486"/>
      <c r="Z868" s="3487"/>
      <c r="AA868" s="463"/>
      <c r="AB868" s="463"/>
      <c r="AD868" s="1239" t="s">
        <v>220</v>
      </c>
    </row>
    <row r="869" spans="2:34" ht="10.15" customHeight="1" collapsed="1">
      <c r="B869" s="4"/>
      <c r="C869" s="4"/>
      <c r="E869" s="4"/>
      <c r="F869" s="1240"/>
      <c r="G869" s="1747"/>
      <c r="H869" s="1241"/>
      <c r="I869" s="1747"/>
      <c r="J869" s="4"/>
      <c r="K869" s="18"/>
      <c r="L869" s="4"/>
      <c r="M869" s="18"/>
      <c r="N869" s="18"/>
      <c r="O869" s="463"/>
      <c r="Q869" s="463"/>
      <c r="R869" s="463"/>
      <c r="S869" s="3488"/>
      <c r="T869" s="3489"/>
      <c r="U869" s="1056"/>
      <c r="V869" s="1056"/>
      <c r="W869" s="1056"/>
      <c r="X869" s="1056"/>
      <c r="Y869" s="3488"/>
      <c r="Z869" s="3489"/>
      <c r="AA869" s="463"/>
      <c r="AB869" s="463"/>
    </row>
    <row r="870" spans="2:34" ht="18.95" hidden="1" customHeight="1" outlineLevel="1">
      <c r="B870" s="1242">
        <v>42</v>
      </c>
      <c r="C870" s="3502" t="s">
        <v>221</v>
      </c>
      <c r="D870" s="1024">
        <v>1</v>
      </c>
      <c r="E870" s="919" t="s">
        <v>776</v>
      </c>
      <c r="F870" s="1243" t="s">
        <v>732</v>
      </c>
      <c r="G870" s="1384" t="s">
        <v>222</v>
      </c>
      <c r="H870" s="1245" t="s">
        <v>223</v>
      </c>
      <c r="I870" s="1292" t="s">
        <v>179</v>
      </c>
      <c r="J870" s="1246" t="s">
        <v>224</v>
      </c>
      <c r="K870" s="923" t="s">
        <v>225</v>
      </c>
      <c r="L870" s="924">
        <v>40802</v>
      </c>
      <c r="M870" s="1247" t="s">
        <v>226</v>
      </c>
      <c r="N870" s="1248">
        <v>40805</v>
      </c>
      <c r="O870" s="1249" t="s">
        <v>250</v>
      </c>
      <c r="Q870" s="463"/>
      <c r="R870" s="463"/>
      <c r="S870" s="736"/>
      <c r="T870" s="736"/>
      <c r="U870" s="1058"/>
      <c r="V870" s="1056"/>
      <c r="W870" s="1056"/>
      <c r="X870" s="1059"/>
      <c r="Y870" s="463"/>
      <c r="Z870" s="736"/>
      <c r="AA870" s="463"/>
      <c r="AB870" s="463"/>
      <c r="AD870" s="1037">
        <v>1</v>
      </c>
      <c r="AE870" s="932" t="s">
        <v>825</v>
      </c>
      <c r="AF870" s="975" t="s">
        <v>205</v>
      </c>
      <c r="AG870" s="1250" t="s">
        <v>206</v>
      </c>
      <c r="AH870" s="124" t="s">
        <v>179</v>
      </c>
    </row>
    <row r="871" spans="2:34" ht="18.95" hidden="1" customHeight="1" outlineLevel="1" thickBot="1">
      <c r="B871" s="1134">
        <v>43</v>
      </c>
      <c r="C871" s="3503"/>
      <c r="D871" s="1098">
        <v>2</v>
      </c>
      <c r="E871" s="1251" t="s">
        <v>776</v>
      </c>
      <c r="F871" s="1252" t="s">
        <v>732</v>
      </c>
      <c r="G871" s="1385" t="s">
        <v>222</v>
      </c>
      <c r="H871" s="1254" t="s">
        <v>227</v>
      </c>
      <c r="I871" s="1295" t="s">
        <v>179</v>
      </c>
      <c r="J871" s="1255" t="s">
        <v>224</v>
      </c>
      <c r="K871" s="1256" t="s">
        <v>225</v>
      </c>
      <c r="L871" s="1163">
        <v>40802</v>
      </c>
      <c r="M871" s="1257" t="s">
        <v>226</v>
      </c>
      <c r="N871" s="1258">
        <v>40805</v>
      </c>
      <c r="O871" s="1259" t="s">
        <v>228</v>
      </c>
      <c r="Q871" s="463"/>
      <c r="R871" s="463"/>
      <c r="S871" s="736"/>
      <c r="T871" s="736"/>
      <c r="U871" s="1058"/>
      <c r="V871" s="1056"/>
      <c r="W871" s="1056"/>
      <c r="X871" s="1059"/>
      <c r="Y871" s="463"/>
      <c r="Z871" s="736"/>
      <c r="AA871" s="463"/>
      <c r="AB871" s="463"/>
      <c r="AD871" s="1037">
        <v>2</v>
      </c>
      <c r="AE871" s="932" t="s">
        <v>825</v>
      </c>
      <c r="AF871" s="975" t="s">
        <v>205</v>
      </c>
      <c r="AG871" s="1250" t="s">
        <v>209</v>
      </c>
      <c r="AH871" s="124" t="s">
        <v>179</v>
      </c>
    </row>
    <row r="872" spans="2:34" ht="18.95" hidden="1" customHeight="1" outlineLevel="1">
      <c r="B872" s="1134">
        <v>44</v>
      </c>
      <c r="C872" s="3503"/>
      <c r="D872" s="1078">
        <v>3</v>
      </c>
      <c r="E872" s="941" t="s">
        <v>776</v>
      </c>
      <c r="F872" s="1260" t="s">
        <v>732</v>
      </c>
      <c r="G872" s="1381" t="s">
        <v>222</v>
      </c>
      <c r="H872" s="1261" t="s">
        <v>229</v>
      </c>
      <c r="I872" s="922" t="s">
        <v>179</v>
      </c>
      <c r="J872" s="1262" t="s">
        <v>224</v>
      </c>
      <c r="K872" s="943" t="s">
        <v>225</v>
      </c>
      <c r="L872" s="944">
        <v>40802</v>
      </c>
      <c r="M872" s="1263" t="s">
        <v>193</v>
      </c>
      <c r="N872" s="983">
        <v>40854</v>
      </c>
      <c r="O872" s="947" t="s">
        <v>230</v>
      </c>
      <c r="Q872" s="463"/>
      <c r="R872" s="463"/>
      <c r="S872" s="463"/>
      <c r="T872" s="463"/>
      <c r="U872" s="1060"/>
      <c r="V872" s="1056"/>
      <c r="W872" s="1056"/>
      <c r="X872" s="1061"/>
      <c r="Y872" s="463"/>
      <c r="Z872" s="463"/>
      <c r="AA872" s="463"/>
      <c r="AB872" s="463"/>
      <c r="AD872" s="1037">
        <v>3</v>
      </c>
      <c r="AE872" s="932" t="s">
        <v>825</v>
      </c>
      <c r="AF872" s="975" t="s">
        <v>210</v>
      </c>
      <c r="AG872" s="1250" t="s">
        <v>211</v>
      </c>
      <c r="AH872" s="124" t="s">
        <v>183</v>
      </c>
    </row>
    <row r="873" spans="2:34" ht="18.95" hidden="1" customHeight="1" outlineLevel="1" thickBot="1">
      <c r="B873" s="1134">
        <v>45</v>
      </c>
      <c r="C873" s="3503"/>
      <c r="D873" s="1098">
        <v>4</v>
      </c>
      <c r="E873" s="1251" t="s">
        <v>776</v>
      </c>
      <c r="F873" s="1252" t="s">
        <v>732</v>
      </c>
      <c r="G873" s="1385" t="s">
        <v>222</v>
      </c>
      <c r="H873" s="1254" t="s">
        <v>231</v>
      </c>
      <c r="I873" s="1295" t="s">
        <v>179</v>
      </c>
      <c r="J873" s="1255" t="s">
        <v>224</v>
      </c>
      <c r="K873" s="1256" t="s">
        <v>225</v>
      </c>
      <c r="L873" s="1163">
        <v>40802</v>
      </c>
      <c r="M873" s="1257" t="s">
        <v>193</v>
      </c>
      <c r="N873" s="1258">
        <v>40854</v>
      </c>
      <c r="O873" s="1259" t="s">
        <v>230</v>
      </c>
      <c r="Q873" s="3484">
        <v>3</v>
      </c>
      <c r="R873" s="3485"/>
      <c r="S873" s="1062"/>
      <c r="T873" s="3484">
        <v>4</v>
      </c>
      <c r="U873" s="3485"/>
      <c r="V873" s="1052"/>
      <c r="W873" s="1052"/>
      <c r="X873" s="3484">
        <v>5</v>
      </c>
      <c r="Y873" s="3485"/>
      <c r="Z873" s="1062"/>
      <c r="AA873" s="3484">
        <v>6</v>
      </c>
      <c r="AB873" s="3485"/>
      <c r="AD873" s="1037">
        <v>4</v>
      </c>
      <c r="AE873" s="932" t="s">
        <v>825</v>
      </c>
      <c r="AF873" s="975" t="s">
        <v>210</v>
      </c>
      <c r="AG873" s="1250" t="s">
        <v>212</v>
      </c>
      <c r="AH873" s="124" t="s">
        <v>183</v>
      </c>
    </row>
    <row r="874" spans="2:34" ht="18.95" hidden="1" customHeight="1" outlineLevel="1">
      <c r="B874" s="1134">
        <v>46</v>
      </c>
      <c r="C874" s="3503"/>
      <c r="D874" s="1078">
        <v>5</v>
      </c>
      <c r="E874" s="941" t="s">
        <v>776</v>
      </c>
      <c r="F874" s="1260" t="s">
        <v>732</v>
      </c>
      <c r="G874" s="1381" t="s">
        <v>222</v>
      </c>
      <c r="H874" s="1261" t="s">
        <v>232</v>
      </c>
      <c r="I874" s="922" t="s">
        <v>179</v>
      </c>
      <c r="J874" s="1262" t="s">
        <v>224</v>
      </c>
      <c r="K874" s="943" t="s">
        <v>225</v>
      </c>
      <c r="L874" s="944">
        <v>40802</v>
      </c>
      <c r="M874" s="1263" t="s">
        <v>172</v>
      </c>
      <c r="N874" s="983">
        <v>40856</v>
      </c>
      <c r="O874" s="947" t="s">
        <v>230</v>
      </c>
      <c r="Q874" s="3486"/>
      <c r="R874" s="3487"/>
      <c r="S874" s="1075"/>
      <c r="T874" s="3486"/>
      <c r="U874" s="3487"/>
      <c r="V874" s="1076"/>
      <c r="W874" s="1077"/>
      <c r="X874" s="3486"/>
      <c r="Y874" s="3487"/>
      <c r="Z874" s="1075"/>
      <c r="AA874" s="3486"/>
      <c r="AB874" s="3487"/>
      <c r="AD874" s="1037">
        <v>5</v>
      </c>
      <c r="AE874" s="932" t="s">
        <v>825</v>
      </c>
      <c r="AF874" s="975" t="s">
        <v>210</v>
      </c>
      <c r="AG874" s="1250" t="s">
        <v>213</v>
      </c>
      <c r="AH874" s="124" t="s">
        <v>183</v>
      </c>
    </row>
    <row r="875" spans="2:34" ht="18.95" hidden="1" customHeight="1" outlineLevel="1" thickBot="1">
      <c r="B875" s="1134">
        <v>47</v>
      </c>
      <c r="C875" s="3503"/>
      <c r="D875" s="1098">
        <v>6</v>
      </c>
      <c r="E875" s="1251" t="s">
        <v>776</v>
      </c>
      <c r="F875" s="1252" t="s">
        <v>732</v>
      </c>
      <c r="G875" s="1385" t="s">
        <v>222</v>
      </c>
      <c r="H875" s="1254" t="s">
        <v>233</v>
      </c>
      <c r="I875" s="1295" t="s">
        <v>179</v>
      </c>
      <c r="J875" s="1255" t="s">
        <v>224</v>
      </c>
      <c r="K875" s="1256" t="s">
        <v>225</v>
      </c>
      <c r="L875" s="1163">
        <v>40802</v>
      </c>
      <c r="M875" s="1257" t="s">
        <v>172</v>
      </c>
      <c r="N875" s="1258">
        <v>40856</v>
      </c>
      <c r="O875" s="1259" t="s">
        <v>230</v>
      </c>
      <c r="Q875" s="3488"/>
      <c r="R875" s="3489"/>
      <c r="T875" s="3488"/>
      <c r="U875" s="3489"/>
      <c r="V875" s="1089"/>
      <c r="W875" s="1089"/>
      <c r="X875" s="3488"/>
      <c r="Y875" s="3489"/>
      <c r="AA875" s="3488"/>
      <c r="AB875" s="3489"/>
      <c r="AD875" s="1037">
        <v>6</v>
      </c>
      <c r="AE875" s="932" t="s">
        <v>825</v>
      </c>
      <c r="AF875" s="975" t="s">
        <v>210</v>
      </c>
      <c r="AG875" s="1250" t="s">
        <v>214</v>
      </c>
      <c r="AH875" s="124" t="s">
        <v>183</v>
      </c>
    </row>
    <row r="876" spans="2:34" ht="18.95" hidden="1" customHeight="1" outlineLevel="1">
      <c r="B876" s="1134">
        <v>48</v>
      </c>
      <c r="C876" s="3503"/>
      <c r="D876" s="1078">
        <v>7</v>
      </c>
      <c r="E876" s="941" t="s">
        <v>776</v>
      </c>
      <c r="F876" s="1260" t="s">
        <v>732</v>
      </c>
      <c r="G876" s="1381" t="s">
        <v>222</v>
      </c>
      <c r="H876" s="1261" t="s">
        <v>234</v>
      </c>
      <c r="I876" s="922" t="s">
        <v>179</v>
      </c>
      <c r="J876" s="1262" t="s">
        <v>224</v>
      </c>
      <c r="K876" s="943" t="s">
        <v>225</v>
      </c>
      <c r="L876" s="944">
        <v>40802</v>
      </c>
      <c r="M876" s="1263" t="s">
        <v>130</v>
      </c>
      <c r="N876" s="983">
        <v>40861</v>
      </c>
      <c r="O876" s="947" t="s">
        <v>230</v>
      </c>
      <c r="U876" s="1091"/>
      <c r="V876" s="1089"/>
      <c r="W876" s="1089"/>
      <c r="X876" s="1089"/>
      <c r="Y876" s="1092"/>
      <c r="AD876" s="1037">
        <v>7</v>
      </c>
      <c r="AE876" s="932" t="s">
        <v>825</v>
      </c>
      <c r="AF876" s="975" t="s">
        <v>210</v>
      </c>
      <c r="AG876" s="1250" t="s">
        <v>215</v>
      </c>
      <c r="AH876" s="124" t="s">
        <v>183</v>
      </c>
    </row>
    <row r="877" spans="2:34" ht="18.95" hidden="1" customHeight="1" outlineLevel="1" thickBot="1">
      <c r="B877" s="1177">
        <v>49</v>
      </c>
      <c r="C877" s="3504"/>
      <c r="D877" s="1098">
        <v>8</v>
      </c>
      <c r="E877" s="1251" t="s">
        <v>776</v>
      </c>
      <c r="F877" s="1252" t="s">
        <v>732</v>
      </c>
      <c r="G877" s="1385" t="s">
        <v>222</v>
      </c>
      <c r="H877" s="1254" t="s">
        <v>235</v>
      </c>
      <c r="I877" s="1295" t="s">
        <v>179</v>
      </c>
      <c r="J877" s="1255" t="s">
        <v>224</v>
      </c>
      <c r="K877" s="1256" t="s">
        <v>225</v>
      </c>
      <c r="L877" s="1163">
        <v>40802</v>
      </c>
      <c r="M877" s="1257" t="s">
        <v>130</v>
      </c>
      <c r="N877" s="1258">
        <v>40861</v>
      </c>
      <c r="O877" s="1259" t="s">
        <v>230</v>
      </c>
      <c r="Q877" s="3484">
        <v>7</v>
      </c>
      <c r="R877" s="3485"/>
      <c r="S877" s="437"/>
      <c r="T877" s="3484">
        <v>8</v>
      </c>
      <c r="U877" s="3485"/>
      <c r="V877" s="1093"/>
      <c r="W877" s="1093"/>
      <c r="X877" s="3484">
        <v>9</v>
      </c>
      <c r="Y877" s="3485"/>
      <c r="Z877" s="437"/>
      <c r="AA877" s="3484">
        <v>10</v>
      </c>
      <c r="AB877" s="3485"/>
      <c r="AD877" s="1037">
        <v>8</v>
      </c>
      <c r="AE877" s="932" t="s">
        <v>825</v>
      </c>
      <c r="AF877" s="975" t="s">
        <v>210</v>
      </c>
      <c r="AG877" s="1250" t="s">
        <v>216</v>
      </c>
      <c r="AH877" s="124" t="s">
        <v>183</v>
      </c>
    </row>
    <row r="878" spans="2:34" ht="18.95" customHeight="1" collapsed="1">
      <c r="Q878" s="3486"/>
      <c r="R878" s="3487"/>
      <c r="S878" s="1075"/>
      <c r="T878" s="3486"/>
      <c r="U878" s="3487"/>
      <c r="V878" s="1076"/>
      <c r="W878" s="1077"/>
      <c r="X878" s="3486"/>
      <c r="Y878" s="3487"/>
      <c r="Z878" s="1075"/>
      <c r="AA878" s="3486"/>
      <c r="AB878" s="3487"/>
      <c r="AD878" s="1037">
        <v>9</v>
      </c>
      <c r="AE878" s="932" t="s">
        <v>825</v>
      </c>
      <c r="AF878" s="975" t="s">
        <v>210</v>
      </c>
      <c r="AG878" s="1250" t="s">
        <v>218</v>
      </c>
      <c r="AH878" s="124" t="s">
        <v>183</v>
      </c>
    </row>
    <row r="879" spans="2:34" ht="18.95" customHeight="1">
      <c r="Q879" s="3488"/>
      <c r="R879" s="3489"/>
      <c r="T879" s="3488"/>
      <c r="U879" s="3489"/>
      <c r="V879" s="1089"/>
      <c r="W879" s="1089"/>
      <c r="X879" s="3488"/>
      <c r="Y879" s="3489"/>
      <c r="AA879" s="3488"/>
      <c r="AB879" s="3489"/>
      <c r="AD879" s="1037">
        <v>10</v>
      </c>
      <c r="AE879" s="932" t="s">
        <v>825</v>
      </c>
      <c r="AF879" s="975" t="s">
        <v>210</v>
      </c>
      <c r="AG879" s="1250" t="s">
        <v>219</v>
      </c>
      <c r="AH879" s="124" t="s">
        <v>183</v>
      </c>
    </row>
    <row r="880" spans="2:34" ht="18.95" customHeight="1" thickBot="1">
      <c r="U880" s="1094"/>
      <c r="V880" s="1095"/>
      <c r="W880" s="1095"/>
      <c r="X880" s="1096"/>
    </row>
    <row r="881" spans="17:28" ht="18.95" customHeight="1" thickTop="1"/>
    <row r="882" spans="17:28" ht="18.95" customHeight="1"/>
    <row r="883" spans="17:28" ht="18.95" customHeight="1" thickBot="1">
      <c r="Q883" s="463"/>
      <c r="R883" s="463"/>
      <c r="S883" s="463"/>
      <c r="T883" s="463"/>
      <c r="U883" s="463"/>
      <c r="V883" s="463"/>
      <c r="W883" s="463"/>
      <c r="X883" s="463"/>
      <c r="Y883" s="463"/>
      <c r="Z883" s="463"/>
      <c r="AA883" s="463"/>
      <c r="AB883" s="463"/>
    </row>
    <row r="884" spans="17:28" ht="18.95" customHeight="1" thickTop="1">
      <c r="Q884" s="463"/>
      <c r="R884" s="463"/>
      <c r="S884" s="463"/>
      <c r="T884" s="463"/>
      <c r="U884" s="1049"/>
      <c r="V884" s="1050"/>
      <c r="W884" s="1050"/>
      <c r="X884" s="1051"/>
      <c r="Y884" s="463"/>
      <c r="Z884" s="463"/>
      <c r="AA884" s="463"/>
      <c r="AB884" s="463"/>
    </row>
    <row r="885" spans="17:28" ht="18.95" customHeight="1">
      <c r="Q885" s="463"/>
      <c r="R885" s="463"/>
      <c r="S885" s="3484">
        <v>1</v>
      </c>
      <c r="T885" s="3485"/>
      <c r="U885" s="1052"/>
      <c r="V885" s="1052"/>
      <c r="W885" s="1052"/>
      <c r="X885" s="1052"/>
      <c r="Y885" s="3484">
        <v>2</v>
      </c>
      <c r="Z885" s="3485"/>
      <c r="AA885" s="463"/>
      <c r="AB885" s="463"/>
    </row>
    <row r="886" spans="17:28" ht="18.95" customHeight="1">
      <c r="Q886" s="463"/>
      <c r="R886" s="463"/>
      <c r="S886" s="3486"/>
      <c r="T886" s="3487"/>
      <c r="U886" s="1053"/>
      <c r="V886" s="1054"/>
      <c r="W886" s="1054"/>
      <c r="X886" s="1055"/>
      <c r="Y886" s="3486"/>
      <c r="Z886" s="3487"/>
      <c r="AA886" s="463"/>
      <c r="AB886" s="463"/>
    </row>
    <row r="887" spans="17:28" ht="18.95" customHeight="1">
      <c r="Q887" s="463"/>
      <c r="R887" s="463"/>
      <c r="S887" s="3488"/>
      <c r="T887" s="3489"/>
      <c r="U887" s="1056"/>
      <c r="V887" s="1056"/>
      <c r="W887" s="1056"/>
      <c r="X887" s="1056"/>
      <c r="Y887" s="3488"/>
      <c r="Z887" s="3489"/>
      <c r="AA887" s="463"/>
      <c r="AB887" s="463"/>
    </row>
    <row r="888" spans="17:28" ht="18.95" customHeight="1">
      <c r="Q888" s="463"/>
      <c r="R888" s="463"/>
      <c r="S888" s="736"/>
      <c r="T888" s="736"/>
      <c r="U888" s="1058"/>
      <c r="V888" s="1056"/>
      <c r="W888" s="1056"/>
      <c r="X888" s="1059"/>
      <c r="Y888" s="463"/>
      <c r="Z888" s="736"/>
      <c r="AA888" s="463"/>
      <c r="AB888" s="463"/>
    </row>
    <row r="889" spans="17:28" ht="18.95" customHeight="1">
      <c r="Q889" s="463"/>
      <c r="R889" s="463"/>
      <c r="S889" s="736"/>
      <c r="T889" s="736"/>
      <c r="U889" s="1058"/>
      <c r="V889" s="1056"/>
      <c r="W889" s="1056"/>
      <c r="X889" s="1059"/>
      <c r="Y889" s="463"/>
      <c r="Z889" s="736"/>
      <c r="AA889" s="463"/>
      <c r="AB889" s="463"/>
    </row>
    <row r="890" spans="17:28" ht="18.95" customHeight="1">
      <c r="Q890" s="463"/>
      <c r="R890" s="463"/>
      <c r="S890" s="463"/>
      <c r="T890" s="463"/>
      <c r="U890" s="1060"/>
      <c r="V890" s="1056"/>
      <c r="W890" s="1056"/>
      <c r="X890" s="1061"/>
      <c r="Y890" s="463"/>
      <c r="Z890" s="463"/>
      <c r="AA890" s="463"/>
      <c r="AB890" s="463"/>
    </row>
    <row r="891" spans="17:28" ht="18.95" customHeight="1">
      <c r="Q891" s="3484">
        <v>3</v>
      </c>
      <c r="R891" s="3485"/>
      <c r="S891" s="1062"/>
      <c r="T891" s="3484">
        <v>4</v>
      </c>
      <c r="U891" s="3485"/>
      <c r="V891" s="1052"/>
      <c r="W891" s="1052"/>
      <c r="X891" s="3484">
        <v>5</v>
      </c>
      <c r="Y891" s="3485"/>
      <c r="Z891" s="1062"/>
      <c r="AA891" s="3484">
        <v>6</v>
      </c>
      <c r="AB891" s="3485"/>
    </row>
    <row r="892" spans="17:28" ht="18.95" customHeight="1">
      <c r="Q892" s="3486"/>
      <c r="R892" s="3487"/>
      <c r="S892" s="1075"/>
      <c r="T892" s="3486"/>
      <c r="U892" s="3487"/>
      <c r="V892" s="1076"/>
      <c r="W892" s="1077"/>
      <c r="X892" s="3486"/>
      <c r="Y892" s="3487"/>
      <c r="Z892" s="1075"/>
      <c r="AA892" s="3486"/>
      <c r="AB892" s="3487"/>
    </row>
    <row r="893" spans="17:28" ht="18.95" customHeight="1">
      <c r="Q893" s="3488"/>
      <c r="R893" s="3489"/>
      <c r="T893" s="3488"/>
      <c r="U893" s="3489"/>
      <c r="V893" s="1089"/>
      <c r="W893" s="1089"/>
      <c r="X893" s="3488"/>
      <c r="Y893" s="3489"/>
      <c r="AA893" s="3488"/>
      <c r="AB893" s="3489"/>
    </row>
    <row r="894" spans="17:28" ht="18.95" customHeight="1">
      <c r="U894" s="1091"/>
      <c r="V894" s="1089"/>
      <c r="W894" s="1089"/>
      <c r="X894" s="1089"/>
      <c r="Y894" s="1092"/>
    </row>
    <row r="895" spans="17:28" ht="18.95" customHeight="1">
      <c r="Q895" s="3484">
        <v>7</v>
      </c>
      <c r="R895" s="3485"/>
      <c r="S895" s="437"/>
      <c r="T895" s="3484">
        <v>8</v>
      </c>
      <c r="U895" s="3485"/>
      <c r="V895" s="1093"/>
      <c r="W895" s="1093"/>
      <c r="X895" s="3484">
        <v>9</v>
      </c>
      <c r="Y895" s="3485"/>
      <c r="Z895" s="437"/>
      <c r="AA895" s="3484">
        <v>10</v>
      </c>
      <c r="AB895" s="3485"/>
    </row>
    <row r="896" spans="17:28" ht="18.95" customHeight="1">
      <c r="Q896" s="3486"/>
      <c r="R896" s="3487"/>
      <c r="S896" s="1075"/>
      <c r="T896" s="3486"/>
      <c r="U896" s="3487"/>
      <c r="V896" s="1076"/>
      <c r="W896" s="1077"/>
      <c r="X896" s="3486"/>
      <c r="Y896" s="3487"/>
      <c r="Z896" s="1075"/>
      <c r="AA896" s="3486"/>
      <c r="AB896" s="3487"/>
    </row>
    <row r="897" spans="17:28" ht="18.95" customHeight="1">
      <c r="Q897" s="3488"/>
      <c r="R897" s="3489"/>
      <c r="T897" s="3488"/>
      <c r="U897" s="3489"/>
      <c r="V897" s="1089"/>
      <c r="W897" s="1089"/>
      <c r="X897" s="3488"/>
      <c r="Y897" s="3489"/>
      <c r="AA897" s="3488"/>
      <c r="AB897" s="3489"/>
    </row>
    <row r="898" spans="17:28" ht="18.95" customHeight="1" thickBot="1">
      <c r="U898" s="1094"/>
      <c r="V898" s="1095"/>
      <c r="W898" s="1095"/>
      <c r="X898" s="1096"/>
    </row>
    <row r="899" spans="17:28" ht="18.95" customHeight="1" thickTop="1"/>
    <row r="900" spans="17:28" ht="18.95" customHeight="1"/>
    <row r="901" spans="17:28" ht="18.95" customHeight="1" thickBot="1">
      <c r="Q901" s="463"/>
      <c r="R901" s="463"/>
      <c r="S901" s="463"/>
      <c r="T901" s="463"/>
      <c r="U901" s="463"/>
      <c r="V901" s="463"/>
      <c r="W901" s="463"/>
      <c r="X901" s="463"/>
      <c r="Y901" s="463"/>
      <c r="Z901" s="463"/>
      <c r="AA901" s="463"/>
      <c r="AB901" s="463"/>
    </row>
    <row r="902" spans="17:28" ht="18.95" customHeight="1" thickTop="1">
      <c r="Q902" s="463"/>
      <c r="R902" s="463"/>
      <c r="S902" s="463"/>
      <c r="T902" s="463"/>
      <c r="U902" s="1049"/>
      <c r="V902" s="1050"/>
      <c r="W902" s="1050"/>
      <c r="X902" s="1051"/>
      <c r="Y902" s="463"/>
      <c r="Z902" s="463"/>
      <c r="AA902" s="463"/>
      <c r="AB902" s="463"/>
    </row>
    <row r="903" spans="17:28" ht="18.95" customHeight="1">
      <c r="Q903" s="463"/>
      <c r="R903" s="463"/>
      <c r="S903" s="3484">
        <v>1</v>
      </c>
      <c r="T903" s="3485"/>
      <c r="U903" s="1052"/>
      <c r="V903" s="1052"/>
      <c r="W903" s="1052"/>
      <c r="X903" s="1052"/>
      <c r="Y903" s="3484">
        <v>2</v>
      </c>
      <c r="Z903" s="3485"/>
      <c r="AA903" s="463"/>
      <c r="AB903" s="463"/>
    </row>
    <row r="904" spans="17:28" ht="18.95" customHeight="1">
      <c r="Q904" s="463"/>
      <c r="R904" s="463"/>
      <c r="S904" s="3486"/>
      <c r="T904" s="3487"/>
      <c r="U904" s="1053"/>
      <c r="V904" s="1054"/>
      <c r="W904" s="1054"/>
      <c r="X904" s="1055"/>
      <c r="Y904" s="3486"/>
      <c r="Z904" s="3487"/>
      <c r="AA904" s="463"/>
      <c r="AB904" s="463"/>
    </row>
    <row r="905" spans="17:28" ht="18.95" customHeight="1">
      <c r="Q905" s="463"/>
      <c r="R905" s="463"/>
      <c r="S905" s="3488"/>
      <c r="T905" s="3489"/>
      <c r="U905" s="1056"/>
      <c r="V905" s="1056"/>
      <c r="W905" s="1056"/>
      <c r="X905" s="1056"/>
      <c r="Y905" s="3488"/>
      <c r="Z905" s="3489"/>
      <c r="AA905" s="463"/>
      <c r="AB905" s="463"/>
    </row>
    <row r="906" spans="17:28" ht="18.95" customHeight="1">
      <c r="Q906" s="463"/>
      <c r="R906" s="463"/>
      <c r="S906" s="736"/>
      <c r="T906" s="736"/>
      <c r="U906" s="1058"/>
      <c r="V906" s="1056"/>
      <c r="W906" s="1056"/>
      <c r="X906" s="1059"/>
      <c r="Y906" s="463"/>
      <c r="Z906" s="736"/>
      <c r="AA906" s="463"/>
      <c r="AB906" s="463"/>
    </row>
    <row r="907" spans="17:28" ht="18.95" customHeight="1">
      <c r="Q907" s="463"/>
      <c r="R907" s="463"/>
      <c r="S907" s="736"/>
      <c r="T907" s="736"/>
      <c r="U907" s="1058"/>
      <c r="V907" s="1056"/>
      <c r="W907" s="1056"/>
      <c r="X907" s="1059"/>
      <c r="Y907" s="463"/>
      <c r="Z907" s="736"/>
      <c r="AA907" s="463"/>
      <c r="AB907" s="463"/>
    </row>
    <row r="908" spans="17:28" ht="18.95" customHeight="1">
      <c r="Q908" s="463"/>
      <c r="R908" s="463"/>
      <c r="S908" s="463"/>
      <c r="T908" s="463"/>
      <c r="U908" s="1060"/>
      <c r="V908" s="1056"/>
      <c r="W908" s="1056"/>
      <c r="X908" s="1061"/>
      <c r="Y908" s="463"/>
      <c r="Z908" s="463"/>
      <c r="AA908" s="463"/>
      <c r="AB908" s="463"/>
    </row>
    <row r="909" spans="17:28" ht="18.95" customHeight="1">
      <c r="Q909" s="3484">
        <v>3</v>
      </c>
      <c r="R909" s="3485"/>
      <c r="S909" s="1062"/>
      <c r="T909" s="3484">
        <v>4</v>
      </c>
      <c r="U909" s="3485"/>
      <c r="V909" s="1052"/>
      <c r="W909" s="1052"/>
      <c r="X909" s="3484">
        <v>5</v>
      </c>
      <c r="Y909" s="3485"/>
      <c r="Z909" s="1062"/>
      <c r="AA909" s="3484">
        <v>6</v>
      </c>
      <c r="AB909" s="3485"/>
    </row>
    <row r="910" spans="17:28" ht="18.95" customHeight="1">
      <c r="Q910" s="3486"/>
      <c r="R910" s="3487"/>
      <c r="S910" s="1075"/>
      <c r="T910" s="3486"/>
      <c r="U910" s="3487"/>
      <c r="V910" s="1076"/>
      <c r="W910" s="1077"/>
      <c r="X910" s="3486"/>
      <c r="Y910" s="3487"/>
      <c r="Z910" s="1075"/>
      <c r="AA910" s="3486"/>
      <c r="AB910" s="3487"/>
    </row>
    <row r="911" spans="17:28" ht="18.95" customHeight="1">
      <c r="Q911" s="3488"/>
      <c r="R911" s="3489"/>
      <c r="T911" s="3488"/>
      <c r="U911" s="3489"/>
      <c r="V911" s="1089"/>
      <c r="W911" s="1089"/>
      <c r="X911" s="3488"/>
      <c r="Y911" s="3489"/>
      <c r="AA911" s="3488"/>
      <c r="AB911" s="3489"/>
    </row>
    <row r="912" spans="17:28" ht="18.95" customHeight="1">
      <c r="U912" s="1091"/>
      <c r="V912" s="1089"/>
      <c r="W912" s="1089"/>
      <c r="X912" s="1089"/>
      <c r="Y912" s="1092"/>
    </row>
    <row r="913" spans="17:28" ht="18.95" customHeight="1">
      <c r="Q913" s="3484">
        <v>7</v>
      </c>
      <c r="R913" s="3485"/>
      <c r="S913" s="437"/>
      <c r="T913" s="3484">
        <v>8</v>
      </c>
      <c r="U913" s="3485"/>
      <c r="V913" s="1093"/>
      <c r="W913" s="1093"/>
      <c r="X913" s="3484">
        <v>9</v>
      </c>
      <c r="Y913" s="3485"/>
      <c r="Z913" s="437"/>
      <c r="AA913" s="3484">
        <v>10</v>
      </c>
      <c r="AB913" s="3485"/>
    </row>
    <row r="914" spans="17:28" ht="18.95" customHeight="1">
      <c r="Q914" s="3486"/>
      <c r="R914" s="3487"/>
      <c r="S914" s="1075"/>
      <c r="T914" s="3486"/>
      <c r="U914" s="3487"/>
      <c r="V914" s="1076"/>
      <c r="W914" s="1077"/>
      <c r="X914" s="3486"/>
      <c r="Y914" s="3487"/>
      <c r="Z914" s="1075"/>
      <c r="AA914" s="3486"/>
      <c r="AB914" s="3487"/>
    </row>
    <row r="915" spans="17:28" ht="18.95" customHeight="1">
      <c r="Q915" s="3488"/>
      <c r="R915" s="3489"/>
      <c r="T915" s="3488"/>
      <c r="U915" s="3489"/>
      <c r="V915" s="1089"/>
      <c r="W915" s="1089"/>
      <c r="X915" s="3488"/>
      <c r="Y915" s="3489"/>
      <c r="AA915" s="3488"/>
      <c r="AB915" s="3489"/>
    </row>
    <row r="916" spans="17:28" ht="18.95" customHeight="1" thickBot="1">
      <c r="U916" s="1094"/>
      <c r="V916" s="1095"/>
      <c r="W916" s="1095"/>
      <c r="X916" s="1096"/>
    </row>
    <row r="917" spans="17:28" ht="18.95" customHeight="1" thickTop="1"/>
    <row r="918" spans="17:28" ht="18.95" customHeight="1"/>
    <row r="919" spans="17:28" ht="18.95" customHeight="1" thickBot="1">
      <c r="Q919" s="463"/>
      <c r="R919" s="463"/>
      <c r="S919" s="463"/>
      <c r="T919" s="463"/>
      <c r="U919" s="463"/>
      <c r="V919" s="463"/>
      <c r="W919" s="463"/>
      <c r="X919" s="463"/>
      <c r="Y919" s="463"/>
      <c r="Z919" s="463"/>
      <c r="AA919" s="463"/>
      <c r="AB919" s="463"/>
    </row>
    <row r="920" spans="17:28" ht="18.95" customHeight="1" thickTop="1">
      <c r="Q920" s="463"/>
      <c r="R920" s="463"/>
      <c r="S920" s="463"/>
      <c r="T920" s="463"/>
      <c r="U920" s="1049"/>
      <c r="V920" s="1050"/>
      <c r="W920" s="1050"/>
      <c r="X920" s="1051"/>
      <c r="Y920" s="463"/>
      <c r="Z920" s="463"/>
      <c r="AA920" s="463"/>
      <c r="AB920" s="463"/>
    </row>
    <row r="921" spans="17:28" ht="18.95" customHeight="1">
      <c r="Q921" s="463"/>
      <c r="R921" s="463"/>
      <c r="S921" s="3484">
        <v>1</v>
      </c>
      <c r="T921" s="3485"/>
      <c r="U921" s="1052"/>
      <c r="V921" s="1052"/>
      <c r="W921" s="1052"/>
      <c r="X921" s="1052"/>
      <c r="Y921" s="3484">
        <v>2</v>
      </c>
      <c r="Z921" s="3485"/>
      <c r="AA921" s="463"/>
      <c r="AB921" s="463"/>
    </row>
    <row r="922" spans="17:28" ht="18.95" customHeight="1">
      <c r="Q922" s="463"/>
      <c r="R922" s="463"/>
      <c r="S922" s="3486"/>
      <c r="T922" s="3487"/>
      <c r="U922" s="1053"/>
      <c r="V922" s="1054"/>
      <c r="W922" s="1054"/>
      <c r="X922" s="1055"/>
      <c r="Y922" s="3486"/>
      <c r="Z922" s="3487"/>
      <c r="AA922" s="463"/>
      <c r="AB922" s="463"/>
    </row>
    <row r="923" spans="17:28" ht="18.95" customHeight="1">
      <c r="Q923" s="463"/>
      <c r="R923" s="463"/>
      <c r="S923" s="3488"/>
      <c r="T923" s="3489"/>
      <c r="U923" s="1056"/>
      <c r="V923" s="1056"/>
      <c r="W923" s="1056"/>
      <c r="X923" s="1056"/>
      <c r="Y923" s="3488"/>
      <c r="Z923" s="3489"/>
      <c r="AA923" s="463"/>
      <c r="AB923" s="463"/>
    </row>
    <row r="924" spans="17:28" ht="18.95" customHeight="1">
      <c r="Q924" s="463"/>
      <c r="R924" s="463"/>
      <c r="S924" s="736"/>
      <c r="T924" s="736"/>
      <c r="U924" s="1058"/>
      <c r="V924" s="1056"/>
      <c r="W924" s="1056"/>
      <c r="X924" s="1059"/>
      <c r="Y924" s="463"/>
      <c r="Z924" s="736"/>
      <c r="AA924" s="463"/>
      <c r="AB924" s="463"/>
    </row>
    <row r="925" spans="17:28" ht="18.95" customHeight="1">
      <c r="Q925" s="463"/>
      <c r="R925" s="463"/>
      <c r="S925" s="736"/>
      <c r="T925" s="736"/>
      <c r="U925" s="1058"/>
      <c r="V925" s="1056"/>
      <c r="W925" s="1056"/>
      <c r="X925" s="1059"/>
      <c r="Y925" s="463"/>
      <c r="Z925" s="736"/>
      <c r="AA925" s="463"/>
      <c r="AB925" s="463"/>
    </row>
    <row r="926" spans="17:28" ht="18.95" customHeight="1">
      <c r="Q926" s="463"/>
      <c r="R926" s="463"/>
      <c r="S926" s="463"/>
      <c r="T926" s="463"/>
      <c r="U926" s="1060"/>
      <c r="V926" s="1056"/>
      <c r="W926" s="1056"/>
      <c r="X926" s="1061"/>
      <c r="Y926" s="463"/>
      <c r="Z926" s="463"/>
      <c r="AA926" s="463"/>
      <c r="AB926" s="463"/>
    </row>
    <row r="927" spans="17:28" ht="18.95" customHeight="1">
      <c r="Q927" s="3484">
        <v>3</v>
      </c>
      <c r="R927" s="3485"/>
      <c r="S927" s="1062"/>
      <c r="T927" s="3484">
        <v>4</v>
      </c>
      <c r="U927" s="3485"/>
      <c r="V927" s="1052"/>
      <c r="W927" s="1052"/>
      <c r="X927" s="3484">
        <v>5</v>
      </c>
      <c r="Y927" s="3485"/>
      <c r="Z927" s="1062"/>
      <c r="AA927" s="3484">
        <v>6</v>
      </c>
      <c r="AB927" s="3485"/>
    </row>
    <row r="928" spans="17:28" ht="18.95" customHeight="1">
      <c r="Q928" s="3486"/>
      <c r="R928" s="3487"/>
      <c r="S928" s="1075"/>
      <c r="T928" s="3486"/>
      <c r="U928" s="3487"/>
      <c r="V928" s="1076"/>
      <c r="W928" s="1077"/>
      <c r="X928" s="3486"/>
      <c r="Y928" s="3487"/>
      <c r="Z928" s="1075"/>
      <c r="AA928" s="3486"/>
      <c r="AB928" s="3487"/>
    </row>
    <row r="929" spans="17:28" ht="18.95" customHeight="1">
      <c r="Q929" s="3488"/>
      <c r="R929" s="3489"/>
      <c r="T929" s="3488"/>
      <c r="U929" s="3489"/>
      <c r="V929" s="1089"/>
      <c r="W929" s="1089"/>
      <c r="X929" s="3488"/>
      <c r="Y929" s="3489"/>
      <c r="AA929" s="3488"/>
      <c r="AB929" s="3489"/>
    </row>
    <row r="930" spans="17:28" ht="18.95" customHeight="1">
      <c r="U930" s="1091"/>
      <c r="V930" s="1089"/>
      <c r="W930" s="1089"/>
      <c r="X930" s="1089"/>
      <c r="Y930" s="1092"/>
    </row>
    <row r="931" spans="17:28" ht="18.95" customHeight="1">
      <c r="Q931" s="3484">
        <v>7</v>
      </c>
      <c r="R931" s="3485"/>
      <c r="S931" s="437"/>
      <c r="T931" s="3484">
        <v>8</v>
      </c>
      <c r="U931" s="3485"/>
      <c r="V931" s="1093"/>
      <c r="W931" s="1093"/>
      <c r="X931" s="3484">
        <v>9</v>
      </c>
      <c r="Y931" s="3485"/>
      <c r="Z931" s="437"/>
      <c r="AA931" s="3484">
        <v>10</v>
      </c>
      <c r="AB931" s="3485"/>
    </row>
    <row r="932" spans="17:28" ht="18.95" customHeight="1">
      <c r="Q932" s="3486"/>
      <c r="R932" s="3487"/>
      <c r="S932" s="1075"/>
      <c r="T932" s="3486"/>
      <c r="U932" s="3487"/>
      <c r="V932" s="1076"/>
      <c r="W932" s="1077"/>
      <c r="X932" s="3486"/>
      <c r="Y932" s="3487"/>
      <c r="Z932" s="1075"/>
      <c r="AA932" s="3486"/>
      <c r="AB932" s="3487"/>
    </row>
    <row r="933" spans="17:28" ht="18.95" customHeight="1">
      <c r="Q933" s="3488"/>
      <c r="R933" s="3489"/>
      <c r="T933" s="3488"/>
      <c r="U933" s="3489"/>
      <c r="V933" s="1089"/>
      <c r="W933" s="1089"/>
      <c r="X933" s="3488"/>
      <c r="Y933" s="3489"/>
      <c r="AA933" s="3488"/>
      <c r="AB933" s="3489"/>
    </row>
    <row r="934" spans="17:28" ht="18.95" customHeight="1" thickBot="1">
      <c r="U934" s="1094"/>
      <c r="V934" s="1095"/>
      <c r="W934" s="1095"/>
      <c r="X934" s="1096"/>
    </row>
    <row r="935" spans="17:28" ht="18.95" customHeight="1" thickTop="1"/>
    <row r="936" spans="17:28" ht="18.95" customHeight="1"/>
    <row r="937" spans="17:28" ht="18.95" customHeight="1" thickBot="1">
      <c r="Q937" s="463"/>
      <c r="R937" s="463"/>
      <c r="S937" s="463"/>
      <c r="T937" s="463"/>
      <c r="U937" s="463"/>
      <c r="V937" s="463"/>
      <c r="W937" s="463"/>
      <c r="X937" s="463"/>
      <c r="Y937" s="463"/>
      <c r="Z937" s="463"/>
      <c r="AA937" s="463"/>
      <c r="AB937" s="463"/>
    </row>
    <row r="938" spans="17:28" ht="18.95" customHeight="1" thickTop="1">
      <c r="Q938" s="463"/>
      <c r="R938" s="463"/>
      <c r="S938" s="463"/>
      <c r="T938" s="463"/>
      <c r="U938" s="1049"/>
      <c r="V938" s="1050"/>
      <c r="W938" s="1050"/>
      <c r="X938" s="1051"/>
      <c r="Y938" s="463"/>
      <c r="Z938" s="463"/>
      <c r="AA938" s="463"/>
      <c r="AB938" s="463"/>
    </row>
    <row r="939" spans="17:28" ht="18.95" customHeight="1">
      <c r="Q939" s="463"/>
      <c r="R939" s="463"/>
      <c r="S939" s="3484">
        <v>1</v>
      </c>
      <c r="T939" s="3485"/>
      <c r="U939" s="1052"/>
      <c r="V939" s="1052"/>
      <c r="W939" s="1052"/>
      <c r="X939" s="1052"/>
      <c r="Y939" s="3484">
        <v>2</v>
      </c>
      <c r="Z939" s="3485"/>
      <c r="AA939" s="463"/>
      <c r="AB939" s="463"/>
    </row>
    <row r="940" spans="17:28" ht="18.95" customHeight="1">
      <c r="Q940" s="463"/>
      <c r="R940" s="463"/>
      <c r="S940" s="3486"/>
      <c r="T940" s="3487"/>
      <c r="U940" s="1053"/>
      <c r="V940" s="1054"/>
      <c r="W940" s="1054"/>
      <c r="X940" s="1055"/>
      <c r="Y940" s="3486"/>
      <c r="Z940" s="3487"/>
      <c r="AA940" s="463"/>
      <c r="AB940" s="463"/>
    </row>
    <row r="941" spans="17:28" ht="18.95" customHeight="1">
      <c r="Q941" s="463"/>
      <c r="R941" s="463"/>
      <c r="S941" s="3488"/>
      <c r="T941" s="3489"/>
      <c r="U941" s="1056"/>
      <c r="V941" s="1056"/>
      <c r="W941" s="1056"/>
      <c r="X941" s="1056"/>
      <c r="Y941" s="3488"/>
      <c r="Z941" s="3489"/>
      <c r="AA941" s="463"/>
      <c r="AB941" s="463"/>
    </row>
    <row r="942" spans="17:28" ht="18.95" customHeight="1">
      <c r="Q942" s="463"/>
      <c r="R942" s="463"/>
      <c r="S942" s="736"/>
      <c r="T942" s="736"/>
      <c r="U942" s="1058"/>
      <c r="V942" s="1056"/>
      <c r="W942" s="1056"/>
      <c r="X942" s="1059"/>
      <c r="Y942" s="463"/>
      <c r="Z942" s="736"/>
      <c r="AA942" s="463"/>
      <c r="AB942" s="463"/>
    </row>
    <row r="943" spans="17:28" ht="18.95" customHeight="1">
      <c r="Q943" s="463"/>
      <c r="R943" s="463"/>
      <c r="S943" s="736"/>
      <c r="T943" s="736"/>
      <c r="U943" s="1058"/>
      <c r="V943" s="1056"/>
      <c r="W943" s="1056"/>
      <c r="X943" s="1059"/>
      <c r="Y943" s="463"/>
      <c r="Z943" s="736"/>
      <c r="AA943" s="463"/>
      <c r="AB943" s="463"/>
    </row>
    <row r="944" spans="17:28" ht="18.95" customHeight="1">
      <c r="Q944" s="463"/>
      <c r="R944" s="463"/>
      <c r="S944" s="463"/>
      <c r="T944" s="463"/>
      <c r="U944" s="1060"/>
      <c r="V944" s="1056"/>
      <c r="W944" s="1056"/>
      <c r="X944" s="1061"/>
      <c r="Y944" s="463"/>
      <c r="Z944" s="463"/>
      <c r="AA944" s="463"/>
      <c r="AB944" s="463"/>
    </row>
    <row r="945" spans="17:28" ht="18.95" customHeight="1">
      <c r="Q945" s="3484">
        <v>3</v>
      </c>
      <c r="R945" s="3485"/>
      <c r="S945" s="1062"/>
      <c r="T945" s="3484">
        <v>4</v>
      </c>
      <c r="U945" s="3485"/>
      <c r="V945" s="1052"/>
      <c r="W945" s="1052"/>
      <c r="X945" s="3484">
        <v>5</v>
      </c>
      <c r="Y945" s="3485"/>
      <c r="Z945" s="1062"/>
      <c r="AA945" s="3484">
        <v>6</v>
      </c>
      <c r="AB945" s="3485"/>
    </row>
    <row r="946" spans="17:28" ht="18.95" customHeight="1">
      <c r="Q946" s="3486"/>
      <c r="R946" s="3487"/>
      <c r="S946" s="1075"/>
      <c r="T946" s="3486"/>
      <c r="U946" s="3487"/>
      <c r="V946" s="1076"/>
      <c r="W946" s="1077"/>
      <c r="X946" s="3486"/>
      <c r="Y946" s="3487"/>
      <c r="Z946" s="1075"/>
      <c r="AA946" s="3486"/>
      <c r="AB946" s="3487"/>
    </row>
    <row r="947" spans="17:28" ht="18.95" customHeight="1">
      <c r="Q947" s="3488"/>
      <c r="R947" s="3489"/>
      <c r="T947" s="3488"/>
      <c r="U947" s="3489"/>
      <c r="V947" s="1089"/>
      <c r="W947" s="1089"/>
      <c r="X947" s="3488"/>
      <c r="Y947" s="3489"/>
      <c r="AA947" s="3488"/>
      <c r="AB947" s="3489"/>
    </row>
    <row r="948" spans="17:28" ht="18.95" customHeight="1">
      <c r="U948" s="1091"/>
      <c r="V948" s="1089"/>
      <c r="W948" s="1089"/>
      <c r="X948" s="1089"/>
      <c r="Y948" s="1092"/>
    </row>
    <row r="949" spans="17:28" ht="18.95" customHeight="1">
      <c r="Q949" s="3484">
        <v>7</v>
      </c>
      <c r="R949" s="3485"/>
      <c r="S949" s="437"/>
      <c r="T949" s="3484">
        <v>8</v>
      </c>
      <c r="U949" s="3485"/>
      <c r="V949" s="1093"/>
      <c r="W949" s="1093"/>
      <c r="X949" s="3484">
        <v>9</v>
      </c>
      <c r="Y949" s="3485"/>
      <c r="Z949" s="437"/>
      <c r="AA949" s="3484">
        <v>10</v>
      </c>
      <c r="AB949" s="3485"/>
    </row>
    <row r="950" spans="17:28" ht="18.95" customHeight="1">
      <c r="Q950" s="3486"/>
      <c r="R950" s="3487"/>
      <c r="S950" s="1075"/>
      <c r="T950" s="3486"/>
      <c r="U950" s="3487"/>
      <c r="V950" s="1076"/>
      <c r="W950" s="1077"/>
      <c r="X950" s="3486"/>
      <c r="Y950" s="3487"/>
      <c r="Z950" s="1075"/>
      <c r="AA950" s="3486"/>
      <c r="AB950" s="3487"/>
    </row>
    <row r="951" spans="17:28" ht="18.95" customHeight="1">
      <c r="Q951" s="3488"/>
      <c r="R951" s="3489"/>
      <c r="T951" s="3488"/>
      <c r="U951" s="3489"/>
      <c r="V951" s="1089"/>
      <c r="W951" s="1089"/>
      <c r="X951" s="3488"/>
      <c r="Y951" s="3489"/>
      <c r="AA951" s="3488"/>
      <c r="AB951" s="3489"/>
    </row>
    <row r="952" spans="17:28" ht="18.95" customHeight="1" thickBot="1">
      <c r="U952" s="1094"/>
      <c r="V952" s="1095"/>
      <c r="W952" s="1095"/>
      <c r="X952" s="1096"/>
    </row>
    <row r="953" spans="17:28" ht="18.95" customHeight="1" thickTop="1"/>
    <row r="954" spans="17:28" ht="18.95" customHeight="1"/>
    <row r="955" spans="17:28" ht="18.95" customHeight="1"/>
    <row r="956" spans="17:28" ht="18.95" customHeight="1"/>
    <row r="957" spans="17:28" ht="18.95" customHeight="1"/>
    <row r="958" spans="17:28" ht="18.95" customHeight="1"/>
    <row r="959" spans="17:28" ht="18.95" customHeight="1"/>
    <row r="960" spans="17:28" ht="18.95" customHeight="1"/>
    <row r="961" ht="18.95" customHeight="1"/>
    <row r="962" ht="18.95" customHeight="1"/>
    <row r="963" ht="18.95" customHeight="1"/>
    <row r="964" ht="18.95" customHeight="1"/>
    <row r="965" ht="18.95" customHeight="1"/>
    <row r="966" ht="18.95" customHeight="1"/>
    <row r="967" ht="18.95" customHeight="1"/>
    <row r="968" ht="18.95" customHeight="1"/>
    <row r="969" ht="18.95" customHeight="1"/>
    <row r="970" ht="18.95" customHeight="1"/>
    <row r="971" ht="18.95" customHeight="1"/>
    <row r="972" ht="18.95" customHeight="1"/>
    <row r="973" ht="18.95" customHeight="1"/>
    <row r="974" ht="18.95" customHeight="1"/>
    <row r="975" ht="18.95" customHeight="1"/>
    <row r="976" ht="18.95" customHeight="1"/>
    <row r="977" ht="18.95" customHeight="1"/>
    <row r="978" ht="18.95" customHeight="1"/>
    <row r="979" ht="18.95" customHeight="1"/>
    <row r="980" ht="18.95" customHeight="1"/>
    <row r="981" ht="18.95" customHeight="1"/>
    <row r="982" ht="18.95" customHeight="1"/>
    <row r="983" ht="18.95" customHeight="1"/>
    <row r="984" ht="18.95" customHeight="1"/>
    <row r="985" ht="18.95" customHeight="1"/>
    <row r="986" ht="18.95" customHeight="1"/>
    <row r="987" ht="18.95" customHeight="1"/>
    <row r="988" ht="18.95" customHeight="1"/>
    <row r="989" ht="18.95" customHeight="1"/>
    <row r="990" ht="18.95" customHeight="1"/>
    <row r="991" ht="18.95" customHeight="1"/>
    <row r="992" ht="18.95" customHeight="1"/>
    <row r="993" ht="18.95" customHeight="1"/>
    <row r="994" ht="18.95" customHeight="1"/>
  </sheetData>
  <autoFilter ref="D804:O877"/>
  <mergeCells count="161">
    <mergeCell ref="X817:Y819"/>
    <mergeCell ref="X813:Y815"/>
    <mergeCell ref="Y828:Z830"/>
    <mergeCell ref="X834:Y836"/>
    <mergeCell ref="X838:Y840"/>
    <mergeCell ref="AA854:AB856"/>
    <mergeCell ref="AA859:AB861"/>
    <mergeCell ref="Y848:Z850"/>
    <mergeCell ref="C859:C868"/>
    <mergeCell ref="S848:T850"/>
    <mergeCell ref="T817:U819"/>
    <mergeCell ref="C826:C840"/>
    <mergeCell ref="C805:C824"/>
    <mergeCell ref="C842:C857"/>
    <mergeCell ref="AA813:AB815"/>
    <mergeCell ref="Y807:Z809"/>
    <mergeCell ref="AA817:AB819"/>
    <mergeCell ref="AA834:AB836"/>
    <mergeCell ref="AA838:AB840"/>
    <mergeCell ref="Q834:R836"/>
    <mergeCell ref="S828:T830"/>
    <mergeCell ref="T838:U840"/>
    <mergeCell ref="T834:U836"/>
    <mergeCell ref="AA895:AB897"/>
    <mergeCell ref="T859:U861"/>
    <mergeCell ref="Y867:Z869"/>
    <mergeCell ref="X854:Y856"/>
    <mergeCell ref="X877:Y879"/>
    <mergeCell ref="Y885:Z887"/>
    <mergeCell ref="T927:U929"/>
    <mergeCell ref="X913:Y915"/>
    <mergeCell ref="Y921:Z923"/>
    <mergeCell ref="AA891:AB893"/>
    <mergeCell ref="X909:Y911"/>
    <mergeCell ref="AA877:AB879"/>
    <mergeCell ref="AA873:AB875"/>
    <mergeCell ref="Q891:R893"/>
    <mergeCell ref="T891:U893"/>
    <mergeCell ref="X859:Y861"/>
    <mergeCell ref="T854:U856"/>
    <mergeCell ref="Y903:Z905"/>
    <mergeCell ref="T895:U897"/>
    <mergeCell ref="S885:T887"/>
    <mergeCell ref="X891:Y893"/>
    <mergeCell ref="X895:Y897"/>
    <mergeCell ref="X873:Y875"/>
    <mergeCell ref="Q854:R856"/>
    <mergeCell ref="S867:T869"/>
    <mergeCell ref="T873:U875"/>
    <mergeCell ref="Q859:R861"/>
    <mergeCell ref="S903:T905"/>
    <mergeCell ref="Q895:R897"/>
    <mergeCell ref="C8:C17"/>
    <mergeCell ref="P8:R8"/>
    <mergeCell ref="M127:N127"/>
    <mergeCell ref="C131:C144"/>
    <mergeCell ref="P133:R133"/>
    <mergeCell ref="C789:C800"/>
    <mergeCell ref="C749:C756"/>
    <mergeCell ref="C668:C677"/>
    <mergeCell ref="C699:C708"/>
    <mergeCell ref="C692:C697"/>
    <mergeCell ref="C679:C690"/>
    <mergeCell ref="C713:C730"/>
    <mergeCell ref="C733:C744"/>
    <mergeCell ref="C778:C787"/>
    <mergeCell ref="C758:C767"/>
    <mergeCell ref="C292:C305"/>
    <mergeCell ref="C308:C319"/>
    <mergeCell ref="C322:C332"/>
    <mergeCell ref="P40:R40"/>
    <mergeCell ref="P37:R37"/>
    <mergeCell ref="C629:C640"/>
    <mergeCell ref="C618:C627"/>
    <mergeCell ref="C646:C657"/>
    <mergeCell ref="M644:N644"/>
    <mergeCell ref="C659:C666"/>
    <mergeCell ref="M711:N711"/>
    <mergeCell ref="M803:N803"/>
    <mergeCell ref="M747:N747"/>
    <mergeCell ref="C870:C877"/>
    <mergeCell ref="S807:T809"/>
    <mergeCell ref="T813:U815"/>
    <mergeCell ref="Q813:R815"/>
    <mergeCell ref="Q817:R819"/>
    <mergeCell ref="Q838:R840"/>
    <mergeCell ref="Q877:R879"/>
    <mergeCell ref="T877:U879"/>
    <mergeCell ref="Q873:R875"/>
    <mergeCell ref="C596:C605"/>
    <mergeCell ref="C607:C616"/>
    <mergeCell ref="C769:C776"/>
    <mergeCell ref="AA949:AB951"/>
    <mergeCell ref="Q927:R929"/>
    <mergeCell ref="Q909:R911"/>
    <mergeCell ref="AA945:AB947"/>
    <mergeCell ref="S939:T941"/>
    <mergeCell ref="Y939:Z941"/>
    <mergeCell ref="AA913:AB915"/>
    <mergeCell ref="X927:Y929"/>
    <mergeCell ref="AA927:AB929"/>
    <mergeCell ref="T931:U933"/>
    <mergeCell ref="X931:Y933"/>
    <mergeCell ref="S921:T923"/>
    <mergeCell ref="T909:U911"/>
    <mergeCell ref="AA931:AB933"/>
    <mergeCell ref="Q949:R951"/>
    <mergeCell ref="T949:U951"/>
    <mergeCell ref="X949:Y951"/>
    <mergeCell ref="Q931:R933"/>
    <mergeCell ref="Q945:R947"/>
    <mergeCell ref="T945:U947"/>
    <mergeCell ref="AA909:AB911"/>
    <mergeCell ref="X945:Y947"/>
    <mergeCell ref="Q913:R915"/>
    <mergeCell ref="T913:U915"/>
    <mergeCell ref="C574:C583"/>
    <mergeCell ref="C585:C594"/>
    <mergeCell ref="C45:C56"/>
    <mergeCell ref="P45:R45"/>
    <mergeCell ref="P19:R19"/>
    <mergeCell ref="C24:C35"/>
    <mergeCell ref="P24:R24"/>
    <mergeCell ref="P158:R158"/>
    <mergeCell ref="P147:R147"/>
    <mergeCell ref="C552:C561"/>
    <mergeCell ref="C563:C572"/>
    <mergeCell ref="M539:N539"/>
    <mergeCell ref="C415:C434"/>
    <mergeCell ref="M268:N268"/>
    <mergeCell ref="C272:C289"/>
    <mergeCell ref="M306:N306"/>
    <mergeCell ref="C541:C550"/>
    <mergeCell ref="C437:C446"/>
    <mergeCell ref="C449:C460"/>
    <mergeCell ref="C463:C472"/>
    <mergeCell ref="P70:R70"/>
    <mergeCell ref="P114:R114"/>
    <mergeCell ref="P116:R116"/>
    <mergeCell ref="C57:C68"/>
    <mergeCell ref="P43:R43"/>
    <mergeCell ref="P57:R57"/>
    <mergeCell ref="C475:C481"/>
    <mergeCell ref="C525:C536"/>
    <mergeCell ref="C515:C522"/>
    <mergeCell ref="C484:C490"/>
    <mergeCell ref="C493:C512"/>
    <mergeCell ref="M412:N412"/>
    <mergeCell ref="C335:C352"/>
    <mergeCell ref="C355:C360"/>
    <mergeCell ref="C363:C380"/>
    <mergeCell ref="C383:C394"/>
    <mergeCell ref="P72:R72"/>
    <mergeCell ref="C83:C94"/>
    <mergeCell ref="P83:R83"/>
    <mergeCell ref="P75:R75"/>
    <mergeCell ref="P96:R96"/>
    <mergeCell ref="P98:R98"/>
    <mergeCell ref="P100:R100"/>
    <mergeCell ref="P102:R102"/>
    <mergeCell ref="P110:R110"/>
  </mergeCells>
  <phoneticPr fontId="0" type="noConversion"/>
  <printOptions horizontalCentered="1" verticalCentered="1"/>
  <pageMargins left="0" right="0" top="0.31496062992125984" bottom="0.11811023622047245" header="0" footer="0"/>
  <pageSetup paperSize="11" scale="79" orientation="landscape" r:id="rId1"/>
  <headerFooter alignWithMargins="0"/>
  <ignoredErrors>
    <ignoredError sqref="M292:M303 K272:K289 M272:M289 K292:K303 K322:K332 M322:M332 M308:M319 K308:K319 K335:K352 M335:M352 K355:K356 M355:M356 K357:M362 L363:L366 K416:M460 K363:K380 M363:M380 K383:M384 M385:M394 K385:K394 K397:M408 E135:M144 K147:M154 K158:M165 K167:K178 M167:M178 K194:K205 M194:M205 K207:M218 K220:M231 K233:M252 M254:M265 K254:K265 K8:M17 K23:M35 K19:K22 M19:M22 K37:M73 K75:K82 M75:M82 K83:M94 K99:L99 K96:L96 K97:L97 K98:L98 M96:M97 M100:M103 K104:M109 K100:L103 M111:M113 M110 K110:K113 M114:M123 K114:K123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1:AH42"/>
  <sheetViews>
    <sheetView workbookViewId="0">
      <selection activeCell="C17" sqref="C17"/>
    </sheetView>
  </sheetViews>
  <sheetFormatPr baseColWidth="10" defaultRowHeight="12.75"/>
  <cols>
    <col min="1" max="2" width="5.7109375" customWidth="1"/>
    <col min="3" max="3" width="3.7109375" customWidth="1"/>
    <col min="4" max="4" width="5.7109375" customWidth="1"/>
    <col min="5" max="7" width="5.85546875" customWidth="1"/>
    <col min="8" max="15" width="5.7109375" customWidth="1"/>
    <col min="16" max="16" width="5.7109375" style="2846" customWidth="1"/>
    <col min="17" max="17" width="5.7109375" customWidth="1"/>
    <col min="18" max="18" width="1.7109375" customWidth="1"/>
    <col min="19" max="19" width="3.7109375" customWidth="1"/>
    <col min="20" max="27" width="5.7109375" customWidth="1"/>
    <col min="28" max="28" width="5.7109375" style="2846" customWidth="1"/>
    <col min="29" max="31" width="5.7109375" customWidth="1"/>
    <col min="32" max="32" width="5.7109375" style="2846" customWidth="1"/>
    <col min="33" max="34" width="5.7109375" customWidth="1"/>
  </cols>
  <sheetData>
    <row r="1" spans="3:33" ht="24.95" customHeight="1"/>
    <row r="2" spans="3:33" ht="24.95" customHeight="1"/>
    <row r="3" spans="3:33" ht="24.95" customHeight="1">
      <c r="C3" s="2849"/>
      <c r="D3" s="1219"/>
      <c r="E3" s="2867" t="s">
        <v>2981</v>
      </c>
      <c r="F3" s="2847"/>
      <c r="G3" s="2848"/>
      <c r="H3" s="1219"/>
      <c r="I3" s="1219"/>
      <c r="J3" s="1219"/>
      <c r="K3" s="1219"/>
      <c r="L3" s="1219"/>
      <c r="M3" s="1219"/>
      <c r="N3" s="1219"/>
      <c r="O3" s="1219"/>
      <c r="P3" s="2850"/>
      <c r="Q3" s="2851"/>
      <c r="S3" s="2849"/>
      <c r="T3" s="2868" t="s">
        <v>2982</v>
      </c>
      <c r="U3" s="1219"/>
      <c r="V3" s="1219"/>
      <c r="W3" s="1219"/>
      <c r="X3" s="1219"/>
      <c r="Y3" s="1219"/>
      <c r="Z3" s="1219"/>
      <c r="AA3" s="1219"/>
      <c r="AB3" s="2850"/>
      <c r="AC3" s="1219"/>
      <c r="AD3" s="1219"/>
      <c r="AE3" s="1219"/>
      <c r="AF3" s="2850"/>
      <c r="AG3" s="2851"/>
    </row>
    <row r="4" spans="3:33" ht="5.0999999999999996" customHeight="1">
      <c r="C4" s="2852"/>
      <c r="D4" s="366"/>
      <c r="E4" s="2869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2859"/>
      <c r="Q4" s="2856"/>
      <c r="S4" s="2852"/>
      <c r="T4" s="2870"/>
      <c r="U4" s="366"/>
      <c r="V4" s="366"/>
      <c r="W4" s="366"/>
      <c r="X4" s="366"/>
      <c r="Y4" s="366"/>
      <c r="Z4" s="366"/>
      <c r="AA4" s="366"/>
      <c r="AB4" s="2859"/>
      <c r="AC4" s="366"/>
      <c r="AD4" s="366"/>
      <c r="AE4" s="366"/>
      <c r="AF4" s="2859"/>
      <c r="AG4" s="2856"/>
    </row>
    <row r="5" spans="3:33" ht="24.95" customHeight="1">
      <c r="C5" s="2852"/>
      <c r="D5" s="366"/>
      <c r="E5" s="366"/>
      <c r="F5" s="366"/>
      <c r="G5" s="366"/>
      <c r="H5" s="366"/>
      <c r="I5" s="366"/>
      <c r="J5" s="2853" t="s">
        <v>2976</v>
      </c>
      <c r="K5" s="2854">
        <f>1+K7</f>
        <v>92</v>
      </c>
      <c r="L5" s="2855" t="str">
        <f>+$G$12</f>
        <v>1018</v>
      </c>
      <c r="M5" s="366"/>
      <c r="N5" s="2853" t="s">
        <v>2980</v>
      </c>
      <c r="O5" s="2854">
        <f>1+O7</f>
        <v>96</v>
      </c>
      <c r="P5" s="2855" t="str">
        <f>+$G$12</f>
        <v>1018</v>
      </c>
      <c r="Q5" s="2856"/>
      <c r="S5" s="2852"/>
      <c r="T5" s="366"/>
      <c r="U5" s="366"/>
      <c r="V5" s="2853" t="s">
        <v>2974</v>
      </c>
      <c r="W5" s="2854">
        <f>1+W7</f>
        <v>18</v>
      </c>
      <c r="X5" s="2855" t="str">
        <f>+$X$14</f>
        <v>0319</v>
      </c>
      <c r="Y5" s="366"/>
      <c r="Z5" s="2853" t="s">
        <v>2978</v>
      </c>
      <c r="AA5" s="2854">
        <f>1+AA7</f>
        <v>22</v>
      </c>
      <c r="AB5" s="2864" t="str">
        <f>+$X$14</f>
        <v>0319</v>
      </c>
      <c r="AC5" s="366"/>
      <c r="AD5" s="2853" t="s">
        <v>2985</v>
      </c>
      <c r="AE5" s="2854">
        <f>1+AE7</f>
        <v>26</v>
      </c>
      <c r="AF5" s="2864" t="str">
        <f>+$X$14</f>
        <v>0319</v>
      </c>
      <c r="AG5" s="2856"/>
    </row>
    <row r="6" spans="3:33" ht="3" customHeight="1">
      <c r="C6" s="2852"/>
      <c r="D6" s="366"/>
      <c r="E6" s="366"/>
      <c r="F6" s="366"/>
      <c r="G6" s="366"/>
      <c r="H6" s="366"/>
      <c r="I6" s="366"/>
      <c r="J6" s="366"/>
      <c r="K6" s="2857"/>
      <c r="L6" s="2858"/>
      <c r="M6" s="366"/>
      <c r="N6" s="366"/>
      <c r="O6" s="2857"/>
      <c r="P6" s="2859"/>
      <c r="Q6" s="2856"/>
      <c r="S6" s="2852"/>
      <c r="T6" s="366"/>
      <c r="U6" s="366"/>
      <c r="V6" s="366"/>
      <c r="W6" s="2857"/>
      <c r="X6" s="2858"/>
      <c r="Y6" s="366"/>
      <c r="Z6" s="366"/>
      <c r="AA6" s="2857"/>
      <c r="AB6" s="2859"/>
      <c r="AC6" s="366"/>
      <c r="AD6" s="366"/>
      <c r="AE6" s="2857"/>
      <c r="AF6" s="2859"/>
      <c r="AG6" s="2856"/>
    </row>
    <row r="7" spans="3:33" ht="24.95" customHeight="1">
      <c r="C7" s="2852"/>
      <c r="D7" s="366"/>
      <c r="E7" s="2853" t="s">
        <v>2972</v>
      </c>
      <c r="F7" s="2854">
        <f>1+F12</f>
        <v>88</v>
      </c>
      <c r="G7" s="2855" t="str">
        <f>+$G$12</f>
        <v>1018</v>
      </c>
      <c r="H7" s="366"/>
      <c r="I7" s="366"/>
      <c r="J7" s="2853" t="s">
        <v>2975</v>
      </c>
      <c r="K7" s="2854">
        <f>1+K12</f>
        <v>91</v>
      </c>
      <c r="L7" s="2855" t="str">
        <f>+$G$12</f>
        <v>1018</v>
      </c>
      <c r="M7" s="366"/>
      <c r="N7" s="2853" t="s">
        <v>2979</v>
      </c>
      <c r="O7" s="2854">
        <f>1+O12</f>
        <v>95</v>
      </c>
      <c r="P7" s="2855" t="str">
        <f>+$G$12</f>
        <v>1018</v>
      </c>
      <c r="Q7" s="2856"/>
      <c r="S7" s="2852"/>
      <c r="T7" s="366"/>
      <c r="U7" s="366"/>
      <c r="V7" s="2853" t="s">
        <v>2973</v>
      </c>
      <c r="W7" s="2854">
        <f>1+W12</f>
        <v>17</v>
      </c>
      <c r="X7" s="2855" t="str">
        <f>+$X$14</f>
        <v>0319</v>
      </c>
      <c r="Y7" s="366"/>
      <c r="Z7" s="2853" t="s">
        <v>2977</v>
      </c>
      <c r="AA7" s="2854">
        <f>1+AA12</f>
        <v>21</v>
      </c>
      <c r="AB7" s="2864" t="str">
        <f>+$X$14</f>
        <v>0319</v>
      </c>
      <c r="AC7" s="366"/>
      <c r="AD7" s="2853" t="s">
        <v>2984</v>
      </c>
      <c r="AE7" s="2854">
        <f>1+AE12</f>
        <v>25</v>
      </c>
      <c r="AF7" s="2864" t="str">
        <f>+$X$14</f>
        <v>0319</v>
      </c>
      <c r="AG7" s="2856"/>
    </row>
    <row r="8" spans="3:33" ht="20.100000000000001" customHeight="1">
      <c r="C8" s="2852"/>
      <c r="D8" s="2877" t="s">
        <v>2989</v>
      </c>
      <c r="E8" s="2876">
        <v>174</v>
      </c>
      <c r="F8" s="366" t="s">
        <v>3400</v>
      </c>
      <c r="G8" s="366"/>
      <c r="H8" s="366"/>
      <c r="I8" s="366"/>
      <c r="J8" s="366"/>
      <c r="K8" s="366"/>
      <c r="L8" s="366"/>
      <c r="M8" s="366"/>
      <c r="N8" s="366"/>
      <c r="O8" s="366"/>
      <c r="P8" s="2859"/>
      <c r="Q8" s="2856"/>
      <c r="S8" s="2852"/>
      <c r="T8" s="2877" t="s">
        <v>2988</v>
      </c>
      <c r="U8" s="2876">
        <v>402</v>
      </c>
      <c r="V8" s="3035" t="s">
        <v>3718</v>
      </c>
      <c r="W8" s="366"/>
      <c r="X8" s="366"/>
      <c r="Y8" s="366"/>
      <c r="Z8" s="366"/>
      <c r="AA8" s="366"/>
      <c r="AB8" s="2859"/>
      <c r="AC8" s="366"/>
      <c r="AD8" s="366"/>
      <c r="AE8" s="366"/>
      <c r="AF8" s="2859"/>
      <c r="AG8" s="2856"/>
    </row>
    <row r="9" spans="3:33" ht="20.100000000000001" customHeight="1" thickBot="1">
      <c r="C9" s="2852"/>
      <c r="D9" s="366"/>
      <c r="E9" s="3532">
        <v>43389</v>
      </c>
      <c r="F9" s="3532"/>
      <c r="G9" s="2874"/>
      <c r="H9" s="2873"/>
      <c r="I9" s="2873"/>
      <c r="J9" s="2873"/>
      <c r="K9" s="2873"/>
      <c r="L9" s="2873"/>
      <c r="M9" s="2873"/>
      <c r="N9" s="2873"/>
      <c r="O9" s="2873"/>
      <c r="P9" s="2875"/>
      <c r="Q9" s="2856"/>
      <c r="S9" s="2852"/>
      <c r="T9" s="366"/>
      <c r="U9" s="3532">
        <v>43634</v>
      </c>
      <c r="V9" s="3532"/>
      <c r="W9" s="2873"/>
      <c r="X9" s="2873"/>
      <c r="Y9" s="2873"/>
      <c r="Z9" s="2873"/>
      <c r="AA9" s="2873"/>
      <c r="AB9" s="2875"/>
      <c r="AC9" s="2873"/>
      <c r="AD9" s="2873"/>
      <c r="AE9" s="2873"/>
      <c r="AF9" s="2875"/>
      <c r="AG9" s="2856"/>
    </row>
    <row r="10" spans="3:33" ht="20.100000000000001" customHeight="1" thickTop="1">
      <c r="C10" s="2852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2859"/>
      <c r="Q10" s="2856"/>
      <c r="S10" s="2852"/>
      <c r="T10" s="366"/>
      <c r="U10" s="366"/>
      <c r="V10" s="366"/>
      <c r="W10" s="366"/>
      <c r="X10" s="366"/>
      <c r="Y10" s="366"/>
      <c r="Z10" s="366"/>
      <c r="AA10" s="366"/>
      <c r="AB10" s="2859"/>
      <c r="AC10" s="366"/>
      <c r="AD10" s="366"/>
      <c r="AE10" s="366"/>
      <c r="AF10" s="2859"/>
      <c r="AG10" s="2856"/>
    </row>
    <row r="11" spans="3:33" ht="20.100000000000001" customHeight="1">
      <c r="C11" s="2852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2859"/>
      <c r="Q11" s="2856"/>
      <c r="S11" s="2852"/>
      <c r="T11" s="366"/>
      <c r="U11" s="366"/>
      <c r="V11" s="366"/>
      <c r="W11" s="366"/>
      <c r="X11" s="366"/>
      <c r="Y11" s="366"/>
      <c r="Z11" s="366"/>
      <c r="AA11" s="366"/>
      <c r="AB11" s="2859"/>
      <c r="AC11" s="366"/>
      <c r="AD11" s="366"/>
      <c r="AE11" s="366"/>
      <c r="AF11" s="2859"/>
      <c r="AG11" s="2856"/>
    </row>
    <row r="12" spans="3:33" ht="24.95" customHeight="1">
      <c r="C12" s="2852"/>
      <c r="D12" s="366"/>
      <c r="E12" s="2853" t="s">
        <v>2971</v>
      </c>
      <c r="F12" s="2865">
        <v>87</v>
      </c>
      <c r="G12" s="2866" t="s">
        <v>3401</v>
      </c>
      <c r="H12" s="366"/>
      <c r="I12" s="366"/>
      <c r="J12" s="2853" t="s">
        <v>2974</v>
      </c>
      <c r="K12" s="2854">
        <f>1+K14</f>
        <v>90</v>
      </c>
      <c r="L12" s="2855" t="str">
        <f>+$G$12</f>
        <v>1018</v>
      </c>
      <c r="M12" s="366"/>
      <c r="N12" s="2853" t="s">
        <v>2978</v>
      </c>
      <c r="O12" s="2854">
        <f>1+O14</f>
        <v>94</v>
      </c>
      <c r="P12" s="2855" t="str">
        <f>+$G$12</f>
        <v>1018</v>
      </c>
      <c r="Q12" s="2856"/>
      <c r="S12" s="2852"/>
      <c r="T12" s="366"/>
      <c r="U12" s="366"/>
      <c r="V12" s="2853" t="s">
        <v>2972</v>
      </c>
      <c r="W12" s="2854">
        <f>1+W14</f>
        <v>16</v>
      </c>
      <c r="X12" s="2855" t="str">
        <f>+$X$14</f>
        <v>0319</v>
      </c>
      <c r="Y12" s="366"/>
      <c r="Z12" s="2853" t="s">
        <v>2976</v>
      </c>
      <c r="AA12" s="2854">
        <f>1+AA14</f>
        <v>20</v>
      </c>
      <c r="AB12" s="2864" t="str">
        <f>+$X$14</f>
        <v>0319</v>
      </c>
      <c r="AC12" s="366"/>
      <c r="AD12" s="2853" t="s">
        <v>2980</v>
      </c>
      <c r="AE12" s="2854">
        <f>1+AE14</f>
        <v>24</v>
      </c>
      <c r="AF12" s="2864" t="str">
        <f>+$X$14</f>
        <v>0319</v>
      </c>
      <c r="AG12" s="2856"/>
    </row>
    <row r="13" spans="3:33" ht="3" customHeight="1">
      <c r="C13" s="2852"/>
      <c r="D13" s="366"/>
      <c r="E13" s="366"/>
      <c r="F13" s="2857"/>
      <c r="G13" s="2860"/>
      <c r="H13" s="366"/>
      <c r="I13" s="366"/>
      <c r="J13" s="366"/>
      <c r="K13" s="2857"/>
      <c r="L13" s="2858"/>
      <c r="M13" s="366"/>
      <c r="N13" s="366"/>
      <c r="O13" s="2857"/>
      <c r="P13" s="2859"/>
      <c r="Q13" s="2856"/>
      <c r="S13" s="2852"/>
      <c r="T13" s="366"/>
      <c r="U13" s="366"/>
      <c r="V13" s="366"/>
      <c r="W13" s="2857"/>
      <c r="X13" s="2858"/>
      <c r="Y13" s="366"/>
      <c r="Z13" s="366"/>
      <c r="AA13" s="2857"/>
      <c r="AB13" s="2859"/>
      <c r="AC13" s="366"/>
      <c r="AD13" s="366"/>
      <c r="AE13" s="2857"/>
      <c r="AF13" s="2859"/>
      <c r="AG13" s="2856"/>
    </row>
    <row r="14" spans="3:33" ht="24.95" customHeight="1">
      <c r="C14" s="2852"/>
      <c r="D14" s="366"/>
      <c r="E14" s="366"/>
      <c r="F14" s="366"/>
      <c r="G14" s="366"/>
      <c r="H14" s="366"/>
      <c r="I14" s="366"/>
      <c r="J14" s="2853" t="s">
        <v>2973</v>
      </c>
      <c r="K14" s="2854">
        <f>1+F7</f>
        <v>89</v>
      </c>
      <c r="L14" s="2855" t="str">
        <f>+$G$12</f>
        <v>1018</v>
      </c>
      <c r="M14" s="366"/>
      <c r="N14" s="2853" t="s">
        <v>2977</v>
      </c>
      <c r="O14" s="2854">
        <f>1+K5</f>
        <v>93</v>
      </c>
      <c r="P14" s="2855" t="str">
        <f>+$G$12</f>
        <v>1018</v>
      </c>
      <c r="Q14" s="2856"/>
      <c r="S14" s="2852"/>
      <c r="T14" s="366"/>
      <c r="U14" s="366"/>
      <c r="V14" s="2853" t="s">
        <v>2971</v>
      </c>
      <c r="W14" s="2865">
        <v>15</v>
      </c>
      <c r="X14" s="2866" t="s">
        <v>3555</v>
      </c>
      <c r="Y14" s="366"/>
      <c r="Z14" s="2853" t="s">
        <v>2975</v>
      </c>
      <c r="AA14" s="2854">
        <f>1+W5</f>
        <v>19</v>
      </c>
      <c r="AB14" s="2864" t="str">
        <f>+$X$14</f>
        <v>0319</v>
      </c>
      <c r="AC14" s="366"/>
      <c r="AD14" s="2853" t="s">
        <v>2979</v>
      </c>
      <c r="AE14" s="2854">
        <f>1+AA5</f>
        <v>23</v>
      </c>
      <c r="AF14" s="2864" t="str">
        <f>+$X$14</f>
        <v>0319</v>
      </c>
      <c r="AG14" s="2856"/>
    </row>
    <row r="15" spans="3:33" ht="20.100000000000001" customHeight="1">
      <c r="C15" s="2861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2862"/>
      <c r="Q15" s="2863"/>
      <c r="S15" s="2861"/>
      <c r="T15" s="437"/>
      <c r="U15" s="437"/>
      <c r="V15" s="437"/>
      <c r="W15" s="437"/>
      <c r="X15" s="437"/>
      <c r="Y15" s="437"/>
      <c r="Z15" s="437"/>
      <c r="AA15" s="437"/>
      <c r="AB15" s="2862"/>
      <c r="AC15" s="437"/>
      <c r="AD15" s="437"/>
      <c r="AE15" s="437"/>
      <c r="AF15" s="2862"/>
      <c r="AG15" s="2863"/>
    </row>
    <row r="16" spans="3:33" ht="9.9499999999999993" customHeight="1"/>
    <row r="17" spans="3:34" ht="24.95" customHeight="1">
      <c r="C17" s="2849"/>
      <c r="D17" s="2868" t="s">
        <v>2983</v>
      </c>
      <c r="E17" s="1219"/>
      <c r="F17" s="1219"/>
      <c r="G17" s="1219"/>
      <c r="H17" s="1219"/>
      <c r="I17" s="1219"/>
      <c r="J17" s="1219"/>
      <c r="K17" s="1219"/>
      <c r="L17" s="1219"/>
      <c r="M17" s="1219"/>
      <c r="N17" s="1219"/>
      <c r="O17" s="1219"/>
      <c r="P17" s="2850"/>
      <c r="Q17" s="2851"/>
      <c r="S17" s="2849"/>
      <c r="T17" s="2868" t="s">
        <v>2986</v>
      </c>
      <c r="U17" s="1219"/>
      <c r="V17" s="1219"/>
      <c r="W17" s="1219"/>
      <c r="X17" s="1219"/>
      <c r="Y17" s="1219"/>
      <c r="Z17" s="1219"/>
      <c r="AA17" s="1219"/>
      <c r="AB17" s="2850"/>
      <c r="AC17" s="1219"/>
      <c r="AD17" s="1219"/>
      <c r="AE17" s="1219"/>
      <c r="AF17" s="2850"/>
      <c r="AG17" s="2851"/>
    </row>
    <row r="18" spans="3:34" ht="3" customHeight="1">
      <c r="C18" s="2852"/>
      <c r="D18" s="366"/>
      <c r="E18" s="366"/>
      <c r="F18" s="366"/>
      <c r="G18" s="366"/>
      <c r="H18" s="366"/>
      <c r="I18" s="366"/>
      <c r="J18" s="366"/>
      <c r="K18" s="2857"/>
      <c r="L18" s="2858"/>
      <c r="M18" s="366"/>
      <c r="N18" s="366"/>
      <c r="O18" s="2857"/>
      <c r="P18" s="2859"/>
      <c r="Q18" s="2856"/>
      <c r="S18" s="2852"/>
      <c r="T18" s="2870"/>
      <c r="U18" s="366"/>
      <c r="V18" s="366"/>
      <c r="W18" s="366"/>
      <c r="X18" s="366"/>
      <c r="Y18" s="366"/>
      <c r="Z18" s="366"/>
      <c r="AA18" s="366"/>
      <c r="AB18" s="2859"/>
      <c r="AC18" s="366"/>
      <c r="AD18" s="366"/>
      <c r="AE18" s="366"/>
      <c r="AF18" s="2859"/>
      <c r="AG18" s="2856"/>
    </row>
    <row r="19" spans="3:34" ht="24.95" customHeight="1">
      <c r="C19" s="2852"/>
      <c r="D19" s="366"/>
      <c r="E19" s="2853"/>
      <c r="F19" s="2865"/>
      <c r="G19" s="2866"/>
      <c r="H19" s="2866"/>
      <c r="I19" s="2853" t="s">
        <v>2974</v>
      </c>
      <c r="J19" s="2854">
        <f>1+J21</f>
        <v>20</v>
      </c>
      <c r="K19" s="2855" t="str">
        <f>+$K$28</f>
        <v>0318</v>
      </c>
      <c r="L19" s="366"/>
      <c r="M19" s="2853" t="s">
        <v>2978</v>
      </c>
      <c r="N19" s="2854">
        <f>1+N21</f>
        <v>24</v>
      </c>
      <c r="O19" s="2864" t="str">
        <f>+$K$28</f>
        <v>0318</v>
      </c>
      <c r="P19" s="2854"/>
      <c r="Q19" s="2871"/>
      <c r="R19" s="366"/>
      <c r="S19" s="2852"/>
      <c r="T19" s="366"/>
      <c r="U19" s="366"/>
      <c r="V19" s="2853" t="s">
        <v>2974</v>
      </c>
      <c r="W19" s="2854">
        <f>1+W21</f>
        <v>24</v>
      </c>
      <c r="X19" s="2855" t="str">
        <f>$X$28</f>
        <v>0318</v>
      </c>
      <c r="Y19" s="366"/>
      <c r="Z19" s="2853" t="s">
        <v>2978</v>
      </c>
      <c r="AA19" s="2854">
        <f>1+AA21</f>
        <v>28</v>
      </c>
      <c r="AB19" s="2864" t="str">
        <f>$X$28</f>
        <v>0318</v>
      </c>
      <c r="AC19" s="366"/>
      <c r="AD19" s="2853" t="s">
        <v>2985</v>
      </c>
      <c r="AE19" s="2854"/>
      <c r="AF19" s="2864"/>
      <c r="AG19" s="2856"/>
      <c r="AH19" s="366"/>
    </row>
    <row r="20" spans="3:34" ht="3" customHeight="1">
      <c r="C20" s="2852"/>
      <c r="D20" s="366"/>
      <c r="E20" s="366"/>
      <c r="F20" s="366"/>
      <c r="G20" s="366"/>
      <c r="H20" s="366"/>
      <c r="I20" s="366"/>
      <c r="J20" s="2857"/>
      <c r="K20" s="2858"/>
      <c r="L20" s="366"/>
      <c r="M20" s="366"/>
      <c r="N20" s="2857"/>
      <c r="O20" s="2859"/>
      <c r="P20" s="366"/>
      <c r="Q20" s="2872"/>
      <c r="R20" s="366"/>
      <c r="S20" s="2852"/>
      <c r="T20" s="366"/>
      <c r="U20" s="366"/>
      <c r="V20" s="366"/>
      <c r="W20" s="2857"/>
      <c r="X20" s="2858"/>
      <c r="Y20" s="366"/>
      <c r="Z20" s="366"/>
      <c r="AA20" s="2857"/>
      <c r="AB20" s="2859"/>
      <c r="AC20" s="366"/>
      <c r="AD20" s="366"/>
      <c r="AE20" s="2857"/>
      <c r="AF20" s="2859"/>
      <c r="AG20" s="2856"/>
      <c r="AH20" s="366"/>
    </row>
    <row r="21" spans="3:34" ht="24.95" customHeight="1">
      <c r="C21" s="2852"/>
      <c r="D21" s="366"/>
      <c r="E21" s="366"/>
      <c r="F21" s="366"/>
      <c r="G21" s="366"/>
      <c r="H21" s="366"/>
      <c r="I21" s="2853" t="s">
        <v>2973</v>
      </c>
      <c r="J21" s="2854">
        <f>1+J26</f>
        <v>19</v>
      </c>
      <c r="K21" s="2855" t="str">
        <f>+$K$28</f>
        <v>0318</v>
      </c>
      <c r="L21" s="366"/>
      <c r="M21" s="2853" t="s">
        <v>2977</v>
      </c>
      <c r="N21" s="2854">
        <f>1+N26</f>
        <v>23</v>
      </c>
      <c r="O21" s="2864" t="str">
        <f>+$K$28</f>
        <v>0318</v>
      </c>
      <c r="P21" s="366"/>
      <c r="Q21" s="2872"/>
      <c r="R21" s="366"/>
      <c r="S21" s="2852"/>
      <c r="T21" s="366"/>
      <c r="U21" s="366"/>
      <c r="V21" s="2853" t="s">
        <v>2973</v>
      </c>
      <c r="W21" s="2854">
        <f>1+W26</f>
        <v>23</v>
      </c>
      <c r="X21" s="2855" t="str">
        <f>$X$28</f>
        <v>0318</v>
      </c>
      <c r="Y21" s="366"/>
      <c r="Z21" s="2853" t="s">
        <v>2977</v>
      </c>
      <c r="AA21" s="2854">
        <f>1+AA26</f>
        <v>27</v>
      </c>
      <c r="AB21" s="2864" t="str">
        <f>$X$28</f>
        <v>0318</v>
      </c>
      <c r="AC21" s="366"/>
      <c r="AD21" s="2853" t="s">
        <v>2984</v>
      </c>
      <c r="AE21" s="2854"/>
      <c r="AF21" s="2864"/>
      <c r="AG21" s="2856"/>
      <c r="AH21" s="366"/>
    </row>
    <row r="22" spans="3:34" ht="20.100000000000001" customHeight="1">
      <c r="C22" s="2852"/>
      <c r="D22" s="366"/>
      <c r="E22" s="2877" t="s">
        <v>2988</v>
      </c>
      <c r="F22" s="2876">
        <v>402</v>
      </c>
      <c r="G22" s="366"/>
      <c r="H22" s="366"/>
      <c r="I22" s="366"/>
      <c r="J22" s="366"/>
      <c r="K22" s="366"/>
      <c r="L22" s="366"/>
      <c r="M22" s="366"/>
      <c r="N22" s="366"/>
      <c r="O22" s="2859"/>
      <c r="P22" s="366"/>
      <c r="Q22" s="2872"/>
      <c r="R22" s="366"/>
      <c r="S22" s="2852"/>
      <c r="T22" s="2877" t="s">
        <v>2987</v>
      </c>
      <c r="U22" s="2876">
        <v>324</v>
      </c>
      <c r="V22" s="366"/>
      <c r="W22" s="366"/>
      <c r="X22" s="366"/>
      <c r="Y22" s="366"/>
      <c r="Z22" s="366"/>
      <c r="AA22" s="366"/>
      <c r="AB22" s="2859"/>
      <c r="AC22" s="366"/>
      <c r="AD22" s="366"/>
      <c r="AE22" s="366"/>
      <c r="AF22" s="2859"/>
      <c r="AG22" s="2856"/>
      <c r="AH22" s="366"/>
    </row>
    <row r="23" spans="3:34" ht="20.100000000000001" customHeight="1" thickBot="1">
      <c r="C23" s="2852"/>
      <c r="D23" s="366"/>
      <c r="E23" s="366"/>
      <c r="F23" s="366"/>
      <c r="G23" s="366"/>
      <c r="H23" s="2873"/>
      <c r="I23" s="2873"/>
      <c r="J23" s="2873"/>
      <c r="K23" s="2873"/>
      <c r="L23" s="2873"/>
      <c r="M23" s="2873"/>
      <c r="N23" s="2873"/>
      <c r="O23" s="2875"/>
      <c r="P23" s="366"/>
      <c r="Q23" s="2872"/>
      <c r="R23" s="366"/>
      <c r="S23" s="2852"/>
      <c r="T23" s="366"/>
      <c r="U23" s="366"/>
      <c r="V23" s="366"/>
      <c r="W23" s="2873"/>
      <c r="X23" s="2873"/>
      <c r="Y23" s="2873"/>
      <c r="Z23" s="2873"/>
      <c r="AA23" s="2873"/>
      <c r="AB23" s="2875"/>
      <c r="AC23" s="2873"/>
      <c r="AD23" s="2873"/>
      <c r="AE23" s="2873"/>
      <c r="AF23" s="2875"/>
      <c r="AG23" s="2856"/>
      <c r="AH23" s="366"/>
    </row>
    <row r="24" spans="3:34" ht="20.100000000000001" customHeight="1" thickTop="1">
      <c r="C24" s="2852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2859"/>
      <c r="P24" s="366"/>
      <c r="Q24" s="2872"/>
      <c r="R24" s="366"/>
      <c r="S24" s="2852"/>
      <c r="T24" s="366"/>
      <c r="U24" s="366"/>
      <c r="V24" s="366"/>
      <c r="W24" s="366"/>
      <c r="X24" s="366"/>
      <c r="Y24" s="366"/>
      <c r="Z24" s="366"/>
      <c r="AA24" s="366"/>
      <c r="AB24" s="2859"/>
      <c r="AC24" s="366"/>
      <c r="AD24" s="366"/>
      <c r="AE24" s="366"/>
      <c r="AF24" s="2859"/>
      <c r="AG24" s="2856"/>
      <c r="AH24" s="366"/>
    </row>
    <row r="25" spans="3:34" ht="20.100000000000001" customHeight="1">
      <c r="C25" s="2852"/>
      <c r="D25" s="366"/>
      <c r="E25" s="366"/>
      <c r="F25" s="366"/>
      <c r="G25" s="2855"/>
      <c r="H25" s="2855"/>
      <c r="I25" s="366"/>
      <c r="J25" s="366"/>
      <c r="K25" s="366"/>
      <c r="L25" s="366"/>
      <c r="M25" s="366"/>
      <c r="N25" s="366"/>
      <c r="O25" s="2859"/>
      <c r="P25" s="2854"/>
      <c r="Q25" s="2871"/>
      <c r="R25" s="366"/>
      <c r="S25" s="2852"/>
      <c r="T25" s="366"/>
      <c r="U25" s="366"/>
      <c r="V25" s="366"/>
      <c r="W25" s="366"/>
      <c r="X25" s="366"/>
      <c r="Y25" s="366"/>
      <c r="Z25" s="366"/>
      <c r="AA25" s="366"/>
      <c r="AB25" s="2859"/>
      <c r="AC25" s="366"/>
      <c r="AD25" s="366"/>
      <c r="AE25" s="366"/>
      <c r="AF25" s="2859"/>
      <c r="AG25" s="2856"/>
      <c r="AH25" s="366"/>
    </row>
    <row r="26" spans="3:34" ht="24.95" customHeight="1">
      <c r="C26" s="2852"/>
      <c r="D26" s="366"/>
      <c r="E26" s="366"/>
      <c r="F26" s="366"/>
      <c r="G26" s="366"/>
      <c r="H26" s="366"/>
      <c r="I26" s="2853" t="s">
        <v>2972</v>
      </c>
      <c r="J26" s="2854">
        <f>1+J28</f>
        <v>18</v>
      </c>
      <c r="K26" s="2855" t="str">
        <f>+$K$28</f>
        <v>0318</v>
      </c>
      <c r="L26" s="366"/>
      <c r="M26" s="2853" t="s">
        <v>2976</v>
      </c>
      <c r="N26" s="2854">
        <f>1+N28</f>
        <v>22</v>
      </c>
      <c r="O26" s="2864" t="str">
        <f>+$K$28</f>
        <v>0318</v>
      </c>
      <c r="P26" s="2854"/>
      <c r="Q26" s="2871"/>
      <c r="R26" s="366"/>
      <c r="S26" s="2852"/>
      <c r="T26" s="366"/>
      <c r="U26" s="366"/>
      <c r="V26" s="2853" t="s">
        <v>2972</v>
      </c>
      <c r="W26" s="2854">
        <f>1+W28</f>
        <v>22</v>
      </c>
      <c r="X26" s="2855" t="str">
        <f>$X$28</f>
        <v>0318</v>
      </c>
      <c r="Y26" s="366"/>
      <c r="Z26" s="2853" t="s">
        <v>2976</v>
      </c>
      <c r="AA26" s="2854">
        <f>1+AA28</f>
        <v>26</v>
      </c>
      <c r="AB26" s="2864" t="str">
        <f>$X$28</f>
        <v>0318</v>
      </c>
      <c r="AC26" s="366"/>
      <c r="AD26" s="2853" t="s">
        <v>2980</v>
      </c>
      <c r="AE26" s="2854"/>
      <c r="AF26" s="2864"/>
      <c r="AG26" s="2856"/>
      <c r="AH26" s="366"/>
    </row>
    <row r="27" spans="3:34" ht="5.0999999999999996" customHeight="1">
      <c r="C27" s="2852"/>
      <c r="D27" s="366"/>
      <c r="E27" s="366"/>
      <c r="F27" s="366"/>
      <c r="G27" s="366"/>
      <c r="H27" s="366"/>
      <c r="I27" s="366"/>
      <c r="J27" s="2857"/>
      <c r="K27" s="2858"/>
      <c r="L27" s="366"/>
      <c r="M27" s="366"/>
      <c r="N27" s="2857"/>
      <c r="O27" s="2859"/>
      <c r="P27" s="366"/>
      <c r="Q27" s="2872"/>
      <c r="R27" s="366"/>
      <c r="S27" s="2852"/>
      <c r="T27" s="366"/>
      <c r="U27" s="366"/>
      <c r="V27" s="366"/>
      <c r="W27" s="2857"/>
      <c r="X27" s="2858"/>
      <c r="Y27" s="366"/>
      <c r="Z27" s="366"/>
      <c r="AA27" s="2857"/>
      <c r="AB27" s="2859"/>
      <c r="AC27" s="366"/>
      <c r="AD27" s="366"/>
      <c r="AE27" s="2857"/>
      <c r="AF27" s="2859"/>
      <c r="AG27" s="2856"/>
      <c r="AH27" s="366"/>
    </row>
    <row r="28" spans="3:34" ht="24.95" customHeight="1">
      <c r="C28" s="2852"/>
      <c r="D28" s="366"/>
      <c r="E28" s="366"/>
      <c r="F28" s="366"/>
      <c r="G28" s="366"/>
      <c r="H28" s="366"/>
      <c r="I28" s="2853" t="s">
        <v>2971</v>
      </c>
      <c r="J28" s="2865">
        <v>17</v>
      </c>
      <c r="K28" s="2866" t="s">
        <v>2970</v>
      </c>
      <c r="L28" s="366"/>
      <c r="M28" s="2853" t="s">
        <v>2975</v>
      </c>
      <c r="N28" s="2854">
        <f>1+J19</f>
        <v>21</v>
      </c>
      <c r="O28" s="2864" t="str">
        <f>+$K$28</f>
        <v>0318</v>
      </c>
      <c r="P28" s="366"/>
      <c r="Q28" s="2872"/>
      <c r="S28" s="2852"/>
      <c r="T28" s="366"/>
      <c r="U28" s="366"/>
      <c r="V28" s="2853" t="s">
        <v>2971</v>
      </c>
      <c r="W28" s="2865">
        <v>21</v>
      </c>
      <c r="X28" s="2866" t="s">
        <v>2970</v>
      </c>
      <c r="Y28" s="366"/>
      <c r="Z28" s="2853" t="s">
        <v>2975</v>
      </c>
      <c r="AA28" s="2854">
        <f>1+W19</f>
        <v>25</v>
      </c>
      <c r="AB28" s="2864" t="str">
        <f>$X$28</f>
        <v>0318</v>
      </c>
      <c r="AC28" s="366"/>
      <c r="AD28" s="2853" t="s">
        <v>2979</v>
      </c>
      <c r="AE28" s="2854"/>
      <c r="AF28" s="2864"/>
      <c r="AG28" s="2856"/>
    </row>
    <row r="29" spans="3:34" ht="20.100000000000001" customHeight="1">
      <c r="C29" s="2861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2862"/>
      <c r="Q29" s="2863"/>
      <c r="S29" s="2861"/>
      <c r="T29" s="437"/>
      <c r="U29" s="437"/>
      <c r="V29" s="437"/>
      <c r="W29" s="437"/>
      <c r="X29" s="437"/>
      <c r="Y29" s="437"/>
      <c r="Z29" s="437"/>
      <c r="AA29" s="437"/>
      <c r="AB29" s="2862"/>
      <c r="AC29" s="437"/>
      <c r="AD29" s="437"/>
      <c r="AE29" s="437"/>
      <c r="AF29" s="2862"/>
      <c r="AG29" s="2863"/>
    </row>
    <row r="30" spans="3:34" ht="24.95" customHeight="1"/>
    <row r="31" spans="3:34" ht="24.95" customHeight="1"/>
    <row r="32" spans="3:34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</sheetData>
  <mergeCells count="2">
    <mergeCell ref="U9:V9"/>
    <mergeCell ref="E9:F9"/>
  </mergeCells>
  <printOptions horizontalCentered="1" verticalCentered="1"/>
  <pageMargins left="0" right="0" top="0" bottom="0" header="0" footer="0"/>
  <pageSetup paperSize="9" scale="150" orientation="landscape" horizontalDpi="120" verticalDpi="7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91"/>
  <sheetViews>
    <sheetView topLeftCell="C1" zoomScale="90" zoomScaleNormal="90" workbookViewId="0">
      <pane ySplit="4" topLeftCell="A148" activePane="bottomLeft" state="frozen"/>
      <selection pane="bottomLeft" activeCell="T156" sqref="T154:T156"/>
    </sheetView>
  </sheetViews>
  <sheetFormatPr baseColWidth="10" defaultRowHeight="12.75"/>
  <cols>
    <col min="1" max="1" width="2.7109375" customWidth="1"/>
    <col min="2" max="2" width="5" customWidth="1"/>
    <col min="3" max="3" width="4.7109375" customWidth="1"/>
    <col min="4" max="4" width="6.7109375" style="822" customWidth="1"/>
    <col min="5" max="5" width="15" bestFit="1" customWidth="1"/>
    <col min="6" max="6" width="11.85546875" customWidth="1"/>
    <col min="7" max="7" width="9.42578125" style="822" customWidth="1"/>
    <col min="8" max="8" width="8.140625" style="871" customWidth="1"/>
    <col min="9" max="9" width="8.28515625" style="822" customWidth="1"/>
    <col min="10" max="10" width="7.7109375" style="2675" customWidth="1"/>
    <col min="11" max="11" width="9.7109375" customWidth="1"/>
    <col min="12" max="12" width="3.7109375" style="822" bestFit="1" customWidth="1"/>
    <col min="13" max="13" width="4.7109375" style="822" bestFit="1" customWidth="1"/>
    <col min="14" max="14" width="13.42578125" customWidth="1"/>
    <col min="15" max="15" width="9" style="871" customWidth="1"/>
    <col min="16" max="16" width="11.42578125" customWidth="1"/>
    <col min="17" max="17" width="7.42578125" customWidth="1"/>
    <col min="18" max="18" width="12.5703125" customWidth="1"/>
    <col min="19" max="19" width="32.7109375" customWidth="1"/>
    <col min="20" max="20" width="35" bestFit="1" customWidth="1"/>
  </cols>
  <sheetData>
    <row r="1" spans="2:19" ht="15">
      <c r="B1" s="822"/>
      <c r="D1" s="868"/>
      <c r="E1" s="870"/>
      <c r="L1" s="869"/>
      <c r="M1" s="869"/>
      <c r="P1" s="822"/>
      <c r="Q1" s="872"/>
      <c r="R1" s="872"/>
      <c r="S1" s="11"/>
    </row>
    <row r="2" spans="2:19" ht="21" thickBot="1">
      <c r="B2" s="822"/>
      <c r="C2" s="867" t="s">
        <v>2906</v>
      </c>
      <c r="D2" s="914"/>
      <c r="E2" s="870"/>
      <c r="L2" s="869"/>
      <c r="M2" s="869"/>
      <c r="P2" s="822"/>
      <c r="Q2" s="872"/>
      <c r="R2" s="872"/>
      <c r="S2" s="11"/>
    </row>
    <row r="3" spans="2:19" ht="13.5" thickBot="1">
      <c r="B3" s="822"/>
      <c r="D3" s="868"/>
      <c r="E3" s="2676">
        <f ca="1">TODAY()</f>
        <v>43895</v>
      </c>
      <c r="L3" s="869"/>
      <c r="M3" s="869"/>
      <c r="P3" s="822"/>
      <c r="Q3" s="3490" t="s">
        <v>175</v>
      </c>
      <c r="R3" s="3491"/>
      <c r="S3" s="2356"/>
    </row>
    <row r="4" spans="2:19" s="463" customFormat="1" ht="20.100000000000001" customHeight="1" thickBot="1">
      <c r="B4" s="874" t="s">
        <v>704</v>
      </c>
      <c r="C4" s="2672" t="s">
        <v>2774</v>
      </c>
      <c r="D4" s="876" t="s">
        <v>176</v>
      </c>
      <c r="E4" s="880" t="s">
        <v>116</v>
      </c>
      <c r="F4" s="877" t="s">
        <v>114</v>
      </c>
      <c r="G4" s="879" t="s">
        <v>115</v>
      </c>
      <c r="H4" s="2888" t="s">
        <v>2898</v>
      </c>
      <c r="I4" s="879" t="s">
        <v>3011</v>
      </c>
      <c r="J4" s="882" t="s">
        <v>3010</v>
      </c>
      <c r="K4" s="2752" t="s">
        <v>692</v>
      </c>
      <c r="L4" s="878" t="s">
        <v>705</v>
      </c>
      <c r="M4" s="2649" t="s">
        <v>2742</v>
      </c>
      <c r="N4" s="882" t="s">
        <v>118</v>
      </c>
      <c r="O4" s="883" t="s">
        <v>119</v>
      </c>
      <c r="P4" s="884" t="s">
        <v>713</v>
      </c>
      <c r="Q4" s="885" t="s">
        <v>120</v>
      </c>
      <c r="R4" s="886" t="s">
        <v>121</v>
      </c>
      <c r="S4" s="887" t="s">
        <v>719</v>
      </c>
    </row>
    <row r="5" spans="2:19" ht="16.5" customHeight="1" thickTop="1">
      <c r="B5" s="2414">
        <v>1</v>
      </c>
      <c r="C5" s="2673"/>
      <c r="D5" s="1078">
        <v>1</v>
      </c>
      <c r="E5" s="894">
        <v>8010217</v>
      </c>
      <c r="F5" s="2205"/>
      <c r="G5" s="980"/>
      <c r="H5" s="943"/>
      <c r="I5" s="980"/>
      <c r="J5" s="1262" t="s">
        <v>834</v>
      </c>
      <c r="K5" s="2028"/>
      <c r="L5" s="940" t="s">
        <v>723</v>
      </c>
      <c r="M5" s="940"/>
      <c r="N5" s="1262" t="s">
        <v>2456</v>
      </c>
      <c r="O5" s="982" t="s">
        <v>2454</v>
      </c>
      <c r="P5" s="944">
        <v>42788</v>
      </c>
      <c r="Q5" s="2276"/>
      <c r="R5" s="2282"/>
      <c r="S5" s="1505" t="s">
        <v>2455</v>
      </c>
    </row>
    <row r="6" spans="2:19" ht="15.75" customHeight="1">
      <c r="B6" s="2414">
        <v>2</v>
      </c>
      <c r="C6" s="2673"/>
      <c r="D6" s="1037">
        <v>2</v>
      </c>
      <c r="E6" s="894">
        <v>8020217</v>
      </c>
      <c r="F6" s="2205"/>
      <c r="G6" s="975"/>
      <c r="H6" s="935"/>
      <c r="I6" s="980"/>
      <c r="J6" s="1262" t="s">
        <v>834</v>
      </c>
      <c r="K6" s="2028"/>
      <c r="L6" s="940" t="s">
        <v>723</v>
      </c>
      <c r="M6" s="940"/>
      <c r="N6" s="1262" t="s">
        <v>2456</v>
      </c>
      <c r="O6" s="982" t="s">
        <v>2454</v>
      </c>
      <c r="P6" s="936">
        <v>42788</v>
      </c>
      <c r="Q6" s="2276"/>
      <c r="R6" s="2283"/>
      <c r="S6" s="2277" t="s">
        <v>2455</v>
      </c>
    </row>
    <row r="7" spans="2:19" ht="15">
      <c r="B7" s="2414">
        <v>3</v>
      </c>
      <c r="C7" s="2673"/>
      <c r="D7" s="1037">
        <v>1</v>
      </c>
      <c r="E7" s="894">
        <v>8030317</v>
      </c>
      <c r="F7" s="1289" t="s">
        <v>2459</v>
      </c>
      <c r="G7" s="975"/>
      <c r="H7" s="935"/>
      <c r="I7" s="980"/>
      <c r="J7" s="1262" t="s">
        <v>834</v>
      </c>
      <c r="K7" s="2030" t="s">
        <v>2826</v>
      </c>
      <c r="L7" s="959" t="s">
        <v>723</v>
      </c>
      <c r="M7" s="959"/>
      <c r="N7" s="934"/>
      <c r="O7" s="935" t="s">
        <v>2454</v>
      </c>
      <c r="P7" s="936"/>
      <c r="Q7" s="852" t="s">
        <v>2527</v>
      </c>
      <c r="R7" s="1275">
        <v>42863</v>
      </c>
      <c r="S7" s="1832" t="s">
        <v>2775</v>
      </c>
    </row>
    <row r="8" spans="2:19" ht="15">
      <c r="B8" s="2414">
        <v>4</v>
      </c>
      <c r="C8" s="2673"/>
      <c r="D8" s="1037">
        <v>2</v>
      </c>
      <c r="E8" s="894">
        <v>8040317</v>
      </c>
      <c r="F8" s="1289" t="s">
        <v>2460</v>
      </c>
      <c r="G8" s="975"/>
      <c r="H8" s="935"/>
      <c r="I8" s="980"/>
      <c r="J8" s="1262" t="s">
        <v>834</v>
      </c>
      <c r="K8" s="2030" t="s">
        <v>2826</v>
      </c>
      <c r="L8" s="959" t="s">
        <v>723</v>
      </c>
      <c r="M8" s="959"/>
      <c r="N8" s="934"/>
      <c r="O8" s="935" t="s">
        <v>2454</v>
      </c>
      <c r="P8" s="936"/>
      <c r="Q8" s="852" t="s">
        <v>2527</v>
      </c>
      <c r="R8" s="1275">
        <v>42863</v>
      </c>
      <c r="S8" s="1832" t="s">
        <v>2775</v>
      </c>
    </row>
    <row r="9" spans="2:19" ht="15">
      <c r="B9" s="2414">
        <v>5</v>
      </c>
      <c r="C9" s="2673"/>
      <c r="D9" s="1037">
        <v>3</v>
      </c>
      <c r="E9" s="894">
        <v>8050517</v>
      </c>
      <c r="F9" s="2661" t="s">
        <v>757</v>
      </c>
      <c r="G9" s="975"/>
      <c r="H9" s="935"/>
      <c r="I9" s="980"/>
      <c r="J9" s="1262" t="s">
        <v>834</v>
      </c>
      <c r="K9" s="2030" t="s">
        <v>693</v>
      </c>
      <c r="L9" s="959" t="s">
        <v>723</v>
      </c>
      <c r="M9" s="959"/>
      <c r="N9" s="934"/>
      <c r="O9" s="935" t="s">
        <v>2454</v>
      </c>
      <c r="P9" s="936"/>
      <c r="Q9" s="852" t="s">
        <v>2527</v>
      </c>
      <c r="R9" s="1275">
        <v>42863</v>
      </c>
      <c r="S9" s="1832" t="s">
        <v>2775</v>
      </c>
    </row>
    <row r="10" spans="2:19" ht="15">
      <c r="B10" s="2414">
        <v>6</v>
      </c>
      <c r="C10" s="2673"/>
      <c r="D10" s="1037">
        <v>4</v>
      </c>
      <c r="E10" s="894">
        <v>8060517</v>
      </c>
      <c r="F10" s="2207"/>
      <c r="G10" s="975"/>
      <c r="H10" s="935"/>
      <c r="I10" s="980"/>
      <c r="J10" s="1262" t="s">
        <v>834</v>
      </c>
      <c r="K10" s="2030" t="s">
        <v>693</v>
      </c>
      <c r="L10" s="959" t="s">
        <v>723</v>
      </c>
      <c r="M10" s="959"/>
      <c r="N10" s="934"/>
      <c r="O10" s="935" t="s">
        <v>2454</v>
      </c>
      <c r="P10" s="936"/>
      <c r="Q10" s="852" t="s">
        <v>2527</v>
      </c>
      <c r="R10" s="1275">
        <v>42863</v>
      </c>
      <c r="S10" s="1832" t="s">
        <v>2775</v>
      </c>
    </row>
    <row r="11" spans="2:19" ht="15">
      <c r="B11" s="2414">
        <v>7</v>
      </c>
      <c r="C11" s="2673"/>
      <c r="D11" s="1037">
        <v>5</v>
      </c>
      <c r="E11" s="894">
        <v>8070517</v>
      </c>
      <c r="F11" s="2207"/>
      <c r="G11" s="975"/>
      <c r="H11" s="935"/>
      <c r="I11" s="980"/>
      <c r="J11" s="1262" t="s">
        <v>834</v>
      </c>
      <c r="K11" s="2030" t="s">
        <v>693</v>
      </c>
      <c r="L11" s="959" t="s">
        <v>723</v>
      </c>
      <c r="M11" s="959"/>
      <c r="N11" s="934"/>
      <c r="O11" s="935" t="s">
        <v>2454</v>
      </c>
      <c r="P11" s="936"/>
      <c r="Q11" s="852" t="s">
        <v>2527</v>
      </c>
      <c r="R11" s="1275">
        <v>42863</v>
      </c>
      <c r="S11" s="1832" t="s">
        <v>2775</v>
      </c>
    </row>
    <row r="12" spans="2:19" ht="15">
      <c r="B12" s="2414">
        <v>8</v>
      </c>
      <c r="C12" s="2673"/>
      <c r="D12" s="1037">
        <v>6</v>
      </c>
      <c r="E12" s="894">
        <v>8080517</v>
      </c>
      <c r="F12" s="2207"/>
      <c r="G12" s="975"/>
      <c r="H12" s="935"/>
      <c r="I12" s="980"/>
      <c r="J12" s="1262" t="s">
        <v>834</v>
      </c>
      <c r="K12" s="2030" t="s">
        <v>693</v>
      </c>
      <c r="L12" s="959" t="s">
        <v>723</v>
      </c>
      <c r="M12" s="959"/>
      <c r="N12" s="934"/>
      <c r="O12" s="935" t="s">
        <v>2454</v>
      </c>
      <c r="P12" s="936"/>
      <c r="Q12" s="852" t="s">
        <v>2527</v>
      </c>
      <c r="R12" s="1275">
        <v>42863</v>
      </c>
      <c r="S12" s="1832" t="s">
        <v>2775</v>
      </c>
    </row>
    <row r="13" spans="2:19" ht="15">
      <c r="B13" s="2414">
        <v>9</v>
      </c>
      <c r="C13" s="2673"/>
      <c r="D13" s="1037">
        <v>7</v>
      </c>
      <c r="E13" s="894">
        <v>8090517</v>
      </c>
      <c r="F13" s="2207"/>
      <c r="G13" s="975"/>
      <c r="H13" s="935"/>
      <c r="I13" s="980"/>
      <c r="J13" s="1262" t="s">
        <v>834</v>
      </c>
      <c r="K13" s="2030" t="s">
        <v>693</v>
      </c>
      <c r="L13" s="959" t="s">
        <v>723</v>
      </c>
      <c r="M13" s="959"/>
      <c r="N13" s="934"/>
      <c r="O13" s="935" t="s">
        <v>2454</v>
      </c>
      <c r="P13" s="936"/>
      <c r="Q13" s="852" t="s">
        <v>2527</v>
      </c>
      <c r="R13" s="1275">
        <v>42863</v>
      </c>
      <c r="S13" s="1832" t="s">
        <v>2775</v>
      </c>
    </row>
    <row r="14" spans="2:19" ht="15">
      <c r="B14" s="2414">
        <v>10</v>
      </c>
      <c r="C14" s="2673"/>
      <c r="D14" s="1037">
        <v>8</v>
      </c>
      <c r="E14" s="894">
        <v>8100517</v>
      </c>
      <c r="F14" s="2661" t="s">
        <v>757</v>
      </c>
      <c r="G14" s="975"/>
      <c r="H14" s="935"/>
      <c r="I14" s="980"/>
      <c r="J14" s="1262" t="s">
        <v>834</v>
      </c>
      <c r="K14" s="2030" t="s">
        <v>693</v>
      </c>
      <c r="L14" s="959" t="s">
        <v>723</v>
      </c>
      <c r="M14" s="959"/>
      <c r="N14" s="934"/>
      <c r="O14" s="935" t="s">
        <v>2454</v>
      </c>
      <c r="P14" s="936"/>
      <c r="Q14" s="852" t="s">
        <v>2527</v>
      </c>
      <c r="R14" s="1275">
        <v>42863</v>
      </c>
      <c r="S14" s="1832" t="s">
        <v>2775</v>
      </c>
    </row>
    <row r="15" spans="2:19" ht="15">
      <c r="B15" s="2414">
        <v>11</v>
      </c>
      <c r="C15" s="2670"/>
      <c r="D15" s="1037">
        <v>9</v>
      </c>
      <c r="E15" s="894">
        <v>8110517</v>
      </c>
      <c r="F15" s="2207"/>
      <c r="G15" s="975"/>
      <c r="H15" s="935"/>
      <c r="I15" s="980"/>
      <c r="J15" s="1262" t="s">
        <v>834</v>
      </c>
      <c r="K15" s="2030" t="s">
        <v>693</v>
      </c>
      <c r="L15" s="959" t="s">
        <v>723</v>
      </c>
      <c r="M15" s="959"/>
      <c r="N15" s="934"/>
      <c r="O15" s="935" t="s">
        <v>2454</v>
      </c>
      <c r="P15" s="936"/>
      <c r="Q15" s="852" t="s">
        <v>2527</v>
      </c>
      <c r="R15" s="1275">
        <v>42863</v>
      </c>
      <c r="S15" s="1832" t="s">
        <v>2775</v>
      </c>
    </row>
    <row r="16" spans="2:19" ht="15">
      <c r="B16" s="2414">
        <v>12</v>
      </c>
      <c r="C16" s="2670"/>
      <c r="D16" s="1037">
        <v>10</v>
      </c>
      <c r="E16" s="894">
        <v>8120517</v>
      </c>
      <c r="F16" s="2207"/>
      <c r="G16" s="975"/>
      <c r="H16" s="935"/>
      <c r="I16" s="980"/>
      <c r="J16" s="1262" t="s">
        <v>834</v>
      </c>
      <c r="K16" s="2030" t="s">
        <v>693</v>
      </c>
      <c r="L16" s="959" t="s">
        <v>723</v>
      </c>
      <c r="M16" s="959"/>
      <c r="N16" s="934"/>
      <c r="O16" s="935" t="s">
        <v>2454</v>
      </c>
      <c r="P16" s="936"/>
      <c r="Q16" s="852" t="s">
        <v>2527</v>
      </c>
      <c r="R16" s="1275">
        <v>42863</v>
      </c>
      <c r="S16" s="1832" t="s">
        <v>2775</v>
      </c>
    </row>
    <row r="17" spans="2:20" ht="15">
      <c r="B17" s="2414">
        <v>13</v>
      </c>
      <c r="C17" s="2670"/>
      <c r="D17" s="1037">
        <v>11</v>
      </c>
      <c r="E17" s="894">
        <v>8130517</v>
      </c>
      <c r="F17" s="2661" t="s">
        <v>551</v>
      </c>
      <c r="G17" s="975"/>
      <c r="H17" s="935"/>
      <c r="I17" s="980"/>
      <c r="J17" s="1262" t="s">
        <v>834</v>
      </c>
      <c r="K17" s="2030" t="s">
        <v>693</v>
      </c>
      <c r="L17" s="959" t="s">
        <v>723</v>
      </c>
      <c r="M17" s="959"/>
      <c r="N17" s="934"/>
      <c r="O17" s="935" t="s">
        <v>2454</v>
      </c>
      <c r="P17" s="936"/>
      <c r="Q17" s="852" t="s">
        <v>2527</v>
      </c>
      <c r="R17" s="1275">
        <v>42863</v>
      </c>
      <c r="S17" s="1832" t="s">
        <v>2775</v>
      </c>
    </row>
    <row r="18" spans="2:20" ht="15">
      <c r="B18" s="2414">
        <v>14</v>
      </c>
      <c r="C18" s="2670"/>
      <c r="D18" s="1037">
        <v>12</v>
      </c>
      <c r="E18" s="894">
        <v>8140517</v>
      </c>
      <c r="F18" s="2207"/>
      <c r="G18" s="975"/>
      <c r="H18" s="935"/>
      <c r="I18" s="980"/>
      <c r="J18" s="1262" t="s">
        <v>834</v>
      </c>
      <c r="K18" s="2030" t="s">
        <v>693</v>
      </c>
      <c r="L18" s="959" t="s">
        <v>723</v>
      </c>
      <c r="M18" s="959"/>
      <c r="N18" s="934"/>
      <c r="O18" s="935" t="s">
        <v>2454</v>
      </c>
      <c r="P18" s="936"/>
      <c r="Q18" s="852" t="s">
        <v>2527</v>
      </c>
      <c r="R18" s="1275">
        <v>42863</v>
      </c>
      <c r="S18" s="1832" t="s">
        <v>2775</v>
      </c>
    </row>
    <row r="19" spans="2:20" ht="15">
      <c r="B19" s="2414">
        <v>15</v>
      </c>
      <c r="C19" s="2670" t="s">
        <v>3061</v>
      </c>
      <c r="D19" s="2417" t="s">
        <v>2531</v>
      </c>
      <c r="E19" s="894">
        <v>8150517</v>
      </c>
      <c r="F19" s="2207" t="s">
        <v>2522</v>
      </c>
      <c r="G19" s="2416" t="s">
        <v>2529</v>
      </c>
      <c r="H19" s="846" t="s">
        <v>2529</v>
      </c>
      <c r="I19" s="2889"/>
      <c r="J19" s="1262" t="s">
        <v>834</v>
      </c>
      <c r="K19" s="2030"/>
      <c r="L19" s="959" t="s">
        <v>723</v>
      </c>
      <c r="M19" s="959"/>
      <c r="N19" s="934" t="s">
        <v>285</v>
      </c>
      <c r="O19" s="935"/>
      <c r="P19" s="936">
        <v>42867</v>
      </c>
      <c r="Q19" s="852" t="s">
        <v>2524</v>
      </c>
      <c r="R19" s="1275">
        <v>42867</v>
      </c>
      <c r="S19" s="1832" t="s">
        <v>2526</v>
      </c>
      <c r="T19" s="2080" t="s">
        <v>2745</v>
      </c>
    </row>
    <row r="20" spans="2:20" ht="15">
      <c r="B20" s="2414">
        <v>16</v>
      </c>
      <c r="C20" s="2670" t="s">
        <v>3061</v>
      </c>
      <c r="D20" s="2417" t="s">
        <v>2531</v>
      </c>
      <c r="E20" s="894">
        <v>8160517</v>
      </c>
      <c r="F20" s="2207" t="s">
        <v>2523</v>
      </c>
      <c r="G20" s="2416" t="s">
        <v>2530</v>
      </c>
      <c r="H20" s="846" t="s">
        <v>2530</v>
      </c>
      <c r="I20" s="2889"/>
      <c r="J20" s="1262" t="s">
        <v>834</v>
      </c>
      <c r="K20" s="2030"/>
      <c r="L20" s="959" t="s">
        <v>723</v>
      </c>
      <c r="M20" s="959"/>
      <c r="N20" s="934" t="s">
        <v>285</v>
      </c>
      <c r="O20" s="935"/>
      <c r="P20" s="936">
        <v>42867</v>
      </c>
      <c r="Q20" s="852" t="s">
        <v>2524</v>
      </c>
      <c r="R20" s="1275">
        <v>42867</v>
      </c>
      <c r="S20" s="1832" t="s">
        <v>2525</v>
      </c>
    </row>
    <row r="21" spans="2:20" ht="15">
      <c r="B21" s="2414">
        <v>17</v>
      </c>
      <c r="C21" s="2670"/>
      <c r="D21" s="2419"/>
      <c r="E21" s="894">
        <v>8170517</v>
      </c>
      <c r="F21" s="2415"/>
      <c r="G21" s="2419"/>
      <c r="H21" s="2669"/>
      <c r="I21" s="2419"/>
      <c r="J21" s="2670"/>
      <c r="K21" s="2670"/>
      <c r="L21" s="2419"/>
      <c r="M21" s="2419"/>
      <c r="N21" s="2415"/>
      <c r="O21" s="2669"/>
      <c r="P21" s="936"/>
      <c r="Q21" s="852"/>
      <c r="R21" s="1275"/>
      <c r="S21" s="2415"/>
    </row>
    <row r="22" spans="2:20" ht="15">
      <c r="B22" s="2414">
        <v>18</v>
      </c>
      <c r="C22" s="2674"/>
      <c r="D22" s="2417" t="s">
        <v>2531</v>
      </c>
      <c r="E22" s="894">
        <v>8180517</v>
      </c>
      <c r="F22" s="2420" t="s">
        <v>724</v>
      </c>
      <c r="G22" s="2419"/>
      <c r="H22" s="2669" t="s">
        <v>1093</v>
      </c>
      <c r="I22" s="2419"/>
      <c r="J22" s="2670"/>
      <c r="K22" s="2670"/>
      <c r="L22" s="2460" t="s">
        <v>723</v>
      </c>
      <c r="M22" s="2460"/>
      <c r="N22" s="2415"/>
      <c r="O22" s="935" t="s">
        <v>2454</v>
      </c>
      <c r="P22" s="936">
        <v>42872</v>
      </c>
      <c r="Q22" s="852" t="s">
        <v>2524</v>
      </c>
      <c r="R22" s="1275">
        <v>42874</v>
      </c>
      <c r="S22" s="1832" t="s">
        <v>2528</v>
      </c>
      <c r="T22" s="69"/>
    </row>
    <row r="23" spans="2:20" ht="15">
      <c r="B23" s="2414">
        <v>19</v>
      </c>
      <c r="C23" s="2670"/>
      <c r="D23" s="2417" t="s">
        <v>2531</v>
      </c>
      <c r="E23" s="894">
        <v>8190517</v>
      </c>
      <c r="F23" s="2415" t="s">
        <v>724</v>
      </c>
      <c r="G23" s="2419"/>
      <c r="H23" s="2669" t="s">
        <v>2539</v>
      </c>
      <c r="I23" s="2419"/>
      <c r="J23" s="2670"/>
      <c r="K23" s="2670"/>
      <c r="L23" s="2460" t="s">
        <v>723</v>
      </c>
      <c r="M23" s="2460"/>
      <c r="N23" s="2415"/>
      <c r="O23" s="935" t="s">
        <v>2454</v>
      </c>
      <c r="P23" s="936">
        <v>42872</v>
      </c>
      <c r="Q23" s="852" t="s">
        <v>2524</v>
      </c>
      <c r="R23" s="1275">
        <v>42874</v>
      </c>
      <c r="S23" s="1832" t="s">
        <v>2528</v>
      </c>
      <c r="T23" s="69"/>
    </row>
    <row r="24" spans="2:20" ht="15">
      <c r="B24" s="2414">
        <v>20</v>
      </c>
      <c r="C24" s="2670"/>
      <c r="D24" s="2417" t="s">
        <v>2531</v>
      </c>
      <c r="E24" s="894">
        <v>8200517</v>
      </c>
      <c r="F24" s="2415" t="s">
        <v>724</v>
      </c>
      <c r="G24" s="2419"/>
      <c r="H24" s="2669" t="s">
        <v>2538</v>
      </c>
      <c r="I24" s="2419"/>
      <c r="J24" s="2670"/>
      <c r="K24" s="2670"/>
      <c r="L24" s="2460" t="s">
        <v>723</v>
      </c>
      <c r="M24" s="2460"/>
      <c r="N24" s="2415"/>
      <c r="O24" s="935" t="s">
        <v>2454</v>
      </c>
      <c r="P24" s="936">
        <v>42872</v>
      </c>
      <c r="Q24" s="852" t="s">
        <v>2524</v>
      </c>
      <c r="R24" s="1275">
        <v>42874</v>
      </c>
      <c r="S24" s="1832" t="s">
        <v>2528</v>
      </c>
      <c r="T24" s="69"/>
    </row>
    <row r="25" spans="2:20" ht="15">
      <c r="B25" s="2414">
        <v>21</v>
      </c>
      <c r="C25" s="2670"/>
      <c r="D25" s="2417" t="s">
        <v>2531</v>
      </c>
      <c r="E25" s="894">
        <v>8210517</v>
      </c>
      <c r="F25" s="2415" t="s">
        <v>757</v>
      </c>
      <c r="G25" s="2419"/>
      <c r="H25" s="2669" t="s">
        <v>2540</v>
      </c>
      <c r="I25" s="2419"/>
      <c r="J25" s="2670"/>
      <c r="K25" s="2670"/>
      <c r="L25" s="2460" t="s">
        <v>723</v>
      </c>
      <c r="M25" s="2460"/>
      <c r="N25" s="2415"/>
      <c r="O25" s="935" t="s">
        <v>2454</v>
      </c>
      <c r="P25" s="936">
        <v>42872</v>
      </c>
      <c r="Q25" s="852" t="s">
        <v>2524</v>
      </c>
      <c r="R25" s="1275">
        <v>42874</v>
      </c>
      <c r="S25" s="1832" t="s">
        <v>2528</v>
      </c>
      <c r="T25" s="69"/>
    </row>
    <row r="26" spans="2:20" ht="15">
      <c r="B26" s="2414">
        <v>22</v>
      </c>
      <c r="C26" s="2670"/>
      <c r="D26" s="2417" t="s">
        <v>2531</v>
      </c>
      <c r="E26" s="894">
        <v>8220517</v>
      </c>
      <c r="F26" s="2415" t="s">
        <v>2460</v>
      </c>
      <c r="G26" s="2419"/>
      <c r="H26" s="2669" t="s">
        <v>2541</v>
      </c>
      <c r="I26" s="2419"/>
      <c r="J26" s="2670"/>
      <c r="K26" s="2670"/>
      <c r="L26" s="2460" t="s">
        <v>723</v>
      </c>
      <c r="M26" s="2460"/>
      <c r="N26" s="2415"/>
      <c r="O26" s="935" t="s">
        <v>2454</v>
      </c>
      <c r="P26" s="936">
        <v>42872</v>
      </c>
      <c r="Q26" s="852" t="s">
        <v>2524</v>
      </c>
      <c r="R26" s="1275">
        <v>42874</v>
      </c>
      <c r="S26" s="1832" t="s">
        <v>2528</v>
      </c>
      <c r="T26" s="69"/>
    </row>
    <row r="27" spans="2:20" ht="15">
      <c r="B27" s="2414">
        <v>23</v>
      </c>
      <c r="C27" s="2670"/>
      <c r="D27" s="2417" t="s">
        <v>2531</v>
      </c>
      <c r="E27" s="894">
        <v>8230517</v>
      </c>
      <c r="F27" s="2415" t="s">
        <v>757</v>
      </c>
      <c r="G27" s="2419"/>
      <c r="H27" s="2669" t="s">
        <v>2548</v>
      </c>
      <c r="I27" s="2419"/>
      <c r="J27" s="2670"/>
      <c r="K27" s="2670"/>
      <c r="L27" s="2419" t="s">
        <v>723</v>
      </c>
      <c r="M27" s="2419"/>
      <c r="N27" s="2415"/>
      <c r="O27" s="2669"/>
      <c r="P27" s="936">
        <v>42875</v>
      </c>
      <c r="Q27" s="852" t="s">
        <v>2524</v>
      </c>
      <c r="R27" s="1275"/>
      <c r="S27" s="1832" t="s">
        <v>2528</v>
      </c>
    </row>
    <row r="28" spans="2:20" ht="15">
      <c r="B28" s="2414">
        <v>24</v>
      </c>
      <c r="C28" s="2670"/>
      <c r="D28" s="2417" t="s">
        <v>2531</v>
      </c>
      <c r="E28" s="894">
        <v>8240517</v>
      </c>
      <c r="F28" s="2415" t="s">
        <v>2551</v>
      </c>
      <c r="G28" s="2419"/>
      <c r="H28" s="2669">
        <v>2314</v>
      </c>
      <c r="I28" s="2419"/>
      <c r="J28" s="2670"/>
      <c r="K28" s="2670"/>
      <c r="L28" s="2419" t="s">
        <v>723</v>
      </c>
      <c r="M28" s="2419"/>
      <c r="N28" s="2415" t="s">
        <v>285</v>
      </c>
      <c r="O28" s="2669"/>
      <c r="P28" s="936">
        <v>42875</v>
      </c>
      <c r="Q28" s="852" t="s">
        <v>2524</v>
      </c>
      <c r="R28" s="1275"/>
      <c r="S28" s="2443" t="s">
        <v>2552</v>
      </c>
    </row>
    <row r="29" spans="2:20" ht="15">
      <c r="B29" s="2414">
        <v>25</v>
      </c>
      <c r="C29" s="2670"/>
      <c r="D29" s="2417" t="s">
        <v>2531</v>
      </c>
      <c r="E29" s="894">
        <v>8250517</v>
      </c>
      <c r="F29" s="2415" t="s">
        <v>2533</v>
      </c>
      <c r="G29" s="2419" t="s">
        <v>2564</v>
      </c>
      <c r="H29" s="2669" t="s">
        <v>2557</v>
      </c>
      <c r="I29" s="2419"/>
      <c r="J29" s="2670" t="s">
        <v>834</v>
      </c>
      <c r="K29" s="2670"/>
      <c r="L29" s="2419" t="s">
        <v>723</v>
      </c>
      <c r="M29" s="2419"/>
      <c r="N29" s="2415"/>
      <c r="O29" s="2669" t="s">
        <v>2454</v>
      </c>
      <c r="P29" s="936">
        <v>42880</v>
      </c>
      <c r="Q29" s="852" t="s">
        <v>2524</v>
      </c>
      <c r="R29" s="1275">
        <v>42881</v>
      </c>
      <c r="S29" s="1832" t="s">
        <v>2563</v>
      </c>
    </row>
    <row r="30" spans="2:20" ht="15">
      <c r="B30" s="2414">
        <v>26</v>
      </c>
      <c r="C30" s="2670"/>
      <c r="D30" s="2417" t="s">
        <v>2531</v>
      </c>
      <c r="E30" s="894">
        <v>8260517</v>
      </c>
      <c r="F30" s="2420" t="s">
        <v>2533</v>
      </c>
      <c r="G30" s="2419"/>
      <c r="H30" s="2669" t="s">
        <v>2537</v>
      </c>
      <c r="I30" s="2419"/>
      <c r="J30" s="2670" t="s">
        <v>834</v>
      </c>
      <c r="K30" s="2670"/>
      <c r="L30" s="2460" t="s">
        <v>723</v>
      </c>
      <c r="M30" s="2419"/>
      <c r="N30" s="2415"/>
      <c r="O30" s="845" t="s">
        <v>2454</v>
      </c>
      <c r="P30" s="936">
        <v>42884</v>
      </c>
      <c r="Q30" s="852" t="s">
        <v>2524</v>
      </c>
      <c r="R30" s="1275">
        <v>42885</v>
      </c>
      <c r="S30" s="1832" t="s">
        <v>2528</v>
      </c>
    </row>
    <row r="31" spans="2:20" ht="15">
      <c r="B31" s="2414">
        <v>27</v>
      </c>
      <c r="C31" s="2670"/>
      <c r="D31" s="2417" t="s">
        <v>2531</v>
      </c>
      <c r="E31" s="894">
        <v>8270517</v>
      </c>
      <c r="F31" s="2420" t="s">
        <v>2460</v>
      </c>
      <c r="G31" s="2419"/>
      <c r="H31" s="2669" t="s">
        <v>2623</v>
      </c>
      <c r="I31" s="2419"/>
      <c r="J31" s="2670" t="s">
        <v>834</v>
      </c>
      <c r="K31" s="2670"/>
      <c r="L31" s="2460" t="s">
        <v>723</v>
      </c>
      <c r="M31" s="2419"/>
      <c r="N31" s="2415"/>
      <c r="O31" s="845" t="s">
        <v>2454</v>
      </c>
      <c r="P31" s="936">
        <v>42884</v>
      </c>
      <c r="Q31" s="852" t="s">
        <v>2524</v>
      </c>
      <c r="R31" s="1275">
        <v>42885</v>
      </c>
      <c r="S31" s="1832" t="s">
        <v>2528</v>
      </c>
    </row>
    <row r="32" spans="2:20" ht="15">
      <c r="B32" s="2414">
        <v>28</v>
      </c>
      <c r="C32" s="2670"/>
      <c r="D32" s="2417" t="s">
        <v>2531</v>
      </c>
      <c r="E32" s="894">
        <v>8280617</v>
      </c>
      <c r="F32" s="2415" t="s">
        <v>2533</v>
      </c>
      <c r="G32" s="2419" t="s">
        <v>2564</v>
      </c>
      <c r="H32" s="845" t="s">
        <v>2576</v>
      </c>
      <c r="I32" s="2419"/>
      <c r="J32" s="2670" t="s">
        <v>834</v>
      </c>
      <c r="K32" s="2670"/>
      <c r="L32" s="2419" t="s">
        <v>723</v>
      </c>
      <c r="M32" s="2419"/>
      <c r="N32" s="2415"/>
      <c r="O32" s="2669" t="s">
        <v>2454</v>
      </c>
      <c r="P32" s="936">
        <v>42896</v>
      </c>
      <c r="Q32" s="852" t="s">
        <v>2524</v>
      </c>
      <c r="R32" s="1275">
        <v>42896</v>
      </c>
      <c r="S32" s="1832" t="s">
        <v>2563</v>
      </c>
    </row>
    <row r="33" spans="2:20" ht="15">
      <c r="B33" s="2414">
        <v>29</v>
      </c>
      <c r="C33" s="2670" t="s">
        <v>2742</v>
      </c>
      <c r="D33" s="2417" t="s">
        <v>2531</v>
      </c>
      <c r="E33" s="894" t="s">
        <v>2593</v>
      </c>
      <c r="F33" s="2671" t="s">
        <v>247</v>
      </c>
      <c r="G33" s="2419"/>
      <c r="H33" s="839" t="s">
        <v>2572</v>
      </c>
      <c r="I33" s="2419"/>
      <c r="J33" s="2670" t="s">
        <v>2589</v>
      </c>
      <c r="K33" s="2670"/>
      <c r="L33" s="2419" t="s">
        <v>723</v>
      </c>
      <c r="M33" s="2419">
        <v>1</v>
      </c>
      <c r="N33" s="2420"/>
      <c r="O33" s="845" t="s">
        <v>2454</v>
      </c>
      <c r="P33" s="936">
        <v>42901</v>
      </c>
      <c r="Q33" s="852" t="s">
        <v>2524</v>
      </c>
      <c r="R33" s="1275">
        <v>42903</v>
      </c>
      <c r="S33" s="2420" t="s">
        <v>2592</v>
      </c>
    </row>
    <row r="34" spans="2:20" ht="15">
      <c r="B34" s="2414">
        <v>30</v>
      </c>
      <c r="C34" s="2670" t="s">
        <v>2742</v>
      </c>
      <c r="D34" s="2463" t="s">
        <v>2531</v>
      </c>
      <c r="E34" s="894" t="s">
        <v>2605</v>
      </c>
      <c r="F34" s="68" t="s">
        <v>2533</v>
      </c>
      <c r="G34" s="2419"/>
      <c r="H34" s="2444" t="s">
        <v>2600</v>
      </c>
      <c r="I34" s="2419"/>
      <c r="J34" s="2670" t="s">
        <v>2589</v>
      </c>
      <c r="K34" s="2670"/>
      <c r="L34" s="2464" t="s">
        <v>723</v>
      </c>
      <c r="M34" s="2419">
        <v>1</v>
      </c>
      <c r="N34" s="2420"/>
      <c r="O34" s="845" t="s">
        <v>2454</v>
      </c>
      <c r="P34" s="936">
        <v>42910</v>
      </c>
      <c r="Q34" s="852" t="s">
        <v>2524</v>
      </c>
      <c r="R34" s="1275">
        <v>42912</v>
      </c>
      <c r="S34" s="2420" t="s">
        <v>2592</v>
      </c>
    </row>
    <row r="35" spans="2:20" ht="15">
      <c r="B35" s="2414">
        <v>31</v>
      </c>
      <c r="C35" s="2670" t="s">
        <v>2742</v>
      </c>
      <c r="D35" s="2463" t="s">
        <v>2531</v>
      </c>
      <c r="E35" s="894" t="s">
        <v>2624</v>
      </c>
      <c r="F35" s="2671" t="s">
        <v>247</v>
      </c>
      <c r="G35" s="2419"/>
      <c r="H35" s="839" t="s">
        <v>2618</v>
      </c>
      <c r="I35" s="2419"/>
      <c r="J35" s="2670" t="s">
        <v>2625</v>
      </c>
      <c r="K35" s="2670"/>
      <c r="L35" s="2419" t="s">
        <v>723</v>
      </c>
      <c r="M35" s="2419">
        <v>1</v>
      </c>
      <c r="N35" s="2415"/>
      <c r="O35" s="845" t="s">
        <v>2454</v>
      </c>
      <c r="P35" s="936">
        <v>42933</v>
      </c>
      <c r="Q35" s="852" t="s">
        <v>2524</v>
      </c>
      <c r="R35" s="1275">
        <v>42935</v>
      </c>
      <c r="S35" s="2420" t="s">
        <v>2592</v>
      </c>
    </row>
    <row r="36" spans="2:20" ht="15">
      <c r="B36" s="2414">
        <v>32</v>
      </c>
      <c r="C36" s="2670" t="s">
        <v>2776</v>
      </c>
      <c r="D36" s="2417" t="s">
        <v>2531</v>
      </c>
      <c r="E36" s="894">
        <v>8321017</v>
      </c>
      <c r="F36" s="2420" t="s">
        <v>2460</v>
      </c>
      <c r="G36" s="2460" t="s">
        <v>2741</v>
      </c>
      <c r="H36" s="839" t="s">
        <v>2740</v>
      </c>
      <c r="I36" s="2460"/>
      <c r="J36" s="2670" t="s">
        <v>2739</v>
      </c>
      <c r="K36" s="2670" t="s">
        <v>694</v>
      </c>
      <c r="L36" s="2460" t="s">
        <v>723</v>
      </c>
      <c r="M36" s="2419">
        <v>0</v>
      </c>
      <c r="N36" s="2420" t="s">
        <v>285</v>
      </c>
      <c r="O36" s="845" t="s">
        <v>2454</v>
      </c>
      <c r="P36" s="936">
        <v>43039</v>
      </c>
      <c r="Q36" s="852" t="s">
        <v>2524</v>
      </c>
      <c r="R36" s="1275"/>
      <c r="S36" s="1832" t="s">
        <v>2744</v>
      </c>
      <c r="T36" s="693" t="s">
        <v>2743</v>
      </c>
    </row>
    <row r="37" spans="2:20" ht="15">
      <c r="B37" s="2414">
        <v>33</v>
      </c>
      <c r="C37" s="2670" t="s">
        <v>2776</v>
      </c>
      <c r="D37" s="2417" t="s">
        <v>2531</v>
      </c>
      <c r="E37" s="894">
        <v>8331117</v>
      </c>
      <c r="F37" s="2420" t="s">
        <v>2460</v>
      </c>
      <c r="G37" s="2460" t="s">
        <v>2770</v>
      </c>
      <c r="H37" s="839" t="s">
        <v>2754</v>
      </c>
      <c r="I37" s="2460"/>
      <c r="J37" s="2670" t="s">
        <v>834</v>
      </c>
      <c r="K37" s="2670" t="s">
        <v>694</v>
      </c>
      <c r="L37" s="2460" t="s">
        <v>723</v>
      </c>
      <c r="M37" s="2419">
        <v>0</v>
      </c>
      <c r="N37" s="2420" t="s">
        <v>285</v>
      </c>
      <c r="O37" s="845" t="s">
        <v>2769</v>
      </c>
      <c r="P37" s="936">
        <v>43050</v>
      </c>
      <c r="Q37" s="852" t="s">
        <v>2524</v>
      </c>
      <c r="R37" s="1275"/>
      <c r="S37" s="1832" t="s">
        <v>2755</v>
      </c>
    </row>
    <row r="38" spans="2:20" ht="15">
      <c r="B38" s="2414">
        <v>34</v>
      </c>
      <c r="C38" s="2670" t="s">
        <v>2776</v>
      </c>
      <c r="D38" s="2417" t="s">
        <v>2531</v>
      </c>
      <c r="E38" s="894">
        <v>8341117</v>
      </c>
      <c r="F38" s="2420" t="s">
        <v>2460</v>
      </c>
      <c r="G38" s="2460" t="s">
        <v>2770</v>
      </c>
      <c r="H38" s="839" t="s">
        <v>2771</v>
      </c>
      <c r="I38" s="2460"/>
      <c r="J38" s="2670" t="s">
        <v>834</v>
      </c>
      <c r="K38" s="2670" t="s">
        <v>694</v>
      </c>
      <c r="L38" s="2460" t="s">
        <v>723</v>
      </c>
      <c r="M38" s="2419">
        <v>0</v>
      </c>
      <c r="N38" s="2420" t="s">
        <v>285</v>
      </c>
      <c r="O38" s="845" t="s">
        <v>2788</v>
      </c>
      <c r="P38" s="936">
        <v>43052</v>
      </c>
      <c r="Q38" s="852" t="s">
        <v>2524</v>
      </c>
      <c r="R38" s="1275"/>
      <c r="S38" s="1832" t="s">
        <v>2773</v>
      </c>
    </row>
    <row r="39" spans="2:20" ht="15">
      <c r="B39" s="2414">
        <v>35</v>
      </c>
      <c r="C39" s="2670" t="s">
        <v>2776</v>
      </c>
      <c r="D39" s="2417" t="s">
        <v>2531</v>
      </c>
      <c r="E39" s="894">
        <v>8351117</v>
      </c>
      <c r="F39" s="2420" t="s">
        <v>2460</v>
      </c>
      <c r="G39" s="2460" t="s">
        <v>2770</v>
      </c>
      <c r="H39" s="839" t="s">
        <v>2772</v>
      </c>
      <c r="I39" s="2460"/>
      <c r="J39" s="2670" t="s">
        <v>834</v>
      </c>
      <c r="K39" s="2670" t="s">
        <v>694</v>
      </c>
      <c r="L39" s="2460" t="s">
        <v>723</v>
      </c>
      <c r="M39" s="2419">
        <v>0</v>
      </c>
      <c r="N39" s="2420" t="s">
        <v>285</v>
      </c>
      <c r="O39" s="845" t="s">
        <v>2788</v>
      </c>
      <c r="P39" s="936">
        <v>43052</v>
      </c>
      <c r="Q39" s="852" t="s">
        <v>2524</v>
      </c>
      <c r="R39" s="1275"/>
      <c r="S39" s="1832" t="s">
        <v>2789</v>
      </c>
    </row>
    <row r="40" spans="2:20" ht="15">
      <c r="B40" s="2414">
        <v>36</v>
      </c>
      <c r="C40" s="2670" t="s">
        <v>2776</v>
      </c>
      <c r="D40" s="2417" t="s">
        <v>2531</v>
      </c>
      <c r="E40" s="894">
        <v>8361117</v>
      </c>
      <c r="F40" s="2420" t="s">
        <v>2460</v>
      </c>
      <c r="G40" s="2460" t="s">
        <v>2770</v>
      </c>
      <c r="H40" s="839" t="s">
        <v>2754</v>
      </c>
      <c r="I40" s="2460"/>
      <c r="J40" s="2670" t="s">
        <v>834</v>
      </c>
      <c r="K40" s="2670" t="s">
        <v>694</v>
      </c>
      <c r="L40" s="2460" t="s">
        <v>723</v>
      </c>
      <c r="M40" s="2419">
        <v>0</v>
      </c>
      <c r="N40" s="2420" t="s">
        <v>285</v>
      </c>
      <c r="O40" s="845" t="s">
        <v>2785</v>
      </c>
      <c r="P40" s="936">
        <v>43054</v>
      </c>
      <c r="Q40" s="852" t="s">
        <v>2524</v>
      </c>
      <c r="R40" s="1275"/>
      <c r="S40" s="1832" t="s">
        <v>2786</v>
      </c>
    </row>
    <row r="41" spans="2:20" ht="15">
      <c r="B41" s="2414">
        <v>37</v>
      </c>
      <c r="C41" s="2670" t="s">
        <v>2776</v>
      </c>
      <c r="D41" s="2417" t="s">
        <v>2531</v>
      </c>
      <c r="E41" s="894">
        <v>8371117</v>
      </c>
      <c r="F41" s="2420" t="s">
        <v>2460</v>
      </c>
      <c r="G41" s="2460" t="s">
        <v>2770</v>
      </c>
      <c r="H41" s="839" t="s">
        <v>2754</v>
      </c>
      <c r="I41" s="2460"/>
      <c r="J41" s="2670" t="s">
        <v>834</v>
      </c>
      <c r="K41" s="2670" t="s">
        <v>694</v>
      </c>
      <c r="L41" s="2460" t="s">
        <v>723</v>
      </c>
      <c r="M41" s="2419">
        <v>0</v>
      </c>
      <c r="N41" s="2420" t="s">
        <v>285</v>
      </c>
      <c r="O41" s="845" t="s">
        <v>2785</v>
      </c>
      <c r="P41" s="936">
        <v>43054</v>
      </c>
      <c r="Q41" s="852" t="s">
        <v>2524</v>
      </c>
      <c r="R41" s="1275"/>
      <c r="S41" s="1832" t="s">
        <v>2787</v>
      </c>
    </row>
    <row r="42" spans="2:20" ht="15">
      <c r="B42" s="2414">
        <v>38</v>
      </c>
      <c r="C42" s="2670" t="s">
        <v>2776</v>
      </c>
      <c r="D42" s="2417" t="s">
        <v>2531</v>
      </c>
      <c r="E42" s="894">
        <v>8381117</v>
      </c>
      <c r="F42" s="2420" t="s">
        <v>2460</v>
      </c>
      <c r="G42" s="2460" t="s">
        <v>2770</v>
      </c>
      <c r="H42" s="839" t="s">
        <v>2792</v>
      </c>
      <c r="I42" s="2460"/>
      <c r="J42" s="2670" t="s">
        <v>834</v>
      </c>
      <c r="K42" s="2670" t="s">
        <v>694</v>
      </c>
      <c r="L42" s="2460" t="s">
        <v>723</v>
      </c>
      <c r="M42" s="2419">
        <v>0</v>
      </c>
      <c r="N42" s="2420" t="s">
        <v>285</v>
      </c>
      <c r="O42" s="845"/>
      <c r="P42" s="936">
        <v>43056</v>
      </c>
      <c r="Q42" s="852" t="s">
        <v>2524</v>
      </c>
      <c r="R42" s="1275"/>
      <c r="S42" s="1832" t="s">
        <v>2790</v>
      </c>
    </row>
    <row r="43" spans="2:20" ht="15.75" thickBot="1">
      <c r="B43" s="2740">
        <v>39</v>
      </c>
      <c r="C43" s="2741" t="s">
        <v>2776</v>
      </c>
      <c r="D43" s="2742" t="s">
        <v>2531</v>
      </c>
      <c r="E43" s="2747">
        <v>8391117</v>
      </c>
      <c r="F43" s="2743" t="s">
        <v>2460</v>
      </c>
      <c r="G43" s="2744" t="s">
        <v>2770</v>
      </c>
      <c r="H43" s="2746" t="s">
        <v>2754</v>
      </c>
      <c r="I43" s="2744"/>
      <c r="J43" s="2741" t="s">
        <v>834</v>
      </c>
      <c r="K43" s="2741" t="s">
        <v>694</v>
      </c>
      <c r="L43" s="2744" t="s">
        <v>723</v>
      </c>
      <c r="M43" s="2745">
        <v>0</v>
      </c>
      <c r="N43" s="2743" t="s">
        <v>285</v>
      </c>
      <c r="O43" s="2748"/>
      <c r="P43" s="2074">
        <v>43056</v>
      </c>
      <c r="Q43" s="2749" t="s">
        <v>2524</v>
      </c>
      <c r="R43" s="2750"/>
      <c r="S43" s="2751" t="s">
        <v>2791</v>
      </c>
    </row>
    <row r="44" spans="2:20" ht="15.75" thickTop="1">
      <c r="B44" s="2736">
        <v>40</v>
      </c>
      <c r="C44" s="2737" t="s">
        <v>2776</v>
      </c>
      <c r="D44" s="2463" t="s">
        <v>3062</v>
      </c>
      <c r="E44" s="942">
        <v>8010218</v>
      </c>
      <c r="F44" s="2738" t="s">
        <v>2460</v>
      </c>
      <c r="G44" s="2464" t="s">
        <v>2901</v>
      </c>
      <c r="H44" s="2754" t="s">
        <v>2897</v>
      </c>
      <c r="I44" s="2464"/>
      <c r="J44" s="2737" t="s">
        <v>834</v>
      </c>
      <c r="K44" s="2737" t="s">
        <v>694</v>
      </c>
      <c r="L44" s="2739" t="s">
        <v>723</v>
      </c>
      <c r="M44" s="2464">
        <v>0</v>
      </c>
      <c r="N44" s="2738" t="s">
        <v>285</v>
      </c>
      <c r="O44" s="2754" t="s">
        <v>2913</v>
      </c>
      <c r="P44" s="944">
        <v>43157</v>
      </c>
      <c r="Q44" s="2105" t="s">
        <v>2524</v>
      </c>
      <c r="R44" s="1274"/>
      <c r="S44" s="2738" t="s">
        <v>2902</v>
      </c>
      <c r="T44" s="2846" t="str">
        <f t="shared" ref="T44:T50" si="0">CONCATENATE(E44," ", F44," ", G44," ", H44," ", I44)</f>
        <v xml:space="preserve">8010218 MICHELLIN XZE2 3113 </v>
      </c>
    </row>
    <row r="45" spans="2:20" ht="15">
      <c r="B45" s="2414">
        <v>41</v>
      </c>
      <c r="C45" s="2670" t="s">
        <v>2776</v>
      </c>
      <c r="D45" s="2417" t="s">
        <v>3062</v>
      </c>
      <c r="E45" s="894">
        <v>8020218</v>
      </c>
      <c r="F45" s="2671" t="s">
        <v>247</v>
      </c>
      <c r="G45" s="2419" t="s">
        <v>2903</v>
      </c>
      <c r="H45" s="845" t="s">
        <v>2899</v>
      </c>
      <c r="I45" s="2419"/>
      <c r="J45" s="2670" t="s">
        <v>834</v>
      </c>
      <c r="K45" s="2670" t="s">
        <v>694</v>
      </c>
      <c r="L45" s="2460" t="s">
        <v>723</v>
      </c>
      <c r="M45" s="2419">
        <v>0</v>
      </c>
      <c r="N45" s="2415" t="s">
        <v>285</v>
      </c>
      <c r="O45" s="2669" t="s">
        <v>2913</v>
      </c>
      <c r="P45" s="936">
        <v>43157</v>
      </c>
      <c r="Q45" s="852" t="s">
        <v>2524</v>
      </c>
      <c r="R45" s="1275"/>
      <c r="S45" s="2415" t="s">
        <v>2902</v>
      </c>
      <c r="T45" s="2846" t="str">
        <f t="shared" si="0"/>
        <v xml:space="preserve">8020218 Double Happines DR908 2715 </v>
      </c>
    </row>
    <row r="46" spans="2:20" ht="15">
      <c r="B46" s="2414">
        <v>42</v>
      </c>
      <c r="C46" s="2670" t="s">
        <v>2776</v>
      </c>
      <c r="D46" s="2417" t="s">
        <v>3062</v>
      </c>
      <c r="E46" s="894">
        <v>8030218</v>
      </c>
      <c r="F46" s="2671" t="s">
        <v>247</v>
      </c>
      <c r="G46" s="2419" t="s">
        <v>2903</v>
      </c>
      <c r="H46" s="845" t="s">
        <v>2900</v>
      </c>
      <c r="I46" s="2419"/>
      <c r="J46" s="2670" t="s">
        <v>834</v>
      </c>
      <c r="K46" s="2670" t="s">
        <v>694</v>
      </c>
      <c r="L46" s="2460" t="s">
        <v>723</v>
      </c>
      <c r="M46" s="2419">
        <v>0</v>
      </c>
      <c r="N46" s="2415" t="s">
        <v>285</v>
      </c>
      <c r="O46" s="2669" t="s">
        <v>2913</v>
      </c>
      <c r="P46" s="936">
        <v>43157</v>
      </c>
      <c r="Q46" s="852" t="s">
        <v>2524</v>
      </c>
      <c r="R46" s="1275"/>
      <c r="S46" s="2415" t="s">
        <v>2902</v>
      </c>
      <c r="T46" s="2846" t="str">
        <f t="shared" si="0"/>
        <v xml:space="preserve">8030218 Double Happines DR908 2315 </v>
      </c>
    </row>
    <row r="47" spans="2:20" ht="15">
      <c r="B47" s="2414">
        <v>43</v>
      </c>
      <c r="C47" s="2670" t="s">
        <v>2776</v>
      </c>
      <c r="D47" s="2417" t="s">
        <v>3062</v>
      </c>
      <c r="E47" s="894">
        <v>8040218</v>
      </c>
      <c r="F47" s="2671" t="s">
        <v>247</v>
      </c>
      <c r="G47" s="2419" t="s">
        <v>2903</v>
      </c>
      <c r="H47" s="845" t="s">
        <v>2900</v>
      </c>
      <c r="I47" s="2419"/>
      <c r="J47" s="2670" t="s">
        <v>834</v>
      </c>
      <c r="K47" s="2670" t="s">
        <v>694</v>
      </c>
      <c r="L47" s="2460" t="s">
        <v>723</v>
      </c>
      <c r="M47" s="2419">
        <v>0</v>
      </c>
      <c r="N47" s="2415" t="s">
        <v>285</v>
      </c>
      <c r="O47" s="2669" t="s">
        <v>2913</v>
      </c>
      <c r="P47" s="936">
        <v>43157</v>
      </c>
      <c r="Q47" s="852" t="s">
        <v>2524</v>
      </c>
      <c r="R47" s="1275"/>
      <c r="S47" s="2415" t="s">
        <v>2902</v>
      </c>
      <c r="T47" s="2846" t="str">
        <f t="shared" si="0"/>
        <v xml:space="preserve">8040218 Double Happines DR908 2315 </v>
      </c>
    </row>
    <row r="48" spans="2:20" ht="15">
      <c r="B48" s="2414">
        <v>44</v>
      </c>
      <c r="C48" s="2670" t="s">
        <v>2776</v>
      </c>
      <c r="D48" s="2417" t="s">
        <v>3062</v>
      </c>
      <c r="E48" s="894">
        <v>8050218</v>
      </c>
      <c r="F48" s="2415" t="s">
        <v>291</v>
      </c>
      <c r="G48" s="2419" t="s">
        <v>2904</v>
      </c>
      <c r="H48" s="845">
        <v>4015</v>
      </c>
      <c r="I48" s="2419"/>
      <c r="J48" s="2670" t="s">
        <v>834</v>
      </c>
      <c r="K48" s="2670" t="s">
        <v>694</v>
      </c>
      <c r="L48" s="2460" t="s">
        <v>723</v>
      </c>
      <c r="M48" s="2419">
        <v>0</v>
      </c>
      <c r="N48" s="2415" t="s">
        <v>285</v>
      </c>
      <c r="O48" s="2669" t="s">
        <v>2913</v>
      </c>
      <c r="P48" s="936">
        <v>43157</v>
      </c>
      <c r="Q48" s="852" t="s">
        <v>2524</v>
      </c>
      <c r="R48" s="1275"/>
      <c r="S48" s="2415" t="s">
        <v>2902</v>
      </c>
      <c r="T48" s="2846" t="str">
        <f t="shared" si="0"/>
        <v xml:space="preserve">8050218 Brigestone R150 4015 </v>
      </c>
    </row>
    <row r="49" spans="2:20" ht="15">
      <c r="B49" s="2414">
        <v>45</v>
      </c>
      <c r="C49" s="2670" t="s">
        <v>2776</v>
      </c>
      <c r="D49" s="2417" t="s">
        <v>3062</v>
      </c>
      <c r="E49" s="894">
        <v>8060218</v>
      </c>
      <c r="F49" s="2415" t="s">
        <v>291</v>
      </c>
      <c r="G49" s="2419" t="s">
        <v>2904</v>
      </c>
      <c r="H49" s="845">
        <v>4015</v>
      </c>
      <c r="I49" s="2419"/>
      <c r="J49" s="2670" t="s">
        <v>834</v>
      </c>
      <c r="K49" s="2670" t="s">
        <v>694</v>
      </c>
      <c r="L49" s="2460" t="s">
        <v>723</v>
      </c>
      <c r="M49" s="2419">
        <v>0</v>
      </c>
      <c r="N49" s="2415" t="s">
        <v>285</v>
      </c>
      <c r="O49" s="2669" t="s">
        <v>2913</v>
      </c>
      <c r="P49" s="936">
        <v>43157</v>
      </c>
      <c r="Q49" s="852" t="s">
        <v>2524</v>
      </c>
      <c r="R49" s="1275"/>
      <c r="S49" s="2415" t="s">
        <v>2902</v>
      </c>
      <c r="T49" s="2846" t="str">
        <f t="shared" si="0"/>
        <v xml:space="preserve">8060218 Brigestone R150 4015 </v>
      </c>
    </row>
    <row r="50" spans="2:20" ht="15">
      <c r="B50" s="2414">
        <v>46</v>
      </c>
      <c r="C50" s="2670" t="s">
        <v>2776</v>
      </c>
      <c r="D50" s="2417" t="s">
        <v>2905</v>
      </c>
      <c r="E50" s="894" t="s">
        <v>2959</v>
      </c>
      <c r="F50" s="2420" t="s">
        <v>2958</v>
      </c>
      <c r="G50" s="2460" t="s">
        <v>2963</v>
      </c>
      <c r="H50" s="845" t="s">
        <v>2962</v>
      </c>
      <c r="I50" s="2460"/>
      <c r="J50" s="2670" t="s">
        <v>2960</v>
      </c>
      <c r="K50" s="2670" t="s">
        <v>694</v>
      </c>
      <c r="L50" s="2460" t="s">
        <v>723</v>
      </c>
      <c r="M50" s="2419">
        <v>0</v>
      </c>
      <c r="N50" s="2420" t="s">
        <v>285</v>
      </c>
      <c r="O50" s="2669" t="s">
        <v>3000</v>
      </c>
      <c r="P50" s="936">
        <v>43182</v>
      </c>
      <c r="Q50" s="852" t="s">
        <v>2524</v>
      </c>
      <c r="R50" s="1275"/>
      <c r="S50" s="2420" t="s">
        <v>2961</v>
      </c>
      <c r="T50" s="2846" t="str">
        <f t="shared" si="0"/>
        <v xml:space="preserve">807-03-18 DUNHOPE DH678 0116 </v>
      </c>
    </row>
    <row r="51" spans="2:20" ht="15">
      <c r="B51" s="2414">
        <v>47</v>
      </c>
      <c r="C51" s="2670" t="s">
        <v>2776</v>
      </c>
      <c r="D51" s="2417" t="s">
        <v>2999</v>
      </c>
      <c r="E51" s="894">
        <v>8080418</v>
      </c>
      <c r="F51" s="2420" t="s">
        <v>724</v>
      </c>
      <c r="G51" s="2460" t="s">
        <v>259</v>
      </c>
      <c r="H51" s="845">
        <v>1614</v>
      </c>
      <c r="I51" s="2460" t="s">
        <v>3012</v>
      </c>
      <c r="J51" s="2670" t="s">
        <v>183</v>
      </c>
      <c r="K51" s="2670" t="s">
        <v>694</v>
      </c>
      <c r="L51" s="2460" t="s">
        <v>723</v>
      </c>
      <c r="M51" s="2419">
        <v>0</v>
      </c>
      <c r="N51" s="2420" t="s">
        <v>285</v>
      </c>
      <c r="O51" s="845" t="s">
        <v>3018</v>
      </c>
      <c r="P51" s="936">
        <v>43193</v>
      </c>
      <c r="Q51" s="852" t="s">
        <v>2524</v>
      </c>
      <c r="R51" s="1275"/>
      <c r="S51" s="2415" t="s">
        <v>2902</v>
      </c>
      <c r="T51" s="2846" t="str">
        <f>CONCATENATE(E51," ", F51," ", G51," ", H51," ", I51)</f>
        <v>8080418 Aeolus HN353 1614 China</v>
      </c>
    </row>
    <row r="52" spans="2:20" ht="15">
      <c r="B52" s="2414">
        <v>48</v>
      </c>
      <c r="C52" s="2670" t="s">
        <v>2776</v>
      </c>
      <c r="D52" s="2417" t="s">
        <v>2999</v>
      </c>
      <c r="E52" s="894">
        <v>8090418</v>
      </c>
      <c r="F52" s="2420" t="s">
        <v>724</v>
      </c>
      <c r="G52" s="2460" t="s">
        <v>3007</v>
      </c>
      <c r="H52" s="2669">
        <v>1514</v>
      </c>
      <c r="I52" s="2460" t="s">
        <v>3012</v>
      </c>
      <c r="J52" s="2670" t="s">
        <v>834</v>
      </c>
      <c r="K52" s="2670" t="s">
        <v>694</v>
      </c>
      <c r="L52" s="2460" t="s">
        <v>723</v>
      </c>
      <c r="M52" s="2419">
        <v>0</v>
      </c>
      <c r="N52" s="2420" t="s">
        <v>285</v>
      </c>
      <c r="O52" s="845" t="s">
        <v>3018</v>
      </c>
      <c r="P52" s="936">
        <v>43193</v>
      </c>
      <c r="Q52" s="852" t="s">
        <v>2524</v>
      </c>
      <c r="R52" s="1275"/>
      <c r="S52" s="2415" t="s">
        <v>2902</v>
      </c>
      <c r="T52" s="2846" t="str">
        <f t="shared" ref="T52:T70" si="1">CONCATENATE(E52," ", F52," ", G52," ", H52," ", I52)</f>
        <v>8090418 Aeolus HN08 1514 China</v>
      </c>
    </row>
    <row r="53" spans="2:20" ht="15">
      <c r="B53" s="2414">
        <v>49</v>
      </c>
      <c r="C53" s="2670" t="s">
        <v>2776</v>
      </c>
      <c r="D53" s="2417" t="s">
        <v>2999</v>
      </c>
      <c r="E53" s="894">
        <v>8100418</v>
      </c>
      <c r="F53" s="2420" t="s">
        <v>3005</v>
      </c>
      <c r="G53" s="2460" t="s">
        <v>3008</v>
      </c>
      <c r="H53" s="2669">
        <v>4615</v>
      </c>
      <c r="I53" s="2460" t="s">
        <v>3012</v>
      </c>
      <c r="J53" s="2670" t="s">
        <v>183</v>
      </c>
      <c r="K53" s="2670" t="s">
        <v>694</v>
      </c>
      <c r="L53" s="2460" t="s">
        <v>723</v>
      </c>
      <c r="M53" s="2419">
        <v>0</v>
      </c>
      <c r="N53" s="2420" t="s">
        <v>285</v>
      </c>
      <c r="O53" s="845" t="s">
        <v>3018</v>
      </c>
      <c r="P53" s="936">
        <v>43193</v>
      </c>
      <c r="Q53" s="852" t="s">
        <v>2524</v>
      </c>
      <c r="R53" s="1275"/>
      <c r="S53" s="2415" t="s">
        <v>2902</v>
      </c>
      <c r="T53" s="2846" t="str">
        <f t="shared" si="1"/>
        <v>8100418 KAPSEN HS268 4615 China</v>
      </c>
    </row>
    <row r="54" spans="2:20" ht="15">
      <c r="B54" s="2414">
        <v>50</v>
      </c>
      <c r="C54" s="2670" t="s">
        <v>2776</v>
      </c>
      <c r="D54" s="2417" t="s">
        <v>2999</v>
      </c>
      <c r="E54" s="894">
        <v>8110418</v>
      </c>
      <c r="F54" s="2420" t="s">
        <v>2571</v>
      </c>
      <c r="G54" s="2460" t="s">
        <v>3009</v>
      </c>
      <c r="H54" s="845" t="s">
        <v>3006</v>
      </c>
      <c r="I54" s="2460" t="s">
        <v>3013</v>
      </c>
      <c r="J54" s="2670" t="s">
        <v>183</v>
      </c>
      <c r="K54" s="2670" t="s">
        <v>694</v>
      </c>
      <c r="L54" s="2460" t="s">
        <v>723</v>
      </c>
      <c r="M54" s="2419">
        <v>0</v>
      </c>
      <c r="N54" s="2420" t="s">
        <v>285</v>
      </c>
      <c r="O54" s="845" t="s">
        <v>3018</v>
      </c>
      <c r="P54" s="936">
        <v>43193</v>
      </c>
      <c r="Q54" s="852" t="s">
        <v>2524</v>
      </c>
      <c r="R54" s="1275"/>
      <c r="S54" s="2415" t="s">
        <v>2902</v>
      </c>
      <c r="T54" s="2846" t="str">
        <f t="shared" si="1"/>
        <v>8110418 Continental HDL 0513 U.S:A.</v>
      </c>
    </row>
    <row r="55" spans="2:20" ht="15">
      <c r="B55" s="2414">
        <v>51</v>
      </c>
      <c r="C55" s="2670" t="s">
        <v>2742</v>
      </c>
      <c r="D55" s="2417" t="s">
        <v>2999</v>
      </c>
      <c r="E55" s="894">
        <v>8120418</v>
      </c>
      <c r="F55" s="2415" t="s">
        <v>3020</v>
      </c>
      <c r="G55" s="2890" t="s">
        <v>3021</v>
      </c>
      <c r="H55" s="845" t="s">
        <v>3022</v>
      </c>
      <c r="I55" s="2460" t="s">
        <v>3012</v>
      </c>
      <c r="J55" s="2670" t="s">
        <v>834</v>
      </c>
      <c r="K55" s="2670" t="s">
        <v>3023</v>
      </c>
      <c r="L55" s="2460" t="s">
        <v>732</v>
      </c>
      <c r="M55" s="2419">
        <v>1</v>
      </c>
      <c r="N55" s="2420" t="s">
        <v>3027</v>
      </c>
      <c r="O55" s="845" t="s">
        <v>3024</v>
      </c>
      <c r="P55" s="936" t="s">
        <v>3025</v>
      </c>
      <c r="Q55" s="852" t="s">
        <v>2524</v>
      </c>
      <c r="R55" s="1275"/>
      <c r="S55" s="2420" t="s">
        <v>3026</v>
      </c>
      <c r="T55" s="2846" t="str">
        <f t="shared" si="1"/>
        <v>8120418 Double Star DSR168 2511 China</v>
      </c>
    </row>
    <row r="56" spans="2:20" ht="15">
      <c r="B56" s="2414">
        <v>52</v>
      </c>
      <c r="C56" s="2670" t="s">
        <v>2776</v>
      </c>
      <c r="D56" s="2417" t="s">
        <v>2999</v>
      </c>
      <c r="E56" s="894">
        <v>8130418</v>
      </c>
      <c r="F56" s="2415" t="s">
        <v>3029</v>
      </c>
      <c r="G56" s="2419" t="s">
        <v>3030</v>
      </c>
      <c r="H56" s="2669" t="s">
        <v>3031</v>
      </c>
      <c r="I56" s="2419" t="s">
        <v>3012</v>
      </c>
      <c r="J56" s="2670" t="s">
        <v>183</v>
      </c>
      <c r="K56" s="2670" t="s">
        <v>694</v>
      </c>
      <c r="L56" s="2419" t="s">
        <v>723</v>
      </c>
      <c r="M56" s="2419">
        <v>0</v>
      </c>
      <c r="N56" s="2415" t="s">
        <v>285</v>
      </c>
      <c r="O56" s="845" t="s">
        <v>3053</v>
      </c>
      <c r="P56" s="936">
        <v>43199</v>
      </c>
      <c r="Q56" s="852" t="s">
        <v>2524</v>
      </c>
      <c r="R56" s="1275"/>
      <c r="S56" s="2415" t="s">
        <v>2902</v>
      </c>
      <c r="T56" s="2846" t="str">
        <f t="shared" si="1"/>
        <v>8130418 Triangle TR668 0415 China</v>
      </c>
    </row>
    <row r="57" spans="2:20" ht="15">
      <c r="B57" s="2414">
        <v>53</v>
      </c>
      <c r="C57" s="2670" t="s">
        <v>2776</v>
      </c>
      <c r="D57" s="2417" t="s">
        <v>2999</v>
      </c>
      <c r="E57" s="894">
        <v>8140418</v>
      </c>
      <c r="F57" s="2415" t="s">
        <v>3029</v>
      </c>
      <c r="G57" s="2419" t="s">
        <v>3030</v>
      </c>
      <c r="H57" s="2669" t="s">
        <v>3031</v>
      </c>
      <c r="I57" s="2419" t="s">
        <v>3012</v>
      </c>
      <c r="J57" s="2670" t="s">
        <v>183</v>
      </c>
      <c r="K57" s="2670" t="s">
        <v>694</v>
      </c>
      <c r="L57" s="2419" t="s">
        <v>723</v>
      </c>
      <c r="M57" s="2419">
        <v>0</v>
      </c>
      <c r="N57" s="2415" t="s">
        <v>285</v>
      </c>
      <c r="O57" s="845" t="s">
        <v>3053</v>
      </c>
      <c r="P57" s="936">
        <v>43199</v>
      </c>
      <c r="Q57" s="852" t="s">
        <v>2524</v>
      </c>
      <c r="R57" s="1275"/>
      <c r="S57" s="2415" t="s">
        <v>2902</v>
      </c>
      <c r="T57" s="2846" t="str">
        <f t="shared" si="1"/>
        <v>8140418 Triangle TR668 0415 China</v>
      </c>
    </row>
    <row r="58" spans="2:20" ht="15">
      <c r="B58" s="2414">
        <v>54</v>
      </c>
      <c r="C58" s="2670" t="s">
        <v>2776</v>
      </c>
      <c r="D58" s="2417" t="s">
        <v>2999</v>
      </c>
      <c r="E58" s="894">
        <v>8150418</v>
      </c>
      <c r="F58" s="2415" t="s">
        <v>3035</v>
      </c>
      <c r="G58" s="2419" t="s">
        <v>3036</v>
      </c>
      <c r="H58" s="2669" t="s">
        <v>3033</v>
      </c>
      <c r="I58" s="2419" t="s">
        <v>3012</v>
      </c>
      <c r="J58" s="2670" t="s">
        <v>183</v>
      </c>
      <c r="K58" s="2670" t="s">
        <v>694</v>
      </c>
      <c r="L58" s="2419" t="s">
        <v>723</v>
      </c>
      <c r="M58" s="2419">
        <v>0</v>
      </c>
      <c r="N58" s="2415" t="s">
        <v>285</v>
      </c>
      <c r="O58" s="845" t="s">
        <v>3053</v>
      </c>
      <c r="P58" s="936">
        <v>43199</v>
      </c>
      <c r="Q58" s="852" t="s">
        <v>2524</v>
      </c>
      <c r="R58" s="1275"/>
      <c r="S58" s="2415" t="s">
        <v>2902</v>
      </c>
      <c r="T58" s="2846" t="str">
        <f t="shared" si="1"/>
        <v>8150418 Ornet ORI05 4714 China</v>
      </c>
    </row>
    <row r="59" spans="2:20" ht="15">
      <c r="B59" s="2414">
        <v>55</v>
      </c>
      <c r="C59" s="2670" t="s">
        <v>2776</v>
      </c>
      <c r="D59" s="2417" t="s">
        <v>2999</v>
      </c>
      <c r="E59" s="894">
        <v>8160418</v>
      </c>
      <c r="F59" s="2415" t="s">
        <v>1108</v>
      </c>
      <c r="G59" s="2419" t="s">
        <v>3037</v>
      </c>
      <c r="H59" s="2669" t="s">
        <v>3034</v>
      </c>
      <c r="I59" s="2419" t="s">
        <v>3032</v>
      </c>
      <c r="J59" s="2670" t="s">
        <v>183</v>
      </c>
      <c r="K59" s="2670" t="s">
        <v>694</v>
      </c>
      <c r="L59" s="2419" t="s">
        <v>723</v>
      </c>
      <c r="M59" s="2419">
        <v>0</v>
      </c>
      <c r="N59" s="2415" t="s">
        <v>285</v>
      </c>
      <c r="O59" s="845" t="s">
        <v>3053</v>
      </c>
      <c r="P59" s="936">
        <v>43199</v>
      </c>
      <c r="Q59" s="852" t="s">
        <v>2524</v>
      </c>
      <c r="R59" s="1275"/>
      <c r="S59" s="2415" t="s">
        <v>2902</v>
      </c>
      <c r="T59" s="2846" t="str">
        <f t="shared" si="1"/>
        <v>8160418 Hankook AM06 4312 Korea</v>
      </c>
    </row>
    <row r="60" spans="2:20" ht="15">
      <c r="B60" s="2414">
        <v>56</v>
      </c>
      <c r="C60" s="2670" t="s">
        <v>2742</v>
      </c>
      <c r="D60" s="2417" t="s">
        <v>2999</v>
      </c>
      <c r="E60" s="894">
        <v>8170418</v>
      </c>
      <c r="F60" s="2420" t="s">
        <v>2877</v>
      </c>
      <c r="G60" s="2460" t="s">
        <v>3059</v>
      </c>
      <c r="H60" s="845" t="s">
        <v>2878</v>
      </c>
      <c r="I60" s="2460" t="s">
        <v>3060</v>
      </c>
      <c r="J60" s="2670" t="s">
        <v>183</v>
      </c>
      <c r="K60" s="2670" t="s">
        <v>693</v>
      </c>
      <c r="L60" s="2460" t="s">
        <v>732</v>
      </c>
      <c r="M60" s="2419">
        <v>1</v>
      </c>
      <c r="N60" s="2420" t="s">
        <v>3027</v>
      </c>
      <c r="O60" s="845" t="s">
        <v>3024</v>
      </c>
      <c r="P60" s="936" t="s">
        <v>3025</v>
      </c>
      <c r="Q60" s="852" t="s">
        <v>2524</v>
      </c>
      <c r="R60" s="1275"/>
      <c r="S60" s="2420" t="s">
        <v>3026</v>
      </c>
      <c r="T60" s="2846" t="str">
        <f t="shared" si="1"/>
        <v>8170418 Pirelli RT59 0710 Brasil</v>
      </c>
    </row>
    <row r="61" spans="2:20" ht="15">
      <c r="B61" s="2414">
        <v>57</v>
      </c>
      <c r="C61" s="2670" t="s">
        <v>3061</v>
      </c>
      <c r="D61" s="2417" t="s">
        <v>2999</v>
      </c>
      <c r="E61" s="894">
        <v>8180418</v>
      </c>
      <c r="F61" s="2415" t="s">
        <v>757</v>
      </c>
      <c r="G61" s="2419" t="s">
        <v>3067</v>
      </c>
      <c r="H61" s="2669" t="s">
        <v>3070</v>
      </c>
      <c r="I61" s="2419" t="s">
        <v>3060</v>
      </c>
      <c r="J61" s="2670" t="s">
        <v>183</v>
      </c>
      <c r="K61" s="2670" t="s">
        <v>3308</v>
      </c>
      <c r="L61" s="2419" t="s">
        <v>723</v>
      </c>
      <c r="M61" s="2419"/>
      <c r="N61" s="2415" t="s">
        <v>285</v>
      </c>
      <c r="O61" s="2669"/>
      <c r="P61" s="936">
        <v>43215</v>
      </c>
      <c r="Q61" s="852" t="s">
        <v>2524</v>
      </c>
      <c r="R61" s="1275"/>
      <c r="S61" s="2894" t="s">
        <v>2902</v>
      </c>
      <c r="T61" s="2846" t="str">
        <f t="shared" si="1"/>
        <v>8180418 Goodyear G677 1012 Brasil</v>
      </c>
    </row>
    <row r="62" spans="2:20" ht="15">
      <c r="B62" s="2414">
        <v>58</v>
      </c>
      <c r="C62" s="2670" t="s">
        <v>3061</v>
      </c>
      <c r="D62" s="2417" t="s">
        <v>2999</v>
      </c>
      <c r="E62" s="894">
        <v>8190418</v>
      </c>
      <c r="F62" s="2415" t="s">
        <v>3065</v>
      </c>
      <c r="G62" s="2419" t="s">
        <v>3068</v>
      </c>
      <c r="H62" s="2669" t="s">
        <v>3071</v>
      </c>
      <c r="I62" s="2419" t="s">
        <v>3074</v>
      </c>
      <c r="J62" s="2670" t="s">
        <v>834</v>
      </c>
      <c r="K62" s="2670" t="s">
        <v>694</v>
      </c>
      <c r="L62" s="2419" t="s">
        <v>723</v>
      </c>
      <c r="M62" s="2419"/>
      <c r="N62" s="2415" t="s">
        <v>285</v>
      </c>
      <c r="O62" s="2669"/>
      <c r="P62" s="936">
        <v>43215</v>
      </c>
      <c r="Q62" s="852" t="s">
        <v>2524</v>
      </c>
      <c r="R62" s="1275"/>
      <c r="S62" s="2894" t="s">
        <v>2902</v>
      </c>
      <c r="T62" s="2846" t="str">
        <f t="shared" si="1"/>
        <v>8190418 Yokohama RY237 3512 Tailandia</v>
      </c>
    </row>
    <row r="63" spans="2:20" ht="15">
      <c r="B63" s="2414">
        <v>59</v>
      </c>
      <c r="C63" s="2670" t="s">
        <v>3061</v>
      </c>
      <c r="D63" s="2417" t="s">
        <v>2999</v>
      </c>
      <c r="E63" s="894">
        <v>8200418</v>
      </c>
      <c r="F63" s="2415" t="s">
        <v>3066</v>
      </c>
      <c r="G63" s="2419" t="s">
        <v>3069</v>
      </c>
      <c r="H63" s="2669" t="s">
        <v>3072</v>
      </c>
      <c r="I63" s="2419" t="s">
        <v>3012</v>
      </c>
      <c r="J63" s="2670" t="s">
        <v>834</v>
      </c>
      <c r="K63" s="2670" t="s">
        <v>694</v>
      </c>
      <c r="L63" s="2419" t="s">
        <v>723</v>
      </c>
      <c r="M63" s="2419"/>
      <c r="N63" s="2415" t="s">
        <v>285</v>
      </c>
      <c r="O63" s="2669"/>
      <c r="P63" s="936">
        <v>43215</v>
      </c>
      <c r="Q63" s="852" t="s">
        <v>2524</v>
      </c>
      <c r="R63" s="1275"/>
      <c r="S63" s="2894" t="s">
        <v>2902</v>
      </c>
      <c r="T63" s="2846" t="str">
        <f t="shared" si="1"/>
        <v>8200418 Roadwing WS118 4416 China</v>
      </c>
    </row>
    <row r="64" spans="2:20" ht="15">
      <c r="B64" s="2414">
        <v>60</v>
      </c>
      <c r="C64" s="2670" t="s">
        <v>3061</v>
      </c>
      <c r="D64" s="2417" t="s">
        <v>2999</v>
      </c>
      <c r="E64" s="894">
        <v>8210418</v>
      </c>
      <c r="F64" s="2415" t="s">
        <v>3029</v>
      </c>
      <c r="G64" s="2419" t="s">
        <v>3030</v>
      </c>
      <c r="H64" s="2669" t="s">
        <v>3073</v>
      </c>
      <c r="I64" s="2419" t="s">
        <v>3012</v>
      </c>
      <c r="J64" s="2670" t="s">
        <v>834</v>
      </c>
      <c r="K64" s="2670" t="s">
        <v>694</v>
      </c>
      <c r="L64" s="2419" t="s">
        <v>723</v>
      </c>
      <c r="M64" s="2419"/>
      <c r="N64" s="2415" t="s">
        <v>285</v>
      </c>
      <c r="O64" s="2669"/>
      <c r="P64" s="936">
        <v>43215</v>
      </c>
      <c r="Q64" s="852" t="s">
        <v>2524</v>
      </c>
      <c r="R64" s="1275"/>
      <c r="S64" s="2894" t="s">
        <v>2902</v>
      </c>
      <c r="T64" s="2846" t="str">
        <f t="shared" si="1"/>
        <v>8210418 Triangle TR668 4715 China</v>
      </c>
    </row>
    <row r="65" spans="2:20" ht="15">
      <c r="B65" s="2414">
        <v>61</v>
      </c>
      <c r="C65" s="2670" t="s">
        <v>3061</v>
      </c>
      <c r="D65" s="2417" t="s">
        <v>2999</v>
      </c>
      <c r="E65" s="894">
        <v>8220418</v>
      </c>
      <c r="F65" s="2420" t="s">
        <v>2877</v>
      </c>
      <c r="G65" s="2460" t="s">
        <v>3083</v>
      </c>
      <c r="H65" s="845" t="s">
        <v>3084</v>
      </c>
      <c r="I65" s="2460" t="s">
        <v>3060</v>
      </c>
      <c r="J65" s="2670" t="s">
        <v>183</v>
      </c>
      <c r="K65" s="2670" t="s">
        <v>693</v>
      </c>
      <c r="L65" s="2460" t="s">
        <v>732</v>
      </c>
      <c r="M65" s="2419"/>
      <c r="N65" s="2420" t="s">
        <v>285</v>
      </c>
      <c r="O65" s="2669"/>
      <c r="P65" s="936">
        <v>43220</v>
      </c>
      <c r="Q65" s="852" t="s">
        <v>2524</v>
      </c>
      <c r="R65" s="1275"/>
      <c r="S65" s="2894" t="s">
        <v>2902</v>
      </c>
      <c r="T65" s="2846" t="str">
        <f t="shared" si="1"/>
        <v>8220418 Pirelli CT65 2408 Brasil</v>
      </c>
    </row>
    <row r="66" spans="2:20" ht="15">
      <c r="B66" s="2414">
        <v>62</v>
      </c>
      <c r="C66" s="2670" t="s">
        <v>2742</v>
      </c>
      <c r="D66" s="2417" t="s">
        <v>2999</v>
      </c>
      <c r="E66" s="894">
        <v>8230518</v>
      </c>
      <c r="F66" s="2415" t="s">
        <v>3029</v>
      </c>
      <c r="G66" s="2419" t="s">
        <v>3030</v>
      </c>
      <c r="H66" s="2669" t="s">
        <v>3137</v>
      </c>
      <c r="I66" s="2419" t="s">
        <v>3012</v>
      </c>
      <c r="J66" s="2670" t="s">
        <v>183</v>
      </c>
      <c r="K66" s="2670" t="s">
        <v>694</v>
      </c>
      <c r="L66" s="2419" t="s">
        <v>723</v>
      </c>
      <c r="M66" s="2419">
        <v>0</v>
      </c>
      <c r="N66" s="2420" t="s">
        <v>285</v>
      </c>
      <c r="O66" s="2669"/>
      <c r="P66" s="936">
        <v>43248</v>
      </c>
      <c r="Q66" s="852" t="s">
        <v>2524</v>
      </c>
      <c r="R66" s="1275"/>
      <c r="S66" s="1832" t="s">
        <v>3136</v>
      </c>
      <c r="T66" s="2846" t="str">
        <f t="shared" si="1"/>
        <v>8230518 Triangle TR668 3215 China</v>
      </c>
    </row>
    <row r="67" spans="2:20" ht="15">
      <c r="B67" s="2414">
        <v>63</v>
      </c>
      <c r="C67" s="2670" t="s">
        <v>2742</v>
      </c>
      <c r="D67" s="2417" t="s">
        <v>2999</v>
      </c>
      <c r="E67" s="894" t="s">
        <v>3192</v>
      </c>
      <c r="F67" s="2415" t="s">
        <v>737</v>
      </c>
      <c r="G67" s="2931" t="s">
        <v>2287</v>
      </c>
      <c r="H67" s="845" t="s">
        <v>3198</v>
      </c>
      <c r="I67" s="2419" t="s">
        <v>3012</v>
      </c>
      <c r="J67" s="2670" t="s">
        <v>834</v>
      </c>
      <c r="K67" s="2670" t="s">
        <v>3196</v>
      </c>
      <c r="L67" s="2419" t="s">
        <v>723</v>
      </c>
      <c r="M67" s="2419">
        <v>0</v>
      </c>
      <c r="N67" s="2415" t="s">
        <v>3197</v>
      </c>
      <c r="O67" s="845" t="s">
        <v>3024</v>
      </c>
      <c r="P67" s="936">
        <v>43264</v>
      </c>
      <c r="Q67" s="852" t="s">
        <v>2524</v>
      </c>
      <c r="R67" s="1275"/>
      <c r="S67" s="1832" t="s">
        <v>3204</v>
      </c>
      <c r="T67" s="2846" t="str">
        <f t="shared" si="1"/>
        <v>824-06-18 Vikrant VALIANT VUH 2714 China</v>
      </c>
    </row>
    <row r="68" spans="2:20" ht="15">
      <c r="B68" s="2414">
        <v>64</v>
      </c>
      <c r="C68" s="2670" t="s">
        <v>3061</v>
      </c>
      <c r="D68" s="2417" t="s">
        <v>2999</v>
      </c>
      <c r="E68" s="894">
        <v>8250618</v>
      </c>
      <c r="F68" s="2415" t="s">
        <v>757</v>
      </c>
      <c r="G68" s="2419" t="s">
        <v>3194</v>
      </c>
      <c r="H68" s="2669" t="s">
        <v>3193</v>
      </c>
      <c r="I68" s="2419" t="s">
        <v>3195</v>
      </c>
      <c r="J68" s="2670" t="s">
        <v>834</v>
      </c>
      <c r="K68" s="2670" t="s">
        <v>693</v>
      </c>
      <c r="L68" s="2419" t="s">
        <v>732</v>
      </c>
      <c r="M68" s="2419">
        <v>1</v>
      </c>
      <c r="N68" s="2415" t="s">
        <v>285</v>
      </c>
      <c r="O68" s="2669"/>
      <c r="P68" s="936">
        <v>43273</v>
      </c>
      <c r="Q68" s="852" t="s">
        <v>2524</v>
      </c>
      <c r="R68" s="1275"/>
      <c r="S68" s="2894" t="s">
        <v>2902</v>
      </c>
      <c r="T68" s="2846" t="str">
        <f t="shared" si="1"/>
        <v>8250618 Goodyear CT165 3509 Peru</v>
      </c>
    </row>
    <row r="69" spans="2:20" ht="15">
      <c r="B69" s="2414">
        <v>65</v>
      </c>
      <c r="C69" s="2670" t="s">
        <v>3061</v>
      </c>
      <c r="D69" s="2417" t="s">
        <v>2999</v>
      </c>
      <c r="E69" s="894">
        <v>8260618</v>
      </c>
      <c r="F69" s="2420" t="s">
        <v>551</v>
      </c>
      <c r="G69" s="2670" t="s">
        <v>3201</v>
      </c>
      <c r="H69" s="845" t="s">
        <v>3202</v>
      </c>
      <c r="I69" s="2460" t="s">
        <v>3203</v>
      </c>
      <c r="J69" s="2670" t="s">
        <v>834</v>
      </c>
      <c r="K69" s="2670" t="s">
        <v>693</v>
      </c>
      <c r="L69" s="2460" t="s">
        <v>732</v>
      </c>
      <c r="M69" s="2419">
        <v>1</v>
      </c>
      <c r="N69" s="2420" t="s">
        <v>285</v>
      </c>
      <c r="O69" s="2669"/>
      <c r="P69" s="936">
        <v>43276</v>
      </c>
      <c r="Q69" s="852" t="s">
        <v>2524</v>
      </c>
      <c r="R69" s="1275"/>
      <c r="S69" s="2894" t="s">
        <v>2902</v>
      </c>
      <c r="T69" s="2846" t="str">
        <f t="shared" si="1"/>
        <v>8260618 MRF SuperLug78 0111 India</v>
      </c>
    </row>
    <row r="70" spans="2:20" ht="15">
      <c r="B70" s="2414">
        <v>66</v>
      </c>
      <c r="C70" s="2670" t="s">
        <v>3208</v>
      </c>
      <c r="D70" s="2417" t="s">
        <v>2999</v>
      </c>
      <c r="E70" s="894">
        <v>8270618</v>
      </c>
      <c r="F70" s="2420" t="s">
        <v>3205</v>
      </c>
      <c r="G70" s="2460" t="s">
        <v>3206</v>
      </c>
      <c r="H70" s="845" t="s">
        <v>3207</v>
      </c>
      <c r="I70" s="2460" t="s">
        <v>3012</v>
      </c>
      <c r="J70" s="2670" t="s">
        <v>183</v>
      </c>
      <c r="K70" s="2670" t="s">
        <v>694</v>
      </c>
      <c r="L70" s="2460" t="s">
        <v>723</v>
      </c>
      <c r="M70" s="2419">
        <v>0</v>
      </c>
      <c r="N70" s="2420" t="s">
        <v>285</v>
      </c>
      <c r="O70" s="2669"/>
      <c r="P70" s="936">
        <v>43276</v>
      </c>
      <c r="Q70" s="852" t="s">
        <v>2524</v>
      </c>
      <c r="R70" s="1275"/>
      <c r="S70" s="2894" t="s">
        <v>2902</v>
      </c>
      <c r="T70" s="2846" t="str">
        <f t="shared" si="1"/>
        <v>8270618 LEAO F816 0216 China</v>
      </c>
    </row>
    <row r="71" spans="2:20" ht="15">
      <c r="B71" s="2414">
        <v>67</v>
      </c>
      <c r="C71" s="2670" t="s">
        <v>3061</v>
      </c>
      <c r="D71" s="2417" t="s">
        <v>2999</v>
      </c>
      <c r="E71" s="894">
        <v>8280718</v>
      </c>
      <c r="F71" s="2420" t="s">
        <v>3235</v>
      </c>
      <c r="G71" s="2460" t="s">
        <v>3236</v>
      </c>
      <c r="H71" s="845" t="s">
        <v>3237</v>
      </c>
      <c r="I71" s="2460" t="s">
        <v>3238</v>
      </c>
      <c r="J71" s="2670" t="s">
        <v>183</v>
      </c>
      <c r="K71" s="2670" t="s">
        <v>694</v>
      </c>
      <c r="L71" s="2460" t="s">
        <v>723</v>
      </c>
      <c r="M71" s="2419">
        <v>1</v>
      </c>
      <c r="N71" s="2420" t="s">
        <v>285</v>
      </c>
      <c r="O71" s="2669"/>
      <c r="P71" s="936">
        <v>43288</v>
      </c>
      <c r="Q71" s="852" t="s">
        <v>2524</v>
      </c>
      <c r="R71" s="1275"/>
      <c r="S71" s="2894" t="s">
        <v>2902</v>
      </c>
      <c r="T71" s="2846" t="str">
        <f t="shared" ref="T71:T73" si="2">CONCATENATE(E71," ", F71," ", G71," ", H71," ", I71)</f>
        <v>8280718 General MS520 3012 Ecuador</v>
      </c>
    </row>
    <row r="72" spans="2:20" ht="15">
      <c r="B72" s="2414">
        <v>68</v>
      </c>
      <c r="C72" s="2670" t="s">
        <v>3061</v>
      </c>
      <c r="D72" s="2417" t="s">
        <v>2999</v>
      </c>
      <c r="E72" s="894">
        <v>8290818</v>
      </c>
      <c r="F72" s="2420" t="s">
        <v>2551</v>
      </c>
      <c r="G72" s="2460" t="s">
        <v>3303</v>
      </c>
      <c r="H72" s="845" t="s">
        <v>3305</v>
      </c>
      <c r="I72" s="2460" t="s">
        <v>3012</v>
      </c>
      <c r="J72" s="2670" t="s">
        <v>834</v>
      </c>
      <c r="K72" s="2670" t="s">
        <v>3308</v>
      </c>
      <c r="L72" s="2460" t="s">
        <v>723</v>
      </c>
      <c r="M72" s="2419">
        <v>1</v>
      </c>
      <c r="N72" s="2420" t="s">
        <v>285</v>
      </c>
      <c r="O72" s="2669"/>
      <c r="P72" s="936">
        <v>43329</v>
      </c>
      <c r="Q72" s="852" t="s">
        <v>2524</v>
      </c>
      <c r="R72" s="1275"/>
      <c r="S72" s="2894" t="s">
        <v>2902</v>
      </c>
      <c r="T72" s="2846" t="str">
        <f t="shared" si="2"/>
        <v>8290818 SAILUM S815 1914 China</v>
      </c>
    </row>
    <row r="73" spans="2:20" ht="15">
      <c r="B73" s="2414">
        <v>69</v>
      </c>
      <c r="C73" s="2670" t="s">
        <v>3061</v>
      </c>
      <c r="D73" s="2417" t="s">
        <v>2999</v>
      </c>
      <c r="E73" s="894">
        <v>8300818</v>
      </c>
      <c r="F73" s="2420" t="s">
        <v>291</v>
      </c>
      <c r="G73" s="2460" t="s">
        <v>3304</v>
      </c>
      <c r="H73" s="845" t="s">
        <v>3306</v>
      </c>
      <c r="I73" s="2460" t="s">
        <v>3307</v>
      </c>
      <c r="J73" s="2670" t="s">
        <v>183</v>
      </c>
      <c r="K73" s="2670" t="s">
        <v>3308</v>
      </c>
      <c r="L73" s="2460" t="s">
        <v>723</v>
      </c>
      <c r="M73" s="2419">
        <v>1</v>
      </c>
      <c r="N73" s="2420" t="s">
        <v>285</v>
      </c>
      <c r="O73" s="2669"/>
      <c r="P73" s="936">
        <v>43329</v>
      </c>
      <c r="Q73" s="852" t="s">
        <v>2524</v>
      </c>
      <c r="R73" s="1275"/>
      <c r="S73" s="2894" t="s">
        <v>2902</v>
      </c>
      <c r="T73" s="2846" t="str">
        <f t="shared" si="2"/>
        <v>8300818 Brigestone M840 2813 España</v>
      </c>
    </row>
    <row r="74" spans="2:20" ht="15">
      <c r="B74" s="2414">
        <v>70</v>
      </c>
      <c r="C74" s="2670" t="s">
        <v>3061</v>
      </c>
      <c r="D74" s="2417" t="s">
        <v>2999</v>
      </c>
      <c r="E74" s="894">
        <v>8310918</v>
      </c>
      <c r="F74" s="2420" t="s">
        <v>3345</v>
      </c>
      <c r="G74" s="2460" t="s">
        <v>3347</v>
      </c>
      <c r="H74" s="845" t="s">
        <v>3346</v>
      </c>
      <c r="I74" s="2460" t="s">
        <v>3012</v>
      </c>
      <c r="J74" s="2670" t="s">
        <v>183</v>
      </c>
      <c r="K74" s="2670" t="s">
        <v>694</v>
      </c>
      <c r="L74" s="2460" t="s">
        <v>723</v>
      </c>
      <c r="M74" s="2419">
        <v>1</v>
      </c>
      <c r="N74" s="2420" t="s">
        <v>285</v>
      </c>
      <c r="O74" s="2669"/>
      <c r="P74" s="936">
        <v>43360</v>
      </c>
      <c r="Q74" s="852" t="s">
        <v>2524</v>
      </c>
      <c r="R74" s="1275"/>
      <c r="S74" s="2894" t="s">
        <v>2902</v>
      </c>
      <c r="T74" s="2846" t="str">
        <f t="shared" ref="T74:T101" si="3">CONCATENATE(E74," ", F74," ", G74," ", H74," ", I74)</f>
        <v>8310918 YellowSea YS08 1216 China</v>
      </c>
    </row>
    <row r="75" spans="2:20" ht="15">
      <c r="B75" s="2414">
        <v>71</v>
      </c>
      <c r="C75" s="2670" t="s">
        <v>3061</v>
      </c>
      <c r="D75" s="2417" t="s">
        <v>2999</v>
      </c>
      <c r="E75" s="894">
        <v>8321018</v>
      </c>
      <c r="F75" s="2420" t="s">
        <v>3382</v>
      </c>
      <c r="G75" s="2460" t="s">
        <v>3384</v>
      </c>
      <c r="H75" s="845" t="s">
        <v>3383</v>
      </c>
      <c r="I75" s="2460" t="s">
        <v>3012</v>
      </c>
      <c r="J75" s="2670" t="s">
        <v>183</v>
      </c>
      <c r="K75" s="2670" t="s">
        <v>694</v>
      </c>
      <c r="L75" s="2460" t="s">
        <v>723</v>
      </c>
      <c r="M75" s="2419">
        <v>0</v>
      </c>
      <c r="N75" s="2420" t="s">
        <v>285</v>
      </c>
      <c r="O75" s="2669"/>
      <c r="P75" s="936">
        <v>43385</v>
      </c>
      <c r="Q75" s="852" t="s">
        <v>2524</v>
      </c>
      <c r="R75" s="1275"/>
      <c r="S75" s="2894" t="s">
        <v>2902</v>
      </c>
      <c r="T75" s="2846" t="str">
        <f t="shared" si="3"/>
        <v>8321018 Full Run TB875 2816 China</v>
      </c>
    </row>
    <row r="76" spans="2:20" ht="15">
      <c r="B76" s="2414">
        <v>72</v>
      </c>
      <c r="C76" s="2670" t="s">
        <v>2776</v>
      </c>
      <c r="D76" s="2417" t="s">
        <v>3403</v>
      </c>
      <c r="E76" s="894">
        <v>8331018</v>
      </c>
      <c r="F76" s="3037" t="s">
        <v>247</v>
      </c>
      <c r="G76" s="2460" t="s">
        <v>2903</v>
      </c>
      <c r="H76" s="845" t="s">
        <v>3405</v>
      </c>
      <c r="I76" s="2460" t="s">
        <v>3012</v>
      </c>
      <c r="J76" s="2670" t="s">
        <v>834</v>
      </c>
      <c r="K76" s="2670" t="s">
        <v>694</v>
      </c>
      <c r="L76" s="2460" t="s">
        <v>3402</v>
      </c>
      <c r="M76" s="2419">
        <v>0</v>
      </c>
      <c r="N76" s="2420" t="s">
        <v>3407</v>
      </c>
      <c r="O76" s="845" t="s">
        <v>3024</v>
      </c>
      <c r="P76" s="936">
        <v>42857</v>
      </c>
      <c r="Q76" s="852" t="s">
        <v>2524</v>
      </c>
      <c r="R76" s="1275"/>
      <c r="S76" s="2894" t="s">
        <v>3406</v>
      </c>
      <c r="T76" s="2846" t="str">
        <f t="shared" si="3"/>
        <v>8331018 Double Happines DR908 1915 China</v>
      </c>
    </row>
    <row r="77" spans="2:20" ht="15">
      <c r="B77" s="2414">
        <v>73</v>
      </c>
      <c r="C77" s="2670" t="s">
        <v>2776</v>
      </c>
      <c r="D77" s="2417" t="s">
        <v>3403</v>
      </c>
      <c r="E77" s="894">
        <v>8341018</v>
      </c>
      <c r="F77" s="3037" t="s">
        <v>247</v>
      </c>
      <c r="G77" s="2460" t="s">
        <v>2903</v>
      </c>
      <c r="H77" s="845" t="s">
        <v>3405</v>
      </c>
      <c r="I77" s="2460" t="s">
        <v>3012</v>
      </c>
      <c r="J77" s="2670" t="s">
        <v>834</v>
      </c>
      <c r="K77" s="2670" t="s">
        <v>694</v>
      </c>
      <c r="L77" s="2460" t="s">
        <v>3402</v>
      </c>
      <c r="M77" s="2419">
        <v>0</v>
      </c>
      <c r="N77" s="2420" t="s">
        <v>3407</v>
      </c>
      <c r="O77" s="845" t="s">
        <v>3024</v>
      </c>
      <c r="P77" s="936">
        <v>42857</v>
      </c>
      <c r="Q77" s="852" t="s">
        <v>2524</v>
      </c>
      <c r="R77" s="1275"/>
      <c r="S77" s="2894" t="s">
        <v>3406</v>
      </c>
      <c r="T77" s="2846" t="str">
        <f t="shared" si="3"/>
        <v>8341018 Double Happines DR908 1915 China</v>
      </c>
    </row>
    <row r="78" spans="2:20" ht="15">
      <c r="B78" s="2414">
        <v>74</v>
      </c>
      <c r="C78" s="2670" t="s">
        <v>2776</v>
      </c>
      <c r="D78" s="2417" t="s">
        <v>3403</v>
      </c>
      <c r="E78" s="894">
        <v>8351018</v>
      </c>
      <c r="F78" s="3037" t="s">
        <v>247</v>
      </c>
      <c r="G78" s="2460" t="s">
        <v>2903</v>
      </c>
      <c r="H78" s="845" t="s">
        <v>3405</v>
      </c>
      <c r="I78" s="2460" t="s">
        <v>3012</v>
      </c>
      <c r="J78" s="2670" t="s">
        <v>834</v>
      </c>
      <c r="K78" s="2670" t="s">
        <v>694</v>
      </c>
      <c r="L78" s="2460" t="s">
        <v>3402</v>
      </c>
      <c r="M78" s="2419">
        <v>0</v>
      </c>
      <c r="N78" s="2420" t="s">
        <v>3407</v>
      </c>
      <c r="O78" s="845" t="s">
        <v>3024</v>
      </c>
      <c r="P78" s="936">
        <v>42857</v>
      </c>
      <c r="Q78" s="852" t="s">
        <v>2524</v>
      </c>
      <c r="R78" s="1275"/>
      <c r="S78" s="2894" t="s">
        <v>3406</v>
      </c>
      <c r="T78" s="2846" t="str">
        <f t="shared" si="3"/>
        <v>8351018 Double Happines DR908 1915 China</v>
      </c>
    </row>
    <row r="79" spans="2:20" ht="15">
      <c r="B79" s="2414">
        <v>75</v>
      </c>
      <c r="C79" s="2670" t="s">
        <v>2776</v>
      </c>
      <c r="D79" s="2417" t="s">
        <v>3403</v>
      </c>
      <c r="E79" s="894">
        <v>8361018</v>
      </c>
      <c r="F79" s="3037" t="s">
        <v>247</v>
      </c>
      <c r="G79" s="2460" t="s">
        <v>2903</v>
      </c>
      <c r="H79" s="845" t="s">
        <v>3405</v>
      </c>
      <c r="I79" s="2460" t="s">
        <v>3012</v>
      </c>
      <c r="J79" s="2670" t="s">
        <v>834</v>
      </c>
      <c r="K79" s="2670" t="s">
        <v>694</v>
      </c>
      <c r="L79" s="2460" t="s">
        <v>3402</v>
      </c>
      <c r="M79" s="2419">
        <v>0</v>
      </c>
      <c r="N79" s="2420" t="s">
        <v>3407</v>
      </c>
      <c r="O79" s="845" t="s">
        <v>3024</v>
      </c>
      <c r="P79" s="936">
        <v>42857</v>
      </c>
      <c r="Q79" s="852" t="s">
        <v>2524</v>
      </c>
      <c r="R79" s="1275"/>
      <c r="S79" s="2894" t="s">
        <v>3406</v>
      </c>
      <c r="T79" s="2846" t="str">
        <f t="shared" si="3"/>
        <v>8361018 Double Happines DR908 1915 China</v>
      </c>
    </row>
    <row r="80" spans="2:20" ht="15">
      <c r="B80" s="2414">
        <v>76</v>
      </c>
      <c r="C80" s="2670" t="s">
        <v>2776</v>
      </c>
      <c r="D80" s="2417" t="s">
        <v>3404</v>
      </c>
      <c r="E80" s="894">
        <v>8371018</v>
      </c>
      <c r="F80" s="3037" t="s">
        <v>247</v>
      </c>
      <c r="G80" s="2460" t="s">
        <v>2903</v>
      </c>
      <c r="H80" s="845" t="s">
        <v>3405</v>
      </c>
      <c r="I80" s="2460" t="s">
        <v>3012</v>
      </c>
      <c r="J80" s="2670" t="s">
        <v>834</v>
      </c>
      <c r="K80" s="2670" t="s">
        <v>694</v>
      </c>
      <c r="L80" s="2460" t="s">
        <v>3402</v>
      </c>
      <c r="M80" s="2419">
        <v>0</v>
      </c>
      <c r="N80" s="2420" t="s">
        <v>3407</v>
      </c>
      <c r="O80" s="845" t="s">
        <v>3024</v>
      </c>
      <c r="P80" s="936">
        <v>42857</v>
      </c>
      <c r="Q80" s="852" t="s">
        <v>2524</v>
      </c>
      <c r="R80" s="1275"/>
      <c r="S80" s="2894" t="s">
        <v>3408</v>
      </c>
      <c r="T80" s="2846" t="str">
        <f t="shared" si="3"/>
        <v>8371018 Double Happines DR908 1915 China</v>
      </c>
    </row>
    <row r="81" spans="2:20" ht="15">
      <c r="B81" s="2414">
        <v>77</v>
      </c>
      <c r="C81" s="2670" t="s">
        <v>2776</v>
      </c>
      <c r="D81" s="2417" t="s">
        <v>3404</v>
      </c>
      <c r="E81" s="894">
        <v>8381018</v>
      </c>
      <c r="F81" s="3037" t="s">
        <v>247</v>
      </c>
      <c r="G81" s="2460" t="s">
        <v>2903</v>
      </c>
      <c r="H81" s="845" t="s">
        <v>3405</v>
      </c>
      <c r="I81" s="2460" t="s">
        <v>3012</v>
      </c>
      <c r="J81" s="2670" t="s">
        <v>834</v>
      </c>
      <c r="K81" s="2670" t="s">
        <v>694</v>
      </c>
      <c r="L81" s="2460" t="s">
        <v>3402</v>
      </c>
      <c r="M81" s="2419">
        <v>0</v>
      </c>
      <c r="N81" s="2420" t="s">
        <v>3407</v>
      </c>
      <c r="O81" s="845" t="s">
        <v>3024</v>
      </c>
      <c r="P81" s="936">
        <v>42857</v>
      </c>
      <c r="Q81" s="852" t="s">
        <v>2524</v>
      </c>
      <c r="R81" s="1275"/>
      <c r="S81" s="2894" t="s">
        <v>3408</v>
      </c>
      <c r="T81" s="2846" t="str">
        <f t="shared" si="3"/>
        <v>8381018 Double Happines DR908 1915 China</v>
      </c>
    </row>
    <row r="82" spans="2:20" ht="15">
      <c r="B82" s="2414">
        <v>78</v>
      </c>
      <c r="C82" s="2670" t="s">
        <v>2776</v>
      </c>
      <c r="D82" s="2417" t="s">
        <v>3404</v>
      </c>
      <c r="E82" s="894">
        <v>8391018</v>
      </c>
      <c r="F82" s="3037" t="s">
        <v>247</v>
      </c>
      <c r="G82" s="2460" t="s">
        <v>2903</v>
      </c>
      <c r="H82" s="845" t="s">
        <v>3405</v>
      </c>
      <c r="I82" s="2460" t="s">
        <v>3012</v>
      </c>
      <c r="J82" s="2670" t="s">
        <v>834</v>
      </c>
      <c r="K82" s="2670" t="s">
        <v>694</v>
      </c>
      <c r="L82" s="2460" t="s">
        <v>3402</v>
      </c>
      <c r="M82" s="2419">
        <v>0</v>
      </c>
      <c r="N82" s="2420" t="s">
        <v>3407</v>
      </c>
      <c r="O82" s="845" t="s">
        <v>3024</v>
      </c>
      <c r="P82" s="936">
        <v>42857</v>
      </c>
      <c r="Q82" s="852" t="s">
        <v>2524</v>
      </c>
      <c r="R82" s="1275"/>
      <c r="S82" s="2894" t="s">
        <v>3408</v>
      </c>
      <c r="T82" s="2846" t="str">
        <f t="shared" si="3"/>
        <v>8391018 Double Happines DR908 1915 China</v>
      </c>
    </row>
    <row r="83" spans="2:20" ht="15">
      <c r="B83" s="2414">
        <v>79</v>
      </c>
      <c r="C83" s="2670" t="s">
        <v>2776</v>
      </c>
      <c r="D83" s="2417" t="s">
        <v>3404</v>
      </c>
      <c r="E83" s="894">
        <v>8401018</v>
      </c>
      <c r="F83" s="3037" t="s">
        <v>247</v>
      </c>
      <c r="G83" s="2460" t="s">
        <v>2903</v>
      </c>
      <c r="H83" s="845" t="s">
        <v>3405</v>
      </c>
      <c r="I83" s="2460" t="s">
        <v>3012</v>
      </c>
      <c r="J83" s="2670" t="s">
        <v>834</v>
      </c>
      <c r="K83" s="2670" t="s">
        <v>694</v>
      </c>
      <c r="L83" s="2460" t="s">
        <v>3402</v>
      </c>
      <c r="M83" s="2419">
        <v>0</v>
      </c>
      <c r="N83" s="2420" t="s">
        <v>3407</v>
      </c>
      <c r="O83" s="845" t="s">
        <v>3024</v>
      </c>
      <c r="P83" s="936">
        <v>42857</v>
      </c>
      <c r="Q83" s="852" t="s">
        <v>2524</v>
      </c>
      <c r="R83" s="1275"/>
      <c r="S83" s="2894" t="s">
        <v>3408</v>
      </c>
      <c r="T83" s="2846" t="str">
        <f t="shared" si="3"/>
        <v>8401018 Double Happines DR908 1915 China</v>
      </c>
    </row>
    <row r="84" spans="2:20" ht="15">
      <c r="B84" s="2414">
        <v>80</v>
      </c>
      <c r="C84" s="2670" t="s">
        <v>2776</v>
      </c>
      <c r="D84" s="2417" t="s">
        <v>3404</v>
      </c>
      <c r="E84" s="894">
        <v>8411018</v>
      </c>
      <c r="F84" s="3037" t="s">
        <v>247</v>
      </c>
      <c r="G84" s="2460" t="s">
        <v>2903</v>
      </c>
      <c r="H84" s="845" t="s">
        <v>3405</v>
      </c>
      <c r="I84" s="2460" t="s">
        <v>3012</v>
      </c>
      <c r="J84" s="2670" t="s">
        <v>834</v>
      </c>
      <c r="K84" s="2670" t="s">
        <v>694</v>
      </c>
      <c r="L84" s="2460" t="s">
        <v>3402</v>
      </c>
      <c r="M84" s="2419">
        <v>0</v>
      </c>
      <c r="N84" s="2420" t="s">
        <v>3423</v>
      </c>
      <c r="O84" s="845" t="s">
        <v>3024</v>
      </c>
      <c r="P84" s="936">
        <v>42857</v>
      </c>
      <c r="Q84" s="852" t="s">
        <v>2524</v>
      </c>
      <c r="R84" s="1275"/>
      <c r="S84" s="2894" t="s">
        <v>3406</v>
      </c>
      <c r="T84" s="2846" t="str">
        <f t="shared" ref="T84:T85" si="4">CONCATENATE(E84," ", F84," ", G84," ", H84," ", I84)</f>
        <v>8411018 Double Happines DR908 1915 China</v>
      </c>
    </row>
    <row r="85" spans="2:20" ht="15">
      <c r="B85" s="2414">
        <v>81</v>
      </c>
      <c r="C85" s="2670" t="s">
        <v>2776</v>
      </c>
      <c r="D85" s="2417" t="s">
        <v>3404</v>
      </c>
      <c r="E85" s="894">
        <v>8421018</v>
      </c>
      <c r="F85" s="3037" t="s">
        <v>247</v>
      </c>
      <c r="G85" s="2460" t="s">
        <v>2903</v>
      </c>
      <c r="H85" s="845" t="s">
        <v>3405</v>
      </c>
      <c r="I85" s="2460" t="s">
        <v>3012</v>
      </c>
      <c r="J85" s="2670" t="s">
        <v>834</v>
      </c>
      <c r="K85" s="2670" t="s">
        <v>694</v>
      </c>
      <c r="L85" s="2460" t="s">
        <v>3402</v>
      </c>
      <c r="M85" s="2419">
        <v>0</v>
      </c>
      <c r="N85" s="2420" t="s">
        <v>3423</v>
      </c>
      <c r="O85" s="845" t="s">
        <v>3024</v>
      </c>
      <c r="P85" s="936">
        <v>42857</v>
      </c>
      <c r="Q85" s="852" t="s">
        <v>2524</v>
      </c>
      <c r="R85" s="1275"/>
      <c r="S85" s="2894" t="s">
        <v>3406</v>
      </c>
      <c r="T85" s="2846" t="str">
        <f t="shared" si="4"/>
        <v>8421018 Double Happines DR908 1915 China</v>
      </c>
    </row>
    <row r="86" spans="2:20" ht="15">
      <c r="B86" s="2414">
        <v>82</v>
      </c>
      <c r="C86" s="2670" t="s">
        <v>2776</v>
      </c>
      <c r="D86" s="2417" t="s">
        <v>3404</v>
      </c>
      <c r="E86" s="894">
        <v>8431118</v>
      </c>
      <c r="F86" s="3037" t="s">
        <v>247</v>
      </c>
      <c r="G86" s="2460" t="s">
        <v>2903</v>
      </c>
      <c r="H86" s="845" t="s">
        <v>3405</v>
      </c>
      <c r="I86" s="2460" t="s">
        <v>3012</v>
      </c>
      <c r="J86" s="2670" t="s">
        <v>834</v>
      </c>
      <c r="K86" s="2670" t="s">
        <v>694</v>
      </c>
      <c r="L86" s="2460" t="s">
        <v>3402</v>
      </c>
      <c r="M86" s="2419">
        <v>0</v>
      </c>
      <c r="N86" s="2420" t="s">
        <v>3423</v>
      </c>
      <c r="O86" s="845" t="s">
        <v>3024</v>
      </c>
      <c r="P86" s="936">
        <v>42857</v>
      </c>
      <c r="Q86" s="852" t="s">
        <v>2524</v>
      </c>
      <c r="R86" s="1275"/>
      <c r="S86" s="2894" t="s">
        <v>3406</v>
      </c>
      <c r="T86" s="2846" t="str">
        <f t="shared" ref="T86" si="5">CONCATENATE(E86," ", F86," ", G86," ", H86," ", I86)</f>
        <v>8431118 Double Happines DR908 1915 China</v>
      </c>
    </row>
    <row r="87" spans="2:20" ht="15">
      <c r="B87" s="2414">
        <v>83</v>
      </c>
      <c r="C87" s="2670" t="s">
        <v>2776</v>
      </c>
      <c r="D87" s="2417" t="s">
        <v>3427</v>
      </c>
      <c r="E87" s="894">
        <v>8441118</v>
      </c>
      <c r="F87" s="3037" t="s">
        <v>3382</v>
      </c>
      <c r="G87" s="2460" t="s">
        <v>3384</v>
      </c>
      <c r="H87" s="845" t="s">
        <v>3426</v>
      </c>
      <c r="I87" s="2460" t="s">
        <v>3012</v>
      </c>
      <c r="J87" s="2670" t="s">
        <v>183</v>
      </c>
      <c r="K87" s="2670" t="s">
        <v>694</v>
      </c>
      <c r="L87" s="2460" t="s">
        <v>732</v>
      </c>
      <c r="M87" s="2419">
        <v>0</v>
      </c>
      <c r="N87" s="2420" t="s">
        <v>285</v>
      </c>
      <c r="O87" s="845" t="s">
        <v>3024</v>
      </c>
      <c r="P87" s="936">
        <v>43420</v>
      </c>
      <c r="Q87" s="852" t="s">
        <v>2524</v>
      </c>
      <c r="R87" s="1275"/>
      <c r="S87" s="2894" t="s">
        <v>2902</v>
      </c>
      <c r="T87" s="2846" t="str">
        <f t="shared" ref="T87:T88" si="6">CONCATENATE(E87," ", F87," ", G87," ", H87," ", I87)</f>
        <v>8441118 Full Run TB875 2313 China</v>
      </c>
    </row>
    <row r="88" spans="2:20" ht="15.75" thickBot="1">
      <c r="B88" s="2740">
        <v>84</v>
      </c>
      <c r="C88" s="2741" t="s">
        <v>2776</v>
      </c>
      <c r="D88" s="2742" t="s">
        <v>3427</v>
      </c>
      <c r="E88" s="2747">
        <v>8451118</v>
      </c>
      <c r="F88" s="3050" t="s">
        <v>3424</v>
      </c>
      <c r="G88" s="2744" t="s">
        <v>3425</v>
      </c>
      <c r="H88" s="2748" t="s">
        <v>2899</v>
      </c>
      <c r="I88" s="2744" t="s">
        <v>3012</v>
      </c>
      <c r="J88" s="2741" t="s">
        <v>183</v>
      </c>
      <c r="K88" s="2741" t="s">
        <v>694</v>
      </c>
      <c r="L88" s="2744" t="s">
        <v>732</v>
      </c>
      <c r="M88" s="2745">
        <v>0</v>
      </c>
      <c r="N88" s="2743" t="s">
        <v>285</v>
      </c>
      <c r="O88" s="2748" t="s">
        <v>3024</v>
      </c>
      <c r="P88" s="2074">
        <v>43420</v>
      </c>
      <c r="Q88" s="2749" t="s">
        <v>2524</v>
      </c>
      <c r="R88" s="2750"/>
      <c r="S88" s="3051" t="s">
        <v>2902</v>
      </c>
      <c r="T88" s="2846" t="str">
        <f t="shared" si="6"/>
        <v>8451118 GT Radial GT01 2715 China</v>
      </c>
    </row>
    <row r="89" spans="2:20" ht="15.75" thickTop="1">
      <c r="B89" s="2736">
        <v>85</v>
      </c>
      <c r="C89" s="2737" t="s">
        <v>3061</v>
      </c>
      <c r="D89" s="3246" t="s">
        <v>4104</v>
      </c>
      <c r="E89" s="942">
        <v>8010119</v>
      </c>
      <c r="F89" s="3052" t="s">
        <v>2877</v>
      </c>
      <c r="G89" s="2739" t="s">
        <v>3477</v>
      </c>
      <c r="H89" s="2754" t="s">
        <v>3478</v>
      </c>
      <c r="I89" s="2739" t="s">
        <v>3060</v>
      </c>
      <c r="J89" s="2737" t="s">
        <v>183</v>
      </c>
      <c r="K89" s="2737" t="s">
        <v>694</v>
      </c>
      <c r="L89" s="2739" t="s">
        <v>723</v>
      </c>
      <c r="M89" s="2464">
        <v>0</v>
      </c>
      <c r="N89" s="3052" t="s">
        <v>285</v>
      </c>
      <c r="O89" s="2754" t="s">
        <v>3505</v>
      </c>
      <c r="P89" s="944">
        <v>43475</v>
      </c>
      <c r="Q89" s="2105" t="s">
        <v>2524</v>
      </c>
      <c r="R89" s="1274"/>
      <c r="S89" s="2738" t="s">
        <v>2902</v>
      </c>
      <c r="T89" s="2846" t="str">
        <f t="shared" si="3"/>
        <v>8010119 Pirelli FR85 3414 Brasil</v>
      </c>
    </row>
    <row r="90" spans="2:20" ht="15">
      <c r="B90" s="2414">
        <v>86</v>
      </c>
      <c r="C90" s="2670" t="s">
        <v>3061</v>
      </c>
      <c r="D90" s="3247" t="s">
        <v>4104</v>
      </c>
      <c r="E90" s="894">
        <v>8020119</v>
      </c>
      <c r="F90" s="2420" t="s">
        <v>3479</v>
      </c>
      <c r="G90" s="2460" t="s">
        <v>3480</v>
      </c>
      <c r="H90" s="845" t="s">
        <v>3481</v>
      </c>
      <c r="I90" s="2460" t="s">
        <v>3012</v>
      </c>
      <c r="J90" s="2670" t="s">
        <v>183</v>
      </c>
      <c r="K90" s="2670" t="s">
        <v>694</v>
      </c>
      <c r="L90" s="2460" t="s">
        <v>723</v>
      </c>
      <c r="M90" s="2460" t="s">
        <v>3402</v>
      </c>
      <c r="N90" s="2420" t="s">
        <v>285</v>
      </c>
      <c r="O90" s="845" t="s">
        <v>3505</v>
      </c>
      <c r="P90" s="936">
        <v>43475</v>
      </c>
      <c r="Q90" s="852" t="s">
        <v>2524</v>
      </c>
      <c r="R90" s="1275"/>
      <c r="S90" s="2415" t="s">
        <v>2902</v>
      </c>
      <c r="T90" s="2846" t="str">
        <f t="shared" si="3"/>
        <v>8020119 ZETA DR928 1114 China</v>
      </c>
    </row>
    <row r="91" spans="2:20" ht="15">
      <c r="B91" s="2414">
        <v>87</v>
      </c>
      <c r="C91" s="2670" t="s">
        <v>3061</v>
      </c>
      <c r="D91" s="3247" t="s">
        <v>4104</v>
      </c>
      <c r="E91" s="894">
        <v>8030319</v>
      </c>
      <c r="F91" s="2420" t="s">
        <v>3544</v>
      </c>
      <c r="G91" s="2460" t="s">
        <v>3545</v>
      </c>
      <c r="H91" s="845" t="s">
        <v>3546</v>
      </c>
      <c r="I91" s="2460" t="s">
        <v>3012</v>
      </c>
      <c r="J91" s="2670" t="s">
        <v>834</v>
      </c>
      <c r="K91" s="2670" t="s">
        <v>694</v>
      </c>
      <c r="L91" s="2419" t="s">
        <v>723</v>
      </c>
      <c r="M91" s="2419"/>
      <c r="N91" s="2415" t="s">
        <v>285</v>
      </c>
      <c r="O91" s="2669"/>
      <c r="P91" s="936">
        <v>43532</v>
      </c>
      <c r="Q91" s="852" t="s">
        <v>2524</v>
      </c>
      <c r="R91" s="1275"/>
      <c r="S91" s="2415" t="s">
        <v>2902</v>
      </c>
      <c r="T91" s="2846" t="str">
        <f t="shared" si="3"/>
        <v>8030319 Lanvigator S600 0118 China</v>
      </c>
    </row>
    <row r="92" spans="2:20" ht="15">
      <c r="B92" s="2414">
        <v>88</v>
      </c>
      <c r="C92" s="2670" t="s">
        <v>3061</v>
      </c>
      <c r="D92" s="3247" t="s">
        <v>4104</v>
      </c>
      <c r="E92" s="894">
        <v>8040319</v>
      </c>
      <c r="F92" s="2420" t="s">
        <v>3544</v>
      </c>
      <c r="G92" s="2460" t="s">
        <v>3545</v>
      </c>
      <c r="H92" s="845" t="s">
        <v>3546</v>
      </c>
      <c r="I92" s="2460" t="s">
        <v>3012</v>
      </c>
      <c r="J92" s="2670" t="s">
        <v>834</v>
      </c>
      <c r="K92" s="2670" t="s">
        <v>694</v>
      </c>
      <c r="L92" s="2419" t="s">
        <v>723</v>
      </c>
      <c r="M92" s="2419"/>
      <c r="N92" s="2415" t="s">
        <v>285</v>
      </c>
      <c r="O92" s="2669"/>
      <c r="P92" s="936">
        <v>43532</v>
      </c>
      <c r="Q92" s="852" t="s">
        <v>2524</v>
      </c>
      <c r="R92" s="1275"/>
      <c r="S92" s="2415" t="s">
        <v>2902</v>
      </c>
      <c r="T92" s="2846" t="str">
        <f t="shared" si="3"/>
        <v>8040319 Lanvigator S600 0118 China</v>
      </c>
    </row>
    <row r="93" spans="2:20" ht="15">
      <c r="B93" s="2414">
        <v>89</v>
      </c>
      <c r="C93" s="2670" t="s">
        <v>3061</v>
      </c>
      <c r="D93" s="3247" t="s">
        <v>4104</v>
      </c>
      <c r="E93" s="894">
        <v>8050319</v>
      </c>
      <c r="F93" s="3037" t="s">
        <v>247</v>
      </c>
      <c r="G93" s="2460" t="s">
        <v>2903</v>
      </c>
      <c r="H93" s="845" t="s">
        <v>3405</v>
      </c>
      <c r="I93" s="2460" t="s">
        <v>3012</v>
      </c>
      <c r="J93" s="2670" t="s">
        <v>834</v>
      </c>
      <c r="K93" s="2670" t="s">
        <v>694</v>
      </c>
      <c r="L93" s="2419" t="s">
        <v>723</v>
      </c>
      <c r="M93" s="2419" t="s">
        <v>3565</v>
      </c>
      <c r="N93" s="2415" t="s">
        <v>3197</v>
      </c>
      <c r="O93" s="2669" t="s">
        <v>3024</v>
      </c>
      <c r="P93" s="936">
        <v>43539</v>
      </c>
      <c r="Q93" s="852" t="s">
        <v>2524</v>
      </c>
      <c r="R93" s="1275"/>
      <c r="S93" s="2415" t="s">
        <v>3566</v>
      </c>
      <c r="T93" s="2846" t="str">
        <f t="shared" ref="T93" si="7">CONCATENATE(E93," ", F93," ", G93," ", H93," ", I93)</f>
        <v>8050319 Double Happines DR908 1915 China</v>
      </c>
    </row>
    <row r="94" spans="2:20" ht="15">
      <c r="B94" s="2414">
        <v>90</v>
      </c>
      <c r="C94" s="2670" t="s">
        <v>3061</v>
      </c>
      <c r="D94" s="3247" t="s">
        <v>4104</v>
      </c>
      <c r="E94" s="894">
        <v>8060319</v>
      </c>
      <c r="F94" s="68" t="s">
        <v>3482</v>
      </c>
      <c r="G94" s="2460" t="s">
        <v>3569</v>
      </c>
      <c r="H94" s="845" t="s">
        <v>3570</v>
      </c>
      <c r="I94" s="2460" t="s">
        <v>3012</v>
      </c>
      <c r="J94" s="2670" t="s">
        <v>183</v>
      </c>
      <c r="K94" s="2670" t="s">
        <v>694</v>
      </c>
      <c r="L94" s="2419" t="s">
        <v>723</v>
      </c>
      <c r="M94" s="2419">
        <v>0</v>
      </c>
      <c r="N94" s="2415" t="s">
        <v>285</v>
      </c>
      <c r="O94" s="2669"/>
      <c r="P94" s="936">
        <v>43542</v>
      </c>
      <c r="Q94" s="852" t="s">
        <v>2524</v>
      </c>
      <c r="R94" s="1275"/>
      <c r="S94" s="2415" t="s">
        <v>2902</v>
      </c>
      <c r="T94" s="2846" t="str">
        <f t="shared" ref="T94" si="8">CONCATENATE(E94," ", F94," ", G94," ", H94," ", I94)</f>
        <v>8060319 SuperHawk HK859 3415 China</v>
      </c>
    </row>
    <row r="95" spans="2:20" ht="15">
      <c r="B95" s="2414">
        <v>91</v>
      </c>
      <c r="C95" s="2670" t="s">
        <v>3061</v>
      </c>
      <c r="D95" s="3247" t="s">
        <v>4104</v>
      </c>
      <c r="E95" s="894">
        <v>8070419</v>
      </c>
      <c r="F95" s="2420" t="s">
        <v>3613</v>
      </c>
      <c r="G95" s="2670" t="s">
        <v>3613</v>
      </c>
      <c r="H95" s="845" t="s">
        <v>3614</v>
      </c>
      <c r="I95" s="2890" t="s">
        <v>3616</v>
      </c>
      <c r="J95" s="2670" t="s">
        <v>834</v>
      </c>
      <c r="K95" s="2670" t="s">
        <v>694</v>
      </c>
      <c r="L95" s="2419" t="s">
        <v>723</v>
      </c>
      <c r="M95" s="2419">
        <v>0</v>
      </c>
      <c r="N95" s="2415" t="s">
        <v>285</v>
      </c>
      <c r="O95" s="2669"/>
      <c r="P95" s="936">
        <v>43564</v>
      </c>
      <c r="Q95" s="852" t="s">
        <v>2524</v>
      </c>
      <c r="R95" s="1275"/>
      <c r="S95" s="2415" t="s">
        <v>2902</v>
      </c>
      <c r="T95" s="2846" t="str">
        <f t="shared" si="3"/>
        <v>8070419 Kormoran Kormoran 4613 Rumania</v>
      </c>
    </row>
    <row r="96" spans="2:20" ht="15">
      <c r="B96" s="2414">
        <v>92</v>
      </c>
      <c r="C96" s="2670" t="s">
        <v>3061</v>
      </c>
      <c r="D96" s="3247" t="s">
        <v>4104</v>
      </c>
      <c r="E96" s="894">
        <v>8080419</v>
      </c>
      <c r="F96" s="2420" t="s">
        <v>3613</v>
      </c>
      <c r="G96" s="2670" t="s">
        <v>3613</v>
      </c>
      <c r="H96" s="845" t="s">
        <v>3615</v>
      </c>
      <c r="I96" s="2890" t="s">
        <v>3616</v>
      </c>
      <c r="J96" s="2670" t="s">
        <v>183</v>
      </c>
      <c r="K96" s="2670" t="s">
        <v>694</v>
      </c>
      <c r="L96" s="2419" t="s">
        <v>723</v>
      </c>
      <c r="M96" s="2419">
        <v>0</v>
      </c>
      <c r="N96" s="2415" t="s">
        <v>285</v>
      </c>
      <c r="O96" s="2669"/>
      <c r="P96" s="936">
        <v>43564</v>
      </c>
      <c r="Q96" s="852" t="s">
        <v>2524</v>
      </c>
      <c r="R96" s="1275"/>
      <c r="S96" s="2415" t="s">
        <v>2902</v>
      </c>
      <c r="T96" s="2846" t="str">
        <f t="shared" si="3"/>
        <v>8080419 Kormoran Kormoran 4513 Rumania</v>
      </c>
    </row>
    <row r="97" spans="2:20" ht="15">
      <c r="B97" s="2414">
        <v>93</v>
      </c>
      <c r="C97" s="2670" t="s">
        <v>3061</v>
      </c>
      <c r="D97" s="3247" t="s">
        <v>4104</v>
      </c>
      <c r="E97" s="894">
        <v>8090519</v>
      </c>
      <c r="F97" s="2420" t="s">
        <v>724</v>
      </c>
      <c r="G97" s="2460" t="s">
        <v>3007</v>
      </c>
      <c r="H97" s="845" t="s">
        <v>3638</v>
      </c>
      <c r="I97" s="2890" t="s">
        <v>3012</v>
      </c>
      <c r="J97" s="2670" t="s">
        <v>834</v>
      </c>
      <c r="K97" s="2670" t="s">
        <v>694</v>
      </c>
      <c r="L97" s="2419" t="s">
        <v>723</v>
      </c>
      <c r="M97" s="2419">
        <v>0</v>
      </c>
      <c r="N97" s="2415" t="s">
        <v>285</v>
      </c>
      <c r="O97" s="2669"/>
      <c r="P97" s="936">
        <v>43577</v>
      </c>
      <c r="Q97" s="852" t="s">
        <v>2524</v>
      </c>
      <c r="R97" s="1275"/>
      <c r="S97" s="2415" t="s">
        <v>2902</v>
      </c>
      <c r="T97" s="2846" t="str">
        <f t="shared" ref="T97:T98" si="9">CONCATENATE(E97," ", F97," ", G97," ", H97," ", I97)</f>
        <v>8090519 Aeolus HN08 3110 China</v>
      </c>
    </row>
    <row r="98" spans="2:20" ht="15">
      <c r="B98" s="2414">
        <v>94</v>
      </c>
      <c r="C98" s="2670" t="s">
        <v>3061</v>
      </c>
      <c r="D98" s="3247" t="s">
        <v>4104</v>
      </c>
      <c r="E98" s="894">
        <v>8100519</v>
      </c>
      <c r="F98" s="2420" t="s">
        <v>3544</v>
      </c>
      <c r="G98" s="2460" t="s">
        <v>3632</v>
      </c>
      <c r="H98" s="845" t="s">
        <v>3546</v>
      </c>
      <c r="I98" s="2890" t="s">
        <v>3012</v>
      </c>
      <c r="J98" s="2670" t="s">
        <v>183</v>
      </c>
      <c r="K98" s="2670" t="s">
        <v>694</v>
      </c>
      <c r="L98" s="2419" t="s">
        <v>723</v>
      </c>
      <c r="M98" s="2419">
        <v>0</v>
      </c>
      <c r="N98" s="2415" t="s">
        <v>285</v>
      </c>
      <c r="O98" s="2669"/>
      <c r="P98" s="936">
        <v>43588</v>
      </c>
      <c r="Q98" s="852" t="s">
        <v>2524</v>
      </c>
      <c r="R98" s="1275"/>
      <c r="S98" s="2415" t="s">
        <v>2902</v>
      </c>
      <c r="T98" s="2846" t="str">
        <f t="shared" si="9"/>
        <v>8100519 Lanvigator S205 0118 China</v>
      </c>
    </row>
    <row r="99" spans="2:20" ht="15">
      <c r="B99" s="2414">
        <v>95</v>
      </c>
      <c r="C99" s="2670" t="s">
        <v>3061</v>
      </c>
      <c r="D99" s="3247" t="s">
        <v>4104</v>
      </c>
      <c r="E99" s="894">
        <v>8110519</v>
      </c>
      <c r="F99" s="2420" t="s">
        <v>3544</v>
      </c>
      <c r="G99" s="2460" t="s">
        <v>3632</v>
      </c>
      <c r="H99" s="845" t="s">
        <v>3546</v>
      </c>
      <c r="I99" s="2890" t="s">
        <v>3012</v>
      </c>
      <c r="J99" s="2670" t="s">
        <v>834</v>
      </c>
      <c r="K99" s="2670" t="s">
        <v>694</v>
      </c>
      <c r="L99" s="2419" t="s">
        <v>723</v>
      </c>
      <c r="M99" s="2419">
        <v>0</v>
      </c>
      <c r="N99" s="2415" t="s">
        <v>285</v>
      </c>
      <c r="O99" s="2669"/>
      <c r="P99" s="936">
        <v>43588</v>
      </c>
      <c r="Q99" s="852" t="s">
        <v>2524</v>
      </c>
      <c r="R99" s="1275"/>
      <c r="S99" s="2415" t="s">
        <v>2902</v>
      </c>
      <c r="T99" s="2846" t="str">
        <f t="shared" ref="T99" si="10">CONCATENATE(E99," ", F99," ", G99," ", H99," ", I99)</f>
        <v>8110519 Lanvigator S205 0118 China</v>
      </c>
    </row>
    <row r="100" spans="2:20" ht="15">
      <c r="B100" s="2414">
        <v>96</v>
      </c>
      <c r="C100" s="2670" t="s">
        <v>3061</v>
      </c>
      <c r="D100" s="3247" t="s">
        <v>4104</v>
      </c>
      <c r="E100" s="894">
        <v>8120519</v>
      </c>
      <c r="F100" s="2415" t="s">
        <v>3659</v>
      </c>
      <c r="G100" s="2419" t="s">
        <v>3660</v>
      </c>
      <c r="H100" s="2669" t="s">
        <v>3661</v>
      </c>
      <c r="I100" s="2419" t="s">
        <v>3012</v>
      </c>
      <c r="J100" s="2670" t="s">
        <v>183</v>
      </c>
      <c r="K100" s="2670" t="s">
        <v>694</v>
      </c>
      <c r="L100" s="2419" t="s">
        <v>723</v>
      </c>
      <c r="M100" s="2419">
        <v>0</v>
      </c>
      <c r="N100" s="2415" t="s">
        <v>285</v>
      </c>
      <c r="O100" s="2669" t="s">
        <v>3024</v>
      </c>
      <c r="P100" s="936">
        <v>43599</v>
      </c>
      <c r="Q100" s="852" t="s">
        <v>2524</v>
      </c>
      <c r="R100" s="1275"/>
      <c r="S100" s="2415" t="s">
        <v>2902</v>
      </c>
      <c r="T100" s="2846" t="str">
        <f t="shared" si="3"/>
        <v>8120519 Turnpike TB878 3116 China</v>
      </c>
    </row>
    <row r="101" spans="2:20" ht="15">
      <c r="B101" s="2414">
        <v>97</v>
      </c>
      <c r="C101" s="2670" t="s">
        <v>3061</v>
      </c>
      <c r="D101" s="3247" t="s">
        <v>4104</v>
      </c>
      <c r="E101" s="894">
        <v>8130519</v>
      </c>
      <c r="F101" s="2415" t="s">
        <v>3662</v>
      </c>
      <c r="G101" s="2419" t="s">
        <v>3663</v>
      </c>
      <c r="H101" s="2669" t="s">
        <v>3664</v>
      </c>
      <c r="I101" s="2419" t="s">
        <v>3012</v>
      </c>
      <c r="J101" s="2670" t="s">
        <v>183</v>
      </c>
      <c r="K101" s="2670" t="s">
        <v>694</v>
      </c>
      <c r="L101" s="2419" t="s">
        <v>723</v>
      </c>
      <c r="M101" s="2419">
        <v>0</v>
      </c>
      <c r="N101" s="2415" t="s">
        <v>285</v>
      </c>
      <c r="O101" s="2669" t="s">
        <v>3024</v>
      </c>
      <c r="P101" s="936">
        <v>43599</v>
      </c>
      <c r="Q101" s="852" t="s">
        <v>2524</v>
      </c>
      <c r="R101" s="1275"/>
      <c r="S101" s="2415" t="s">
        <v>2902</v>
      </c>
      <c r="T101" s="2846" t="str">
        <f t="shared" si="3"/>
        <v>8130519 Techking TKDM III 1816 China</v>
      </c>
    </row>
    <row r="102" spans="2:20" ht="15">
      <c r="B102" s="2414">
        <v>98</v>
      </c>
      <c r="C102" s="2670" t="s">
        <v>3061</v>
      </c>
      <c r="D102" s="3247" t="s">
        <v>4104</v>
      </c>
      <c r="E102" s="894">
        <v>8140519</v>
      </c>
      <c r="F102" s="68" t="s">
        <v>825</v>
      </c>
      <c r="G102" s="2419" t="s">
        <v>3687</v>
      </c>
      <c r="H102" s="2669" t="s">
        <v>3615</v>
      </c>
      <c r="I102" s="2419" t="s">
        <v>3690</v>
      </c>
      <c r="J102" s="2670" t="s">
        <v>834</v>
      </c>
      <c r="K102" s="2670" t="s">
        <v>694</v>
      </c>
      <c r="L102" s="2419" t="s">
        <v>723</v>
      </c>
      <c r="M102" s="2419">
        <v>1</v>
      </c>
      <c r="N102" s="2415" t="s">
        <v>285</v>
      </c>
      <c r="O102" s="2669" t="s">
        <v>3024</v>
      </c>
      <c r="P102" s="936">
        <v>43608</v>
      </c>
      <c r="Q102" s="852" t="s">
        <v>2524</v>
      </c>
      <c r="R102" s="1275"/>
      <c r="S102" s="2415" t="s">
        <v>2902</v>
      </c>
      <c r="T102" s="2846" t="str">
        <f t="shared" ref="T102:T106" si="11">CONCATENATE(E102," ", F102," ", G102," ", H102," ", I102)</f>
        <v>8140519 Falken RX128 4513 Japon</v>
      </c>
    </row>
    <row r="103" spans="2:20" ht="15">
      <c r="B103" s="2414">
        <v>99</v>
      </c>
      <c r="C103" s="2670" t="s">
        <v>3061</v>
      </c>
      <c r="D103" s="3247" t="s">
        <v>4104</v>
      </c>
      <c r="E103" s="894">
        <v>8150519</v>
      </c>
      <c r="F103" s="2415" t="s">
        <v>3020</v>
      </c>
      <c r="G103" s="2419" t="s">
        <v>3688</v>
      </c>
      <c r="H103" s="2669" t="s">
        <v>3684</v>
      </c>
      <c r="I103" s="2419" t="s">
        <v>3012</v>
      </c>
      <c r="J103" s="2670" t="s">
        <v>834</v>
      </c>
      <c r="K103" s="2670" t="s">
        <v>694</v>
      </c>
      <c r="L103" s="2419" t="s">
        <v>723</v>
      </c>
      <c r="M103" s="2419">
        <v>1</v>
      </c>
      <c r="N103" s="2415" t="s">
        <v>285</v>
      </c>
      <c r="O103" s="2669" t="s">
        <v>3024</v>
      </c>
      <c r="P103" s="936">
        <v>43608</v>
      </c>
      <c r="Q103" s="852" t="s">
        <v>2524</v>
      </c>
      <c r="R103" s="1275"/>
      <c r="S103" s="2415" t="s">
        <v>2902</v>
      </c>
      <c r="T103" s="2846" t="str">
        <f t="shared" si="11"/>
        <v>8150519 Double Star DSR266 1113 China</v>
      </c>
    </row>
    <row r="104" spans="2:20" ht="15">
      <c r="B104" s="2414">
        <v>100</v>
      </c>
      <c r="C104" s="2670" t="s">
        <v>3061</v>
      </c>
      <c r="D104" s="3247" t="s">
        <v>4104</v>
      </c>
      <c r="E104" s="894">
        <v>8160519</v>
      </c>
      <c r="F104" s="2415" t="s">
        <v>3029</v>
      </c>
      <c r="G104" s="2419" t="s">
        <v>3030</v>
      </c>
      <c r="H104" s="2669" t="s">
        <v>3137</v>
      </c>
      <c r="I104" s="2419" t="s">
        <v>3012</v>
      </c>
      <c r="J104" s="2670" t="s">
        <v>183</v>
      </c>
      <c r="K104" s="2670" t="s">
        <v>694</v>
      </c>
      <c r="L104" s="2419" t="s">
        <v>723</v>
      </c>
      <c r="M104" s="2419">
        <v>1</v>
      </c>
      <c r="N104" s="2415" t="s">
        <v>285</v>
      </c>
      <c r="O104" s="2669" t="s">
        <v>3024</v>
      </c>
      <c r="P104" s="936">
        <v>43608</v>
      </c>
      <c r="Q104" s="852" t="s">
        <v>2524</v>
      </c>
      <c r="R104" s="1275"/>
      <c r="S104" s="2415" t="s">
        <v>2902</v>
      </c>
      <c r="T104" s="2846" t="str">
        <f t="shared" si="11"/>
        <v>8160519 Triangle TR668 3215 China</v>
      </c>
    </row>
    <row r="105" spans="2:20" ht="15">
      <c r="B105" s="2414">
        <v>101</v>
      </c>
      <c r="C105" s="2670" t="s">
        <v>3061</v>
      </c>
      <c r="D105" s="3247" t="s">
        <v>4104</v>
      </c>
      <c r="E105" s="894">
        <v>8170519</v>
      </c>
      <c r="F105" s="2415" t="s">
        <v>3683</v>
      </c>
      <c r="G105" s="2419" t="s">
        <v>3689</v>
      </c>
      <c r="H105" s="2669" t="s">
        <v>3685</v>
      </c>
      <c r="I105" s="2419" t="s">
        <v>3012</v>
      </c>
      <c r="J105" s="2670" t="s">
        <v>183</v>
      </c>
      <c r="K105" s="2670" t="s">
        <v>694</v>
      </c>
      <c r="L105" s="2419" t="s">
        <v>723</v>
      </c>
      <c r="M105" s="2419">
        <v>1</v>
      </c>
      <c r="N105" s="2415" t="s">
        <v>285</v>
      </c>
      <c r="O105" s="2669" t="s">
        <v>3024</v>
      </c>
      <c r="P105" s="936">
        <v>43608</v>
      </c>
      <c r="Q105" s="852" t="s">
        <v>2524</v>
      </c>
      <c r="R105" s="1275"/>
      <c r="S105" s="2415" t="s">
        <v>2902</v>
      </c>
      <c r="T105" s="2846" t="str">
        <f t="shared" si="11"/>
        <v>8170519 Ovation VI702 4815 China</v>
      </c>
    </row>
    <row r="106" spans="2:20" ht="15">
      <c r="B106" s="2414">
        <v>102</v>
      </c>
      <c r="C106" s="2670" t="s">
        <v>3061</v>
      </c>
      <c r="D106" s="3247" t="s">
        <v>4104</v>
      </c>
      <c r="E106" s="894">
        <v>8180519</v>
      </c>
      <c r="F106" s="2415" t="s">
        <v>3683</v>
      </c>
      <c r="G106" s="2419" t="s">
        <v>3689</v>
      </c>
      <c r="H106" s="2669" t="s">
        <v>3686</v>
      </c>
      <c r="I106" s="2419" t="s">
        <v>3012</v>
      </c>
      <c r="J106" s="2670" t="s">
        <v>183</v>
      </c>
      <c r="K106" s="2670" t="s">
        <v>694</v>
      </c>
      <c r="L106" s="2419" t="s">
        <v>723</v>
      </c>
      <c r="M106" s="2419">
        <v>1</v>
      </c>
      <c r="N106" s="2415" t="s">
        <v>285</v>
      </c>
      <c r="O106" s="2669" t="s">
        <v>3024</v>
      </c>
      <c r="P106" s="936">
        <v>43608</v>
      </c>
      <c r="Q106" s="852" t="s">
        <v>2524</v>
      </c>
      <c r="R106" s="1275"/>
      <c r="S106" s="2415" t="s">
        <v>2902</v>
      </c>
      <c r="T106" s="2846" t="str">
        <f t="shared" si="11"/>
        <v>8180519 Ovation VI702 4915 China</v>
      </c>
    </row>
    <row r="107" spans="2:20" ht="15">
      <c r="B107" s="2414">
        <v>103</v>
      </c>
      <c r="C107" s="2670" t="s">
        <v>3061</v>
      </c>
      <c r="D107" s="3247" t="s">
        <v>4104</v>
      </c>
      <c r="E107" s="894">
        <v>8190619</v>
      </c>
      <c r="F107" s="2894" t="s">
        <v>3708</v>
      </c>
      <c r="G107" s="2460" t="s">
        <v>3712</v>
      </c>
      <c r="H107" s="845" t="s">
        <v>3710</v>
      </c>
      <c r="I107" s="2460" t="s">
        <v>3012</v>
      </c>
      <c r="J107" s="2670" t="s">
        <v>183</v>
      </c>
      <c r="K107" s="2670" t="s">
        <v>694</v>
      </c>
      <c r="L107" s="2460" t="s">
        <v>723</v>
      </c>
      <c r="M107" s="2419">
        <v>1</v>
      </c>
      <c r="N107" s="2415" t="s">
        <v>285</v>
      </c>
      <c r="O107" s="2669" t="s">
        <v>3024</v>
      </c>
      <c r="P107" s="936">
        <v>43630</v>
      </c>
      <c r="Q107" s="852" t="s">
        <v>2524</v>
      </c>
      <c r="R107" s="1275"/>
      <c r="S107" s="2415" t="s">
        <v>2902</v>
      </c>
      <c r="T107" s="2846" t="str">
        <f t="shared" ref="T107:T108" si="12">CONCATENATE(E107," ", F107," ", G107," ", H107," ", I107)</f>
        <v>8190619 Golden Crown AT160 1617 China</v>
      </c>
    </row>
    <row r="108" spans="2:20" ht="15">
      <c r="B108" s="2414">
        <v>104</v>
      </c>
      <c r="C108" s="2670" t="s">
        <v>3061</v>
      </c>
      <c r="D108" s="3247" t="s">
        <v>4104</v>
      </c>
      <c r="E108" s="894">
        <v>8200619</v>
      </c>
      <c r="F108" s="2420" t="s">
        <v>3709</v>
      </c>
      <c r="G108" s="2419">
        <v>366</v>
      </c>
      <c r="H108" s="845" t="s">
        <v>3711</v>
      </c>
      <c r="I108" s="2460" t="s">
        <v>3012</v>
      </c>
      <c r="J108" s="2670" t="s">
        <v>183</v>
      </c>
      <c r="K108" s="2670" t="s">
        <v>694</v>
      </c>
      <c r="L108" s="2460" t="s">
        <v>723</v>
      </c>
      <c r="M108" s="2419">
        <v>1</v>
      </c>
      <c r="N108" s="2415" t="s">
        <v>285</v>
      </c>
      <c r="O108" s="2669" t="s">
        <v>3024</v>
      </c>
      <c r="P108" s="936">
        <v>43630</v>
      </c>
      <c r="Q108" s="852" t="s">
        <v>2524</v>
      </c>
      <c r="R108" s="1275"/>
      <c r="S108" s="2415" t="s">
        <v>2902</v>
      </c>
      <c r="T108" s="2846" t="str">
        <f t="shared" si="12"/>
        <v>8200619 Amberstone 366 3117 China</v>
      </c>
    </row>
    <row r="109" spans="2:20" ht="15">
      <c r="B109" s="2414">
        <v>105</v>
      </c>
      <c r="C109" s="2670" t="s">
        <v>3061</v>
      </c>
      <c r="D109" s="3247" t="s">
        <v>4104</v>
      </c>
      <c r="E109" s="894">
        <v>8210719</v>
      </c>
      <c r="F109" s="2420" t="s">
        <v>3544</v>
      </c>
      <c r="G109" s="2460" t="s">
        <v>3545</v>
      </c>
      <c r="H109" s="845" t="s">
        <v>3546</v>
      </c>
      <c r="I109" s="2460" t="s">
        <v>3012</v>
      </c>
      <c r="J109" s="2670" t="s">
        <v>183</v>
      </c>
      <c r="K109" s="2670" t="s">
        <v>694</v>
      </c>
      <c r="L109" s="2460" t="s">
        <v>723</v>
      </c>
      <c r="M109" s="2419">
        <v>1</v>
      </c>
      <c r="N109" s="2415" t="s">
        <v>285</v>
      </c>
      <c r="O109" s="2669" t="s">
        <v>3024</v>
      </c>
      <c r="P109" s="936">
        <v>43654</v>
      </c>
      <c r="Q109" s="852" t="s">
        <v>2524</v>
      </c>
      <c r="R109" s="1275"/>
      <c r="S109" s="2415" t="s">
        <v>2902</v>
      </c>
      <c r="T109" s="2846" t="str">
        <f t="shared" ref="T109:T111" si="13">CONCATENATE(E109," ", F109," ", G109," ", H109," ", I109)</f>
        <v>8210719 Lanvigator S600 0118 China</v>
      </c>
    </row>
    <row r="110" spans="2:20" ht="15">
      <c r="B110" s="2414">
        <v>106</v>
      </c>
      <c r="C110" s="2670" t="s">
        <v>3061</v>
      </c>
      <c r="D110" s="3247" t="s">
        <v>4104</v>
      </c>
      <c r="E110" s="894">
        <v>8220719</v>
      </c>
      <c r="F110" s="2420" t="s">
        <v>3544</v>
      </c>
      <c r="G110" s="2460" t="s">
        <v>3545</v>
      </c>
      <c r="H110" s="845" t="s">
        <v>3546</v>
      </c>
      <c r="I110" s="2460" t="s">
        <v>3012</v>
      </c>
      <c r="J110" s="2670" t="s">
        <v>183</v>
      </c>
      <c r="K110" s="2670" t="s">
        <v>694</v>
      </c>
      <c r="L110" s="2460" t="s">
        <v>723</v>
      </c>
      <c r="M110" s="2419">
        <v>1</v>
      </c>
      <c r="N110" s="2415" t="s">
        <v>285</v>
      </c>
      <c r="O110" s="2669" t="s">
        <v>3024</v>
      </c>
      <c r="P110" s="936">
        <v>43654</v>
      </c>
      <c r="Q110" s="852" t="s">
        <v>2524</v>
      </c>
      <c r="R110" s="1275"/>
      <c r="S110" s="2415" t="s">
        <v>2902</v>
      </c>
      <c r="T110" s="2846" t="str">
        <f t="shared" si="13"/>
        <v>8220719 Lanvigator S600 0118 China</v>
      </c>
    </row>
    <row r="111" spans="2:20" ht="15">
      <c r="B111" s="2414">
        <v>107</v>
      </c>
      <c r="C111" s="2670" t="s">
        <v>3061</v>
      </c>
      <c r="D111" s="3247" t="s">
        <v>4104</v>
      </c>
      <c r="E111" s="894">
        <v>8230719</v>
      </c>
      <c r="F111" s="2420" t="s">
        <v>3768</v>
      </c>
      <c r="G111" s="2419">
        <v>300</v>
      </c>
      <c r="H111" s="845" t="s">
        <v>3766</v>
      </c>
      <c r="I111" s="2460" t="s">
        <v>3012</v>
      </c>
      <c r="J111" s="2670" t="s">
        <v>183</v>
      </c>
      <c r="K111" s="2670" t="s">
        <v>694</v>
      </c>
      <c r="L111" s="2460" t="s">
        <v>723</v>
      </c>
      <c r="M111" s="2419">
        <v>1</v>
      </c>
      <c r="N111" s="2415" t="s">
        <v>285</v>
      </c>
      <c r="O111" s="2669" t="s">
        <v>3024</v>
      </c>
      <c r="P111" s="936">
        <v>43654</v>
      </c>
      <c r="Q111" s="852" t="s">
        <v>2524</v>
      </c>
      <c r="R111" s="1275"/>
      <c r="S111" s="2420" t="s">
        <v>3767</v>
      </c>
      <c r="T111" s="2846" t="str">
        <f t="shared" si="13"/>
        <v>8230719 Annaite 300 4917 China</v>
      </c>
    </row>
    <row r="112" spans="2:20" ht="15">
      <c r="B112" s="2414">
        <v>108</v>
      </c>
      <c r="C112" s="2670" t="s">
        <v>3061</v>
      </c>
      <c r="D112" s="3247" t="s">
        <v>4104</v>
      </c>
      <c r="E112" s="894">
        <v>8240719</v>
      </c>
      <c r="F112" s="3037" t="s">
        <v>247</v>
      </c>
      <c r="G112" s="2460" t="s">
        <v>3480</v>
      </c>
      <c r="H112" s="845" t="s">
        <v>3790</v>
      </c>
      <c r="I112" s="2460" t="s">
        <v>3012</v>
      </c>
      <c r="J112" s="2670" t="s">
        <v>183</v>
      </c>
      <c r="K112" s="2670" t="s">
        <v>694</v>
      </c>
      <c r="L112" s="2460" t="s">
        <v>723</v>
      </c>
      <c r="M112" s="2419">
        <v>1</v>
      </c>
      <c r="N112" s="2415" t="s">
        <v>285</v>
      </c>
      <c r="O112" s="2669" t="s">
        <v>3024</v>
      </c>
      <c r="P112" s="936">
        <v>43668</v>
      </c>
      <c r="Q112" s="852" t="s">
        <v>2524</v>
      </c>
      <c r="R112" s="1275"/>
      <c r="S112" s="2415" t="s">
        <v>2902</v>
      </c>
      <c r="T112" s="2846" t="str">
        <f t="shared" ref="T112:T113" si="14">CONCATENATE(E112," ", F112," ", G112," ", H112," ", I112)</f>
        <v>8240719 Double Happines DR928 4417 China</v>
      </c>
    </row>
    <row r="113" spans="1:20" ht="15">
      <c r="B113" s="2414">
        <v>109</v>
      </c>
      <c r="C113" s="2670" t="s">
        <v>3061</v>
      </c>
      <c r="D113" s="3247" t="s">
        <v>4104</v>
      </c>
      <c r="E113" s="894">
        <v>8250719</v>
      </c>
      <c r="F113" s="3037" t="s">
        <v>247</v>
      </c>
      <c r="G113" s="2460" t="s">
        <v>3480</v>
      </c>
      <c r="H113" s="845" t="s">
        <v>3790</v>
      </c>
      <c r="I113" s="2460" t="s">
        <v>3012</v>
      </c>
      <c r="J113" s="2670" t="s">
        <v>183</v>
      </c>
      <c r="K113" s="2670" t="s">
        <v>694</v>
      </c>
      <c r="L113" s="2460" t="s">
        <v>723</v>
      </c>
      <c r="M113" s="2419">
        <v>1</v>
      </c>
      <c r="N113" s="2415" t="s">
        <v>285</v>
      </c>
      <c r="O113" s="2669" t="s">
        <v>3024</v>
      </c>
      <c r="P113" s="936">
        <v>43668</v>
      </c>
      <c r="Q113" s="852" t="s">
        <v>2524</v>
      </c>
      <c r="R113" s="1275"/>
      <c r="S113" s="2415" t="s">
        <v>2902</v>
      </c>
      <c r="T113" s="2846" t="str">
        <f t="shared" si="14"/>
        <v>8250719 Double Happines DR928 4417 China</v>
      </c>
    </row>
    <row r="114" spans="1:20" ht="15">
      <c r="B114" s="2414">
        <v>110</v>
      </c>
      <c r="C114" s="2670" t="s">
        <v>2776</v>
      </c>
      <c r="D114" s="2417" t="s">
        <v>4104</v>
      </c>
      <c r="E114" s="894">
        <v>8260819</v>
      </c>
      <c r="F114" s="3037" t="s">
        <v>247</v>
      </c>
      <c r="G114" s="2460" t="s">
        <v>2903</v>
      </c>
      <c r="H114" s="845" t="s">
        <v>3790</v>
      </c>
      <c r="I114" s="2460" t="s">
        <v>3012</v>
      </c>
      <c r="J114" s="2670" t="s">
        <v>834</v>
      </c>
      <c r="K114" s="2670" t="s">
        <v>694</v>
      </c>
      <c r="L114" s="2460" t="s">
        <v>723</v>
      </c>
      <c r="M114" s="2419">
        <v>1</v>
      </c>
      <c r="N114" s="2415" t="s">
        <v>3197</v>
      </c>
      <c r="O114" s="2669" t="s">
        <v>3024</v>
      </c>
      <c r="P114" s="936">
        <v>43679</v>
      </c>
      <c r="Q114" s="852" t="s">
        <v>2524</v>
      </c>
      <c r="R114" s="1275"/>
      <c r="S114" s="2415" t="s">
        <v>3805</v>
      </c>
      <c r="T114" s="2846" t="str">
        <f t="shared" ref="T114:T116" si="15">CONCATENATE(E114," ", F114," ", G114," ", H114," ", I114)</f>
        <v>8260819 Double Happines DR908 4417 China</v>
      </c>
    </row>
    <row r="115" spans="1:20" ht="15">
      <c r="B115" s="2414">
        <v>111</v>
      </c>
      <c r="C115" s="2670" t="s">
        <v>3061</v>
      </c>
      <c r="D115" s="3247" t="s">
        <v>4104</v>
      </c>
      <c r="E115" s="894">
        <v>8270819</v>
      </c>
      <c r="F115" s="3037" t="s">
        <v>247</v>
      </c>
      <c r="G115" s="2460" t="s">
        <v>3480</v>
      </c>
      <c r="H115" s="845" t="s">
        <v>3790</v>
      </c>
      <c r="I115" s="2460" t="s">
        <v>3012</v>
      </c>
      <c r="J115" s="2670" t="s">
        <v>183</v>
      </c>
      <c r="K115" s="2670" t="s">
        <v>694</v>
      </c>
      <c r="L115" s="2460" t="s">
        <v>723</v>
      </c>
      <c r="M115" s="2419">
        <v>1</v>
      </c>
      <c r="N115" s="2415" t="s">
        <v>285</v>
      </c>
      <c r="O115" s="2669" t="s">
        <v>3024</v>
      </c>
      <c r="P115" s="936">
        <v>43679</v>
      </c>
      <c r="Q115" s="852" t="s">
        <v>2524</v>
      </c>
      <c r="R115" s="1275"/>
      <c r="S115" s="2415" t="s">
        <v>2902</v>
      </c>
      <c r="T115" s="2846" t="str">
        <f t="shared" si="15"/>
        <v>8270819 Double Happines DR928 4417 China</v>
      </c>
    </row>
    <row r="116" spans="1:20" ht="15">
      <c r="B116" s="2414">
        <v>112</v>
      </c>
      <c r="C116" s="2670" t="s">
        <v>3061</v>
      </c>
      <c r="D116" s="3247" t="s">
        <v>4104</v>
      </c>
      <c r="E116" s="894">
        <v>8280819</v>
      </c>
      <c r="F116" s="3037" t="s">
        <v>247</v>
      </c>
      <c r="G116" s="2460" t="s">
        <v>3480</v>
      </c>
      <c r="H116" s="845" t="s">
        <v>3790</v>
      </c>
      <c r="I116" s="2460" t="s">
        <v>3012</v>
      </c>
      <c r="J116" s="2670" t="s">
        <v>834</v>
      </c>
      <c r="K116" s="2670" t="s">
        <v>694</v>
      </c>
      <c r="L116" s="2460" t="s">
        <v>723</v>
      </c>
      <c r="M116" s="2419">
        <v>1</v>
      </c>
      <c r="N116" s="2415" t="s">
        <v>285</v>
      </c>
      <c r="O116" s="2669" t="s">
        <v>3024</v>
      </c>
      <c r="P116" s="936">
        <v>43679</v>
      </c>
      <c r="Q116" s="852" t="s">
        <v>2524</v>
      </c>
      <c r="R116" s="1275"/>
      <c r="S116" s="2415" t="s">
        <v>2902</v>
      </c>
      <c r="T116" s="2846" t="str">
        <f t="shared" si="15"/>
        <v>8280819 Double Happines DR928 4417 China</v>
      </c>
    </row>
    <row r="117" spans="1:20" ht="15">
      <c r="B117" s="2414">
        <v>113</v>
      </c>
      <c r="C117" s="2670" t="s">
        <v>3061</v>
      </c>
      <c r="D117" s="3247" t="s">
        <v>4104</v>
      </c>
      <c r="E117" s="894">
        <v>8290819</v>
      </c>
      <c r="F117" s="3037" t="s">
        <v>247</v>
      </c>
      <c r="G117" s="2460" t="s">
        <v>2903</v>
      </c>
      <c r="H117" s="845" t="s">
        <v>3405</v>
      </c>
      <c r="I117" s="2460" t="s">
        <v>3012</v>
      </c>
      <c r="J117" s="2670" t="s">
        <v>183</v>
      </c>
      <c r="K117" s="2670" t="s">
        <v>694</v>
      </c>
      <c r="L117" s="2460" t="s">
        <v>723</v>
      </c>
      <c r="M117" s="2419">
        <v>1</v>
      </c>
      <c r="N117" s="2415" t="s">
        <v>2428</v>
      </c>
      <c r="O117" s="2669" t="s">
        <v>3835</v>
      </c>
      <c r="P117" s="936">
        <v>43691</v>
      </c>
      <c r="Q117" s="852" t="s">
        <v>2524</v>
      </c>
      <c r="R117" s="1275"/>
      <c r="S117" s="2894" t="s">
        <v>3836</v>
      </c>
      <c r="T117" s="2846" t="str">
        <f t="shared" ref="T117:T119" si="16">CONCATENATE(E117," ", F117," ", G117," ", H117," ", I117)</f>
        <v>8290819 Double Happines DR908 1915 China</v>
      </c>
    </row>
    <row r="118" spans="1:20" ht="15">
      <c r="B118" s="2414">
        <v>114</v>
      </c>
      <c r="C118" s="2670" t="s">
        <v>3061</v>
      </c>
      <c r="D118" s="3247" t="s">
        <v>4104</v>
      </c>
      <c r="E118" s="894">
        <v>8300819</v>
      </c>
      <c r="F118" s="3037" t="s">
        <v>247</v>
      </c>
      <c r="G118" s="2460" t="s">
        <v>2903</v>
      </c>
      <c r="H118" s="845" t="s">
        <v>3405</v>
      </c>
      <c r="I118" s="2460" t="s">
        <v>3012</v>
      </c>
      <c r="J118" s="2670" t="s">
        <v>183</v>
      </c>
      <c r="K118" s="2670" t="s">
        <v>694</v>
      </c>
      <c r="L118" s="2460" t="s">
        <v>723</v>
      </c>
      <c r="M118" s="2419">
        <v>1</v>
      </c>
      <c r="N118" s="2415" t="s">
        <v>2428</v>
      </c>
      <c r="O118" s="2669" t="s">
        <v>3835</v>
      </c>
      <c r="P118" s="936">
        <v>43691</v>
      </c>
      <c r="Q118" s="852" t="s">
        <v>2524</v>
      </c>
      <c r="R118" s="1275"/>
      <c r="S118" s="2894" t="s">
        <v>3836</v>
      </c>
      <c r="T118" s="2846" t="str">
        <f t="shared" si="16"/>
        <v>8300819 Double Happines DR908 1915 China</v>
      </c>
    </row>
    <row r="119" spans="1:20" ht="15">
      <c r="B119" s="2414">
        <v>115</v>
      </c>
      <c r="C119" s="2670" t="s">
        <v>3061</v>
      </c>
      <c r="D119" s="3247" t="s">
        <v>4104</v>
      </c>
      <c r="E119" s="894">
        <v>8310819</v>
      </c>
      <c r="F119" s="3037" t="s">
        <v>247</v>
      </c>
      <c r="G119" s="2460" t="s">
        <v>2903</v>
      </c>
      <c r="H119" s="845" t="s">
        <v>3405</v>
      </c>
      <c r="I119" s="2460" t="s">
        <v>3012</v>
      </c>
      <c r="J119" s="2670" t="s">
        <v>183</v>
      </c>
      <c r="K119" s="2670" t="s">
        <v>694</v>
      </c>
      <c r="L119" s="2460" t="s">
        <v>723</v>
      </c>
      <c r="M119" s="2419">
        <v>1</v>
      </c>
      <c r="N119" s="2415" t="s">
        <v>2428</v>
      </c>
      <c r="O119" s="2669" t="s">
        <v>3835</v>
      </c>
      <c r="P119" s="936">
        <v>43691</v>
      </c>
      <c r="Q119" s="852" t="s">
        <v>2524</v>
      </c>
      <c r="R119" s="1275"/>
      <c r="S119" s="2894" t="s">
        <v>3836</v>
      </c>
      <c r="T119" s="2846" t="str">
        <f t="shared" si="16"/>
        <v>8310819 Double Happines DR908 1915 China</v>
      </c>
    </row>
    <row r="120" spans="1:20" ht="15">
      <c r="B120" s="2414">
        <v>115</v>
      </c>
      <c r="C120" s="2670" t="s">
        <v>3061</v>
      </c>
      <c r="D120" s="3247" t="s">
        <v>4104</v>
      </c>
      <c r="E120" s="894">
        <v>8320819</v>
      </c>
      <c r="F120" s="3037" t="s">
        <v>247</v>
      </c>
      <c r="G120" s="2460" t="s">
        <v>2903</v>
      </c>
      <c r="H120" s="845" t="s">
        <v>3401</v>
      </c>
      <c r="I120" s="2460" t="s">
        <v>3012</v>
      </c>
      <c r="J120" s="2670" t="s">
        <v>183</v>
      </c>
      <c r="K120" s="2670" t="s">
        <v>694</v>
      </c>
      <c r="L120" s="2460" t="s">
        <v>723</v>
      </c>
      <c r="M120" s="2419">
        <v>1</v>
      </c>
      <c r="N120" s="2415" t="s">
        <v>285</v>
      </c>
      <c r="O120" s="2669"/>
      <c r="P120" s="936">
        <v>43703</v>
      </c>
      <c r="Q120" s="852" t="s">
        <v>2524</v>
      </c>
      <c r="R120" s="1275"/>
      <c r="S120" s="2894" t="s">
        <v>3837</v>
      </c>
      <c r="T120" s="2846" t="str">
        <f t="shared" ref="T120" si="17">CONCATENATE(E120," ", F120," ", G120," ", H120," ", I120)</f>
        <v>8320819 Double Happines DR908 1018 China</v>
      </c>
    </row>
    <row r="121" spans="1:20" ht="15">
      <c r="B121" s="2414">
        <v>116</v>
      </c>
      <c r="C121" s="2670" t="s">
        <v>3061</v>
      </c>
      <c r="D121" s="3247" t="s">
        <v>4104</v>
      </c>
      <c r="E121" s="894">
        <v>8330919</v>
      </c>
      <c r="F121" s="3037" t="s">
        <v>247</v>
      </c>
      <c r="G121" s="2460" t="s">
        <v>3480</v>
      </c>
      <c r="H121" s="845" t="s">
        <v>3848</v>
      </c>
      <c r="I121" s="2460" t="s">
        <v>3012</v>
      </c>
      <c r="J121" s="2670" t="s">
        <v>183</v>
      </c>
      <c r="K121" s="2670" t="s">
        <v>694</v>
      </c>
      <c r="L121" s="2460" t="s">
        <v>723</v>
      </c>
      <c r="M121" s="2419">
        <v>1</v>
      </c>
      <c r="N121" s="2415" t="s">
        <v>285</v>
      </c>
      <c r="O121" s="2669"/>
      <c r="P121" s="936">
        <v>43712</v>
      </c>
      <c r="Q121" s="852" t="s">
        <v>2524</v>
      </c>
      <c r="R121" s="1275"/>
      <c r="S121" s="2415" t="s">
        <v>2902</v>
      </c>
      <c r="T121" s="2846" t="str">
        <f t="shared" ref="T121" si="18">CONCATENATE(E121," ", F121," ", G121," ", H121," ", I121)</f>
        <v>8330919 Double Happines DR928 2717 China</v>
      </c>
    </row>
    <row r="122" spans="1:20" ht="15">
      <c r="B122" s="2414">
        <v>117</v>
      </c>
      <c r="C122" s="2670" t="s">
        <v>3061</v>
      </c>
      <c r="D122" s="3247" t="s">
        <v>4104</v>
      </c>
      <c r="E122" s="894">
        <v>8340919</v>
      </c>
      <c r="F122" s="3037" t="s">
        <v>3870</v>
      </c>
      <c r="G122" s="2460" t="s">
        <v>3871</v>
      </c>
      <c r="H122" s="845" t="s">
        <v>3872</v>
      </c>
      <c r="I122" s="2460" t="s">
        <v>3012</v>
      </c>
      <c r="J122" s="2670" t="s">
        <v>183</v>
      </c>
      <c r="K122" s="2670" t="s">
        <v>694</v>
      </c>
      <c r="L122" s="2460" t="s">
        <v>723</v>
      </c>
      <c r="M122" s="2419">
        <v>1</v>
      </c>
      <c r="N122" s="2415" t="s">
        <v>285</v>
      </c>
      <c r="O122" s="2669"/>
      <c r="P122" s="936">
        <v>43722</v>
      </c>
      <c r="Q122" s="852" t="s">
        <v>2524</v>
      </c>
      <c r="R122" s="1275"/>
      <c r="S122" s="2415" t="s">
        <v>2902</v>
      </c>
      <c r="T122" s="2846" t="str">
        <f t="shared" ref="T122" si="19">CONCATENATE(E122," ", F122," ", G122," ", H122," ", I122)</f>
        <v>8340919 DOUPRO ST901 3218 China</v>
      </c>
    </row>
    <row r="123" spans="1:20" ht="15">
      <c r="B123" s="2414">
        <v>118</v>
      </c>
      <c r="C123" s="2670" t="s">
        <v>3061</v>
      </c>
      <c r="D123" s="3247" t="s">
        <v>4104</v>
      </c>
      <c r="E123" s="894">
        <v>8350919</v>
      </c>
      <c r="F123" s="3037" t="s">
        <v>3683</v>
      </c>
      <c r="G123" s="2460" t="s">
        <v>3689</v>
      </c>
      <c r="H123" s="845" t="s">
        <v>3888</v>
      </c>
      <c r="I123" s="2460" t="s">
        <v>3012</v>
      </c>
      <c r="J123" s="2670" t="s">
        <v>834</v>
      </c>
      <c r="K123" s="2670" t="s">
        <v>694</v>
      </c>
      <c r="L123" s="2460" t="s">
        <v>723</v>
      </c>
      <c r="M123" s="2419">
        <v>1</v>
      </c>
      <c r="N123" s="2415" t="s">
        <v>285</v>
      </c>
      <c r="O123" s="2669"/>
      <c r="P123" s="936">
        <v>43738</v>
      </c>
      <c r="Q123" s="852" t="s">
        <v>2524</v>
      </c>
      <c r="R123" s="1275"/>
      <c r="S123" s="2415" t="s">
        <v>2902</v>
      </c>
      <c r="T123" s="2846" t="str">
        <f t="shared" ref="T123:T133" si="20">CONCATENATE(E123," ", F123," ", G123," ", H123," ", I123)</f>
        <v>8350919 Ovation VI702 3618 China</v>
      </c>
    </row>
    <row r="124" spans="1:20" ht="15">
      <c r="A124" s="3208">
        <f t="shared" ref="A124:A133" si="21">1+A123</f>
        <v>1</v>
      </c>
      <c r="B124" s="2414">
        <f>1+B123</f>
        <v>119</v>
      </c>
      <c r="C124" s="2670" t="s">
        <v>2776</v>
      </c>
      <c r="D124" s="3247" t="s">
        <v>4104</v>
      </c>
      <c r="E124" s="894">
        <v>8360919</v>
      </c>
      <c r="F124" s="3037" t="s">
        <v>3029</v>
      </c>
      <c r="G124" s="2460" t="s">
        <v>3915</v>
      </c>
      <c r="H124" s="845" t="s">
        <v>3912</v>
      </c>
      <c r="I124" s="2460" t="s">
        <v>3012</v>
      </c>
      <c r="J124" s="2670" t="s">
        <v>834</v>
      </c>
      <c r="K124" s="2670" t="s">
        <v>694</v>
      </c>
      <c r="L124" s="2460" t="s">
        <v>723</v>
      </c>
      <c r="M124" s="2419">
        <v>0</v>
      </c>
      <c r="N124" s="2420" t="s">
        <v>3917</v>
      </c>
      <c r="O124" s="845" t="s">
        <v>3024</v>
      </c>
      <c r="P124" s="3210">
        <v>43720</v>
      </c>
      <c r="Q124" s="3211" t="s">
        <v>3883</v>
      </c>
      <c r="R124" s="1275">
        <v>43727</v>
      </c>
      <c r="S124" s="3218" t="s">
        <v>3918</v>
      </c>
      <c r="T124" s="3209" t="str">
        <f t="shared" si="20"/>
        <v>8360919 Triangle TR666 0717 China</v>
      </c>
    </row>
    <row r="125" spans="1:20" ht="15">
      <c r="A125" s="3208">
        <f t="shared" si="21"/>
        <v>2</v>
      </c>
      <c r="B125" s="2414">
        <f t="shared" ref="B125:B133" si="22">1+B124</f>
        <v>120</v>
      </c>
      <c r="C125" s="2670" t="s">
        <v>2776</v>
      </c>
      <c r="D125" s="3247" t="s">
        <v>4104</v>
      </c>
      <c r="E125" s="894">
        <v>8370919</v>
      </c>
      <c r="F125" s="3037" t="s">
        <v>3029</v>
      </c>
      <c r="G125" s="2460" t="s">
        <v>3915</v>
      </c>
      <c r="H125" s="845" t="s">
        <v>3912</v>
      </c>
      <c r="I125" s="2460" t="s">
        <v>3012</v>
      </c>
      <c r="J125" s="2670" t="s">
        <v>834</v>
      </c>
      <c r="K125" s="2670" t="s">
        <v>694</v>
      </c>
      <c r="L125" s="2460" t="s">
        <v>723</v>
      </c>
      <c r="M125" s="2419">
        <v>0</v>
      </c>
      <c r="N125" s="2420" t="s">
        <v>3917</v>
      </c>
      <c r="O125" s="845" t="s">
        <v>3024</v>
      </c>
      <c r="P125" s="3210">
        <v>43720</v>
      </c>
      <c r="Q125" s="3211" t="s">
        <v>3883</v>
      </c>
      <c r="R125" s="1275">
        <v>43727</v>
      </c>
      <c r="S125" s="3218" t="s">
        <v>3918</v>
      </c>
      <c r="T125" s="3209" t="str">
        <f t="shared" si="20"/>
        <v>8370919 Triangle TR666 0717 China</v>
      </c>
    </row>
    <row r="126" spans="1:20" ht="15">
      <c r="A126" s="3208">
        <f t="shared" si="21"/>
        <v>3</v>
      </c>
      <c r="B126" s="2414">
        <f t="shared" si="22"/>
        <v>121</v>
      </c>
      <c r="C126" s="2670" t="s">
        <v>2776</v>
      </c>
      <c r="D126" s="3247" t="s">
        <v>4104</v>
      </c>
      <c r="E126" s="894">
        <v>8380919</v>
      </c>
      <c r="F126" s="3037" t="s">
        <v>3911</v>
      </c>
      <c r="G126" s="2460" t="s">
        <v>3916</v>
      </c>
      <c r="H126" s="845" t="s">
        <v>3913</v>
      </c>
      <c r="I126" s="2460" t="s">
        <v>3012</v>
      </c>
      <c r="J126" s="2670" t="s">
        <v>834</v>
      </c>
      <c r="K126" s="2670" t="s">
        <v>694</v>
      </c>
      <c r="L126" s="2460" t="s">
        <v>723</v>
      </c>
      <c r="M126" s="2419">
        <v>0</v>
      </c>
      <c r="N126" s="2420" t="s">
        <v>3917</v>
      </c>
      <c r="O126" s="845" t="s">
        <v>3024</v>
      </c>
      <c r="P126" s="3210">
        <v>43720</v>
      </c>
      <c r="Q126" s="3211" t="s">
        <v>3883</v>
      </c>
      <c r="R126" s="1275">
        <v>43727</v>
      </c>
      <c r="S126" s="3218" t="s">
        <v>3918</v>
      </c>
      <c r="T126" s="3209" t="str">
        <f t="shared" si="20"/>
        <v>8380919 Compasal CPS60 0719 China</v>
      </c>
    </row>
    <row r="127" spans="1:20" ht="15">
      <c r="A127" s="3208">
        <f t="shared" si="21"/>
        <v>4</v>
      </c>
      <c r="B127" s="2414">
        <f t="shared" si="22"/>
        <v>122</v>
      </c>
      <c r="C127" s="2670" t="s">
        <v>2776</v>
      </c>
      <c r="D127" s="3247" t="s">
        <v>4104</v>
      </c>
      <c r="E127" s="894">
        <v>8390919</v>
      </c>
      <c r="F127" s="3037" t="s">
        <v>3911</v>
      </c>
      <c r="G127" s="2460" t="s">
        <v>3916</v>
      </c>
      <c r="H127" s="845"/>
      <c r="I127" s="2460" t="s">
        <v>3012</v>
      </c>
      <c r="J127" s="2670" t="s">
        <v>834</v>
      </c>
      <c r="K127" s="2670" t="s">
        <v>694</v>
      </c>
      <c r="L127" s="2460" t="s">
        <v>723</v>
      </c>
      <c r="M127" s="2419">
        <v>0</v>
      </c>
      <c r="N127" s="2420" t="s">
        <v>3917</v>
      </c>
      <c r="O127" s="845" t="s">
        <v>3024</v>
      </c>
      <c r="P127" s="3210">
        <v>43720</v>
      </c>
      <c r="Q127" s="3211" t="s">
        <v>3883</v>
      </c>
      <c r="R127" s="1275">
        <v>43727</v>
      </c>
      <c r="S127" s="3218" t="s">
        <v>3918</v>
      </c>
      <c r="T127" s="3209" t="str">
        <f t="shared" si="20"/>
        <v>8390919 Compasal CPS60  China</v>
      </c>
    </row>
    <row r="128" spans="1:20" ht="15">
      <c r="A128" s="3208">
        <f t="shared" si="21"/>
        <v>5</v>
      </c>
      <c r="B128" s="2414">
        <f t="shared" si="22"/>
        <v>123</v>
      </c>
      <c r="C128" s="2670" t="s">
        <v>2776</v>
      </c>
      <c r="D128" s="3247" t="s">
        <v>4104</v>
      </c>
      <c r="E128" s="894">
        <v>8400919</v>
      </c>
      <c r="F128" s="3037" t="s">
        <v>3911</v>
      </c>
      <c r="G128" s="2460" t="s">
        <v>3916</v>
      </c>
      <c r="H128" s="845"/>
      <c r="I128" s="2460" t="s">
        <v>3012</v>
      </c>
      <c r="J128" s="2670" t="s">
        <v>834</v>
      </c>
      <c r="K128" s="2670" t="s">
        <v>694</v>
      </c>
      <c r="L128" s="2460" t="s">
        <v>723</v>
      </c>
      <c r="M128" s="2419">
        <v>0</v>
      </c>
      <c r="N128" s="2420" t="s">
        <v>3917</v>
      </c>
      <c r="O128" s="845" t="s">
        <v>3024</v>
      </c>
      <c r="P128" s="3210">
        <v>43720</v>
      </c>
      <c r="Q128" s="3211" t="s">
        <v>3883</v>
      </c>
      <c r="R128" s="1275">
        <v>43727</v>
      </c>
      <c r="S128" s="3218" t="s">
        <v>3918</v>
      </c>
      <c r="T128" s="3209" t="str">
        <f t="shared" si="20"/>
        <v>8400919 Compasal CPS60  China</v>
      </c>
    </row>
    <row r="129" spans="1:20" ht="15">
      <c r="A129" s="3208">
        <f t="shared" si="21"/>
        <v>6</v>
      </c>
      <c r="B129" s="2414">
        <f t="shared" si="22"/>
        <v>124</v>
      </c>
      <c r="C129" s="2670" t="s">
        <v>2776</v>
      </c>
      <c r="D129" s="3247" t="s">
        <v>4104</v>
      </c>
      <c r="E129" s="894">
        <v>8410919</v>
      </c>
      <c r="F129" s="3037" t="s">
        <v>3911</v>
      </c>
      <c r="G129" s="2460" t="s">
        <v>3916</v>
      </c>
      <c r="H129" s="845" t="s">
        <v>3914</v>
      </c>
      <c r="I129" s="2460" t="s">
        <v>3012</v>
      </c>
      <c r="J129" s="2670" t="s">
        <v>834</v>
      </c>
      <c r="K129" s="2670" t="s">
        <v>694</v>
      </c>
      <c r="L129" s="2460" t="s">
        <v>723</v>
      </c>
      <c r="M129" s="2419">
        <v>0</v>
      </c>
      <c r="N129" s="2420" t="s">
        <v>3917</v>
      </c>
      <c r="O129" s="845" t="s">
        <v>3024</v>
      </c>
      <c r="P129" s="3210">
        <v>43720</v>
      </c>
      <c r="Q129" s="3211" t="s">
        <v>3883</v>
      </c>
      <c r="R129" s="1275">
        <v>43727</v>
      </c>
      <c r="S129" s="3218" t="s">
        <v>3918</v>
      </c>
      <c r="T129" s="3209" t="str">
        <f t="shared" si="20"/>
        <v>8410919 Compasal CPS60 4518 China</v>
      </c>
    </row>
    <row r="130" spans="1:20" ht="15">
      <c r="A130" s="3208">
        <f t="shared" si="21"/>
        <v>7</v>
      </c>
      <c r="B130" s="2414">
        <f t="shared" si="22"/>
        <v>125</v>
      </c>
      <c r="C130" s="2670" t="s">
        <v>2776</v>
      </c>
      <c r="D130" s="3247" t="s">
        <v>4104</v>
      </c>
      <c r="E130" s="894">
        <v>8420919</v>
      </c>
      <c r="F130" s="3037" t="s">
        <v>3911</v>
      </c>
      <c r="G130" s="2460" t="s">
        <v>3916</v>
      </c>
      <c r="H130" s="845" t="s">
        <v>3913</v>
      </c>
      <c r="I130" s="2460" t="s">
        <v>3012</v>
      </c>
      <c r="J130" s="2670" t="s">
        <v>834</v>
      </c>
      <c r="K130" s="2670" t="s">
        <v>694</v>
      </c>
      <c r="L130" s="2460" t="s">
        <v>723</v>
      </c>
      <c r="M130" s="2419">
        <v>0</v>
      </c>
      <c r="N130" s="2420" t="s">
        <v>3917</v>
      </c>
      <c r="O130" s="845" t="s">
        <v>3024</v>
      </c>
      <c r="P130" s="3210">
        <v>43720</v>
      </c>
      <c r="Q130" s="3211" t="s">
        <v>3883</v>
      </c>
      <c r="R130" s="1275">
        <v>43727</v>
      </c>
      <c r="S130" s="3218" t="s">
        <v>3918</v>
      </c>
      <c r="T130" s="3209" t="str">
        <f t="shared" si="20"/>
        <v>8420919 Compasal CPS60 0719 China</v>
      </c>
    </row>
    <row r="131" spans="1:20" ht="15">
      <c r="A131" s="3208">
        <f t="shared" si="21"/>
        <v>8</v>
      </c>
      <c r="B131" s="2414">
        <f t="shared" si="22"/>
        <v>126</v>
      </c>
      <c r="C131" s="2670" t="s">
        <v>2776</v>
      </c>
      <c r="D131" s="3247" t="s">
        <v>4104</v>
      </c>
      <c r="E131" s="894">
        <v>8430919</v>
      </c>
      <c r="F131" s="3037" t="s">
        <v>3911</v>
      </c>
      <c r="G131" s="2460" t="s">
        <v>3916</v>
      </c>
      <c r="H131" s="845"/>
      <c r="I131" s="2460" t="s">
        <v>3012</v>
      </c>
      <c r="J131" s="2670" t="s">
        <v>834</v>
      </c>
      <c r="K131" s="2670" t="s">
        <v>694</v>
      </c>
      <c r="L131" s="2460" t="s">
        <v>723</v>
      </c>
      <c r="M131" s="2419">
        <v>0</v>
      </c>
      <c r="N131" s="2420" t="s">
        <v>3917</v>
      </c>
      <c r="O131" s="845" t="s">
        <v>3024</v>
      </c>
      <c r="P131" s="3210">
        <v>43720</v>
      </c>
      <c r="Q131" s="3211" t="s">
        <v>3883</v>
      </c>
      <c r="R131" s="1275">
        <v>43727</v>
      </c>
      <c r="S131" s="3218" t="s">
        <v>3918</v>
      </c>
      <c r="T131" s="3209" t="str">
        <f t="shared" si="20"/>
        <v>8430919 Compasal CPS60  China</v>
      </c>
    </row>
    <row r="132" spans="1:20" ht="15">
      <c r="A132" s="3208">
        <f t="shared" si="21"/>
        <v>9</v>
      </c>
      <c r="B132" s="2414">
        <f t="shared" si="22"/>
        <v>127</v>
      </c>
      <c r="C132" s="2670" t="s">
        <v>2776</v>
      </c>
      <c r="D132" s="3247" t="s">
        <v>4104</v>
      </c>
      <c r="E132" s="894">
        <v>8440919</v>
      </c>
      <c r="F132" s="3037" t="s">
        <v>3911</v>
      </c>
      <c r="G132" s="2460" t="s">
        <v>3916</v>
      </c>
      <c r="H132" s="845"/>
      <c r="I132" s="2460" t="s">
        <v>3012</v>
      </c>
      <c r="J132" s="2670" t="s">
        <v>834</v>
      </c>
      <c r="K132" s="2670" t="s">
        <v>694</v>
      </c>
      <c r="L132" s="2460" t="s">
        <v>723</v>
      </c>
      <c r="M132" s="2419">
        <v>0</v>
      </c>
      <c r="N132" s="2420" t="s">
        <v>3917</v>
      </c>
      <c r="O132" s="845" t="s">
        <v>3024</v>
      </c>
      <c r="P132" s="3210">
        <v>43720</v>
      </c>
      <c r="Q132" s="3211" t="s">
        <v>3883</v>
      </c>
      <c r="R132" s="1275">
        <v>43727</v>
      </c>
      <c r="S132" s="3218" t="s">
        <v>3918</v>
      </c>
      <c r="T132" s="3209" t="str">
        <f t="shared" si="20"/>
        <v>8440919 Compasal CPS60  China</v>
      </c>
    </row>
    <row r="133" spans="1:20" ht="15">
      <c r="A133" s="3208">
        <f t="shared" si="21"/>
        <v>10</v>
      </c>
      <c r="B133" s="2414">
        <f t="shared" si="22"/>
        <v>128</v>
      </c>
      <c r="C133" s="2670" t="s">
        <v>2776</v>
      </c>
      <c r="D133" s="3247" t="s">
        <v>4104</v>
      </c>
      <c r="E133" s="894">
        <v>8450919</v>
      </c>
      <c r="F133" s="3037" t="s">
        <v>3911</v>
      </c>
      <c r="G133" s="2460" t="s">
        <v>3916</v>
      </c>
      <c r="H133" s="845" t="s">
        <v>3913</v>
      </c>
      <c r="I133" s="2460" t="s">
        <v>3012</v>
      </c>
      <c r="J133" s="2670" t="s">
        <v>834</v>
      </c>
      <c r="K133" s="2670" t="s">
        <v>694</v>
      </c>
      <c r="L133" s="2460" t="s">
        <v>723</v>
      </c>
      <c r="M133" s="2419">
        <v>0</v>
      </c>
      <c r="N133" s="2420" t="s">
        <v>3917</v>
      </c>
      <c r="O133" s="845" t="s">
        <v>3024</v>
      </c>
      <c r="P133" s="3210">
        <v>43720</v>
      </c>
      <c r="Q133" s="3211" t="s">
        <v>3883</v>
      </c>
      <c r="R133" s="1275">
        <v>43727</v>
      </c>
      <c r="S133" s="3218" t="s">
        <v>3918</v>
      </c>
      <c r="T133" s="3209" t="str">
        <f t="shared" si="20"/>
        <v>8450919 Compasal CPS60 0719 China</v>
      </c>
    </row>
    <row r="134" spans="1:20" ht="15">
      <c r="B134" s="2414">
        <v>119</v>
      </c>
      <c r="C134" s="2670" t="s">
        <v>3061</v>
      </c>
      <c r="D134" s="3247" t="s">
        <v>4104</v>
      </c>
      <c r="E134" s="894">
        <v>8361019</v>
      </c>
      <c r="F134" s="3037" t="s">
        <v>3482</v>
      </c>
      <c r="G134" s="2460" t="s">
        <v>3896</v>
      </c>
      <c r="H134" s="845" t="s">
        <v>3897</v>
      </c>
      <c r="I134" s="2460" t="s">
        <v>3012</v>
      </c>
      <c r="J134" s="2670" t="s">
        <v>183</v>
      </c>
      <c r="K134" s="2670" t="s">
        <v>694</v>
      </c>
      <c r="L134" s="2460" t="s">
        <v>723</v>
      </c>
      <c r="M134" s="2419">
        <v>1</v>
      </c>
      <c r="N134" s="2415" t="s">
        <v>285</v>
      </c>
      <c r="O134" s="2669"/>
      <c r="P134" s="936">
        <v>43742</v>
      </c>
      <c r="Q134" s="852" t="s">
        <v>2524</v>
      </c>
      <c r="R134" s="1275"/>
      <c r="S134" s="2415" t="s">
        <v>2902</v>
      </c>
      <c r="T134" s="2846" t="str">
        <f t="shared" ref="T134:T135" si="23">CONCATENATE(E134," ", F134," ", G134," ", H134," ", I134)</f>
        <v>8361019 SuperHawk HK828 2615 China</v>
      </c>
    </row>
    <row r="135" spans="1:20" ht="15">
      <c r="B135" s="2414">
        <v>120</v>
      </c>
      <c r="C135" s="2670" t="s">
        <v>3061</v>
      </c>
      <c r="D135" s="3247" t="s">
        <v>4104</v>
      </c>
      <c r="E135" s="894">
        <v>8371019</v>
      </c>
      <c r="F135" s="3037" t="s">
        <v>3768</v>
      </c>
      <c r="G135" s="2460">
        <v>300</v>
      </c>
      <c r="H135" s="845" t="s">
        <v>3898</v>
      </c>
      <c r="I135" s="2460" t="s">
        <v>3012</v>
      </c>
      <c r="J135" s="2670" t="s">
        <v>183</v>
      </c>
      <c r="K135" s="2670" t="s">
        <v>694</v>
      </c>
      <c r="L135" s="2460" t="s">
        <v>723</v>
      </c>
      <c r="M135" s="2419">
        <v>1</v>
      </c>
      <c r="N135" s="2415" t="s">
        <v>285</v>
      </c>
      <c r="O135" s="2669"/>
      <c r="P135" s="936">
        <v>43742</v>
      </c>
      <c r="Q135" s="852" t="s">
        <v>2524</v>
      </c>
      <c r="R135" s="1275"/>
      <c r="S135" s="2415" t="s">
        <v>2902</v>
      </c>
      <c r="T135" s="2846" t="str">
        <f t="shared" si="23"/>
        <v>8371019 Annaite 300 3917 China</v>
      </c>
    </row>
    <row r="136" spans="1:20" ht="15">
      <c r="B136" s="2414">
        <v>121</v>
      </c>
      <c r="C136" s="2670" t="s">
        <v>3061</v>
      </c>
      <c r="D136" s="3247" t="s">
        <v>4104</v>
      </c>
      <c r="E136" s="894">
        <v>8481019</v>
      </c>
      <c r="F136" s="3037" t="s">
        <v>3922</v>
      </c>
      <c r="G136" s="2460" t="s">
        <v>3919</v>
      </c>
      <c r="H136" s="845" t="s">
        <v>3920</v>
      </c>
      <c r="I136" s="2460" t="s">
        <v>3012</v>
      </c>
      <c r="J136" s="2670" t="s">
        <v>183</v>
      </c>
      <c r="K136" s="2670" t="s">
        <v>694</v>
      </c>
      <c r="L136" s="2460" t="s">
        <v>723</v>
      </c>
      <c r="M136" s="2419">
        <v>1</v>
      </c>
      <c r="N136" s="2415" t="s">
        <v>285</v>
      </c>
      <c r="O136" s="2669"/>
      <c r="P136" s="936">
        <v>43754</v>
      </c>
      <c r="Q136" s="852" t="s">
        <v>2524</v>
      </c>
      <c r="R136" s="1275"/>
      <c r="S136" s="2415" t="s">
        <v>2902</v>
      </c>
      <c r="T136" s="2846" t="str">
        <f t="shared" ref="T136" si="24">CONCATENATE(E136," ", F136," ", G136," ", H136," ", I136)</f>
        <v>8481019 APLUS D801 3816 China</v>
      </c>
    </row>
    <row r="137" spans="1:20" ht="15">
      <c r="B137" s="2414">
        <v>122</v>
      </c>
      <c r="C137" s="2670" t="s">
        <v>3061</v>
      </c>
      <c r="D137" s="3247" t="s">
        <v>4104</v>
      </c>
      <c r="E137" s="894">
        <v>8491119</v>
      </c>
      <c r="F137" s="3037" t="s">
        <v>247</v>
      </c>
      <c r="G137" s="2460" t="s">
        <v>2903</v>
      </c>
      <c r="H137" s="845" t="s">
        <v>3401</v>
      </c>
      <c r="I137" s="2460" t="s">
        <v>3012</v>
      </c>
      <c r="J137" s="2670" t="s">
        <v>183</v>
      </c>
      <c r="K137" s="2670" t="s">
        <v>694</v>
      </c>
      <c r="L137" s="2460" t="s">
        <v>723</v>
      </c>
      <c r="M137" s="2419">
        <v>1</v>
      </c>
      <c r="N137" s="2415" t="s">
        <v>285</v>
      </c>
      <c r="O137" s="2669"/>
      <c r="P137" s="936">
        <v>43762</v>
      </c>
      <c r="Q137" s="852" t="s">
        <v>2524</v>
      </c>
      <c r="R137" s="1275"/>
      <c r="S137" s="2415" t="s">
        <v>2902</v>
      </c>
      <c r="T137" s="2846" t="str">
        <f t="shared" ref="T137:T139" si="25">CONCATENATE(E137," ", F137," ", G137," ", H137," ", I137)</f>
        <v>8491119 Double Happines DR908 1018 China</v>
      </c>
    </row>
    <row r="138" spans="1:20" ht="15">
      <c r="B138" s="2414">
        <v>123</v>
      </c>
      <c r="C138" s="2670" t="s">
        <v>3061</v>
      </c>
      <c r="D138" s="3247" t="s">
        <v>4104</v>
      </c>
      <c r="E138" s="894">
        <v>8501119</v>
      </c>
      <c r="F138" s="3037" t="s">
        <v>247</v>
      </c>
      <c r="G138" s="2460" t="s">
        <v>2903</v>
      </c>
      <c r="H138" s="845" t="s">
        <v>3401</v>
      </c>
      <c r="I138" s="2460" t="s">
        <v>3012</v>
      </c>
      <c r="J138" s="2670" t="s">
        <v>183</v>
      </c>
      <c r="K138" s="2670" t="s">
        <v>694</v>
      </c>
      <c r="L138" s="2460" t="s">
        <v>723</v>
      </c>
      <c r="M138" s="2419">
        <v>1</v>
      </c>
      <c r="N138" s="2415" t="s">
        <v>285</v>
      </c>
      <c r="O138" s="2669"/>
      <c r="P138" s="936">
        <v>43762</v>
      </c>
      <c r="Q138" s="852" t="s">
        <v>2524</v>
      </c>
      <c r="R138" s="1275"/>
      <c r="S138" s="2415" t="s">
        <v>2902</v>
      </c>
      <c r="T138" s="2846" t="str">
        <f t="shared" si="25"/>
        <v>8501119 Double Happines DR908 1018 China</v>
      </c>
    </row>
    <row r="139" spans="1:20" ht="15">
      <c r="B139" s="2414">
        <v>124</v>
      </c>
      <c r="C139" s="2670" t="s">
        <v>3061</v>
      </c>
      <c r="D139" s="3247" t="s">
        <v>4104</v>
      </c>
      <c r="E139" s="894">
        <v>8511119</v>
      </c>
      <c r="F139" s="3037" t="s">
        <v>247</v>
      </c>
      <c r="G139" s="2460" t="s">
        <v>2903</v>
      </c>
      <c r="H139" s="845" t="s">
        <v>3401</v>
      </c>
      <c r="I139" s="2460" t="s">
        <v>3012</v>
      </c>
      <c r="J139" s="2670" t="s">
        <v>183</v>
      </c>
      <c r="K139" s="2670" t="s">
        <v>694</v>
      </c>
      <c r="L139" s="2460" t="s">
        <v>723</v>
      </c>
      <c r="M139" s="2419">
        <v>1</v>
      </c>
      <c r="N139" s="2415" t="s">
        <v>285</v>
      </c>
      <c r="O139" s="2669"/>
      <c r="P139" s="936">
        <v>43762</v>
      </c>
      <c r="Q139" s="852" t="s">
        <v>2524</v>
      </c>
      <c r="R139" s="1275"/>
      <c r="S139" s="2415" t="s">
        <v>2902</v>
      </c>
      <c r="T139" s="2846" t="str">
        <f t="shared" si="25"/>
        <v>8511119 Double Happines DR908 1018 China</v>
      </c>
    </row>
    <row r="140" spans="1:20" ht="15">
      <c r="B140" s="2414">
        <v>125</v>
      </c>
      <c r="C140" s="2670" t="s">
        <v>3061</v>
      </c>
      <c r="D140" s="3247" t="s">
        <v>4104</v>
      </c>
      <c r="E140" s="894">
        <v>8521019</v>
      </c>
      <c r="F140" s="3037" t="s">
        <v>3544</v>
      </c>
      <c r="G140" s="2460" t="s">
        <v>3945</v>
      </c>
      <c r="H140" s="845" t="s">
        <v>3946</v>
      </c>
      <c r="I140" s="2460" t="s">
        <v>3012</v>
      </c>
      <c r="J140" s="2670" t="s">
        <v>834</v>
      </c>
      <c r="K140" s="2670" t="s">
        <v>694</v>
      </c>
      <c r="L140" s="2460" t="s">
        <v>723</v>
      </c>
      <c r="M140" s="2419">
        <v>1</v>
      </c>
      <c r="N140" s="2415" t="s">
        <v>285</v>
      </c>
      <c r="O140" s="2669"/>
      <c r="P140" s="936">
        <v>43771</v>
      </c>
      <c r="Q140" s="852" t="s">
        <v>2524</v>
      </c>
      <c r="R140" s="1275"/>
      <c r="S140" s="2415" t="s">
        <v>2902</v>
      </c>
      <c r="T140" s="2846" t="str">
        <f t="shared" ref="T140:T142" si="26">CONCATENATE(E140," ", F140," ", G140," ", H140," ", I140)</f>
        <v>8521019 Lanvigator D802 1118 China</v>
      </c>
    </row>
    <row r="141" spans="1:20" ht="15">
      <c r="B141" s="2414">
        <v>126</v>
      </c>
      <c r="C141" s="2670" t="s">
        <v>3061</v>
      </c>
      <c r="D141" s="3247" t="s">
        <v>4104</v>
      </c>
      <c r="E141" s="894">
        <v>8531019</v>
      </c>
      <c r="F141" s="3037" t="s">
        <v>3544</v>
      </c>
      <c r="G141" s="2460" t="s">
        <v>3945</v>
      </c>
      <c r="H141" s="845" t="s">
        <v>3946</v>
      </c>
      <c r="I141" s="2460" t="s">
        <v>3012</v>
      </c>
      <c r="J141" s="2670" t="s">
        <v>183</v>
      </c>
      <c r="K141" s="2670" t="s">
        <v>694</v>
      </c>
      <c r="L141" s="2460" t="s">
        <v>723</v>
      </c>
      <c r="M141" s="2419">
        <v>1</v>
      </c>
      <c r="N141" s="2415" t="s">
        <v>285</v>
      </c>
      <c r="O141" s="2669"/>
      <c r="P141" s="936">
        <v>43771</v>
      </c>
      <c r="Q141" s="852" t="s">
        <v>2524</v>
      </c>
      <c r="R141" s="1275"/>
      <c r="S141" s="2415" t="s">
        <v>2902</v>
      </c>
      <c r="T141" s="2846" t="str">
        <f t="shared" si="26"/>
        <v>8531019 Lanvigator D802 1118 China</v>
      </c>
    </row>
    <row r="142" spans="1:20" ht="15">
      <c r="B142" s="2414">
        <v>127</v>
      </c>
      <c r="C142" s="2670" t="s">
        <v>3061</v>
      </c>
      <c r="D142" s="3247" t="s">
        <v>4104</v>
      </c>
      <c r="E142" s="894">
        <v>8541019</v>
      </c>
      <c r="F142" s="3037" t="s">
        <v>3470</v>
      </c>
      <c r="G142" s="2460" t="s">
        <v>3944</v>
      </c>
      <c r="H142" s="845" t="s">
        <v>3947</v>
      </c>
      <c r="I142" s="2460" t="s">
        <v>3012</v>
      </c>
      <c r="J142" s="2670" t="s">
        <v>834</v>
      </c>
      <c r="K142" s="2670" t="s">
        <v>694</v>
      </c>
      <c r="L142" s="2460" t="s">
        <v>723</v>
      </c>
      <c r="M142" s="2419">
        <v>1</v>
      </c>
      <c r="N142" s="2415" t="s">
        <v>285</v>
      </c>
      <c r="O142" s="2669"/>
      <c r="P142" s="936">
        <v>43771</v>
      </c>
      <c r="Q142" s="852" t="s">
        <v>2524</v>
      </c>
      <c r="R142" s="1275"/>
      <c r="S142" s="2415" t="s">
        <v>2902</v>
      </c>
      <c r="T142" s="2846" t="str">
        <f t="shared" si="26"/>
        <v>8541019 JINYU JY601 0515 China</v>
      </c>
    </row>
    <row r="143" spans="1:20" ht="15">
      <c r="B143" s="2414">
        <v>128</v>
      </c>
      <c r="C143" s="2670" t="s">
        <v>3061</v>
      </c>
      <c r="D143" s="3247" t="s">
        <v>4104</v>
      </c>
      <c r="E143" s="894">
        <v>8551119</v>
      </c>
      <c r="F143" s="3037" t="s">
        <v>2551</v>
      </c>
      <c r="G143" s="2460" t="s">
        <v>3996</v>
      </c>
      <c r="H143" s="845" t="s">
        <v>3977</v>
      </c>
      <c r="I143" s="2460" t="s">
        <v>3012</v>
      </c>
      <c r="J143" s="2670" t="s">
        <v>183</v>
      </c>
      <c r="K143" s="2670" t="s">
        <v>694</v>
      </c>
      <c r="L143" s="2460" t="s">
        <v>723</v>
      </c>
      <c r="M143" s="2419">
        <v>1</v>
      </c>
      <c r="N143" s="2415" t="s">
        <v>285</v>
      </c>
      <c r="O143" s="2669"/>
      <c r="P143" s="936">
        <v>43794</v>
      </c>
      <c r="Q143" s="852" t="s">
        <v>2524</v>
      </c>
      <c r="R143" s="1275"/>
      <c r="S143" s="2415" t="s">
        <v>2902</v>
      </c>
      <c r="T143" s="2846" t="str">
        <f t="shared" ref="T143" si="27">CONCATENATE(E143," ", F143," ", G143," ", H143," ", I143)</f>
        <v>8551119 SAILUM S606 5016 China</v>
      </c>
    </row>
    <row r="144" spans="1:20" ht="15">
      <c r="B144" s="2414">
        <v>129</v>
      </c>
      <c r="C144" s="2670" t="s">
        <v>3061</v>
      </c>
      <c r="D144" s="3247" t="s">
        <v>4104</v>
      </c>
      <c r="E144" s="894">
        <v>8561219</v>
      </c>
      <c r="F144" s="3037" t="s">
        <v>3768</v>
      </c>
      <c r="G144" s="2460">
        <v>300</v>
      </c>
      <c r="H144" s="845" t="s">
        <v>3997</v>
      </c>
      <c r="I144" s="2460" t="s">
        <v>3012</v>
      </c>
      <c r="J144" s="2670" t="s">
        <v>834</v>
      </c>
      <c r="K144" s="2670" t="s">
        <v>694</v>
      </c>
      <c r="L144" s="2460" t="s">
        <v>723</v>
      </c>
      <c r="M144" s="2419">
        <v>1</v>
      </c>
      <c r="N144" s="2415" t="s">
        <v>285</v>
      </c>
      <c r="O144" s="2669"/>
      <c r="P144" s="936">
        <v>43806</v>
      </c>
      <c r="Q144" s="852" t="s">
        <v>2524</v>
      </c>
      <c r="R144" s="1275"/>
      <c r="S144" s="2415" t="s">
        <v>2902</v>
      </c>
      <c r="T144" s="2846" t="str">
        <f t="shared" ref="T144:T145" si="28">CONCATENATE(E144," ", F144," ", G144," ", H144," ", I144)</f>
        <v>8561219 Annaite 300 2818 China</v>
      </c>
    </row>
    <row r="145" spans="2:20" ht="15">
      <c r="B145" s="2414">
        <v>130</v>
      </c>
      <c r="C145" s="2670" t="s">
        <v>3061</v>
      </c>
      <c r="D145" s="3247" t="s">
        <v>4104</v>
      </c>
      <c r="E145" s="894">
        <v>8571219</v>
      </c>
      <c r="F145" s="3037" t="s">
        <v>3768</v>
      </c>
      <c r="G145" s="2460">
        <v>300</v>
      </c>
      <c r="H145" s="845" t="s">
        <v>3997</v>
      </c>
      <c r="I145" s="2460" t="s">
        <v>3012</v>
      </c>
      <c r="J145" s="2670" t="s">
        <v>183</v>
      </c>
      <c r="K145" s="2670" t="s">
        <v>694</v>
      </c>
      <c r="L145" s="2460" t="s">
        <v>723</v>
      </c>
      <c r="M145" s="2419">
        <v>1</v>
      </c>
      <c r="N145" s="2415" t="s">
        <v>285</v>
      </c>
      <c r="O145" s="2669"/>
      <c r="P145" s="936">
        <v>43806</v>
      </c>
      <c r="Q145" s="852" t="s">
        <v>2524</v>
      </c>
      <c r="R145" s="1275"/>
      <c r="S145" s="2415" t="s">
        <v>2902</v>
      </c>
      <c r="T145" s="2846" t="str">
        <f t="shared" si="28"/>
        <v>8571219 Annaite 300 2818 China</v>
      </c>
    </row>
    <row r="146" spans="2:20" ht="15">
      <c r="B146" s="2414">
        <v>131</v>
      </c>
      <c r="C146" s="2670" t="s">
        <v>3061</v>
      </c>
      <c r="D146" s="3247" t="s">
        <v>4104</v>
      </c>
      <c r="E146" s="894">
        <v>8581219</v>
      </c>
      <c r="F146" s="3037" t="s">
        <v>3659</v>
      </c>
      <c r="G146" s="2460" t="s">
        <v>4024</v>
      </c>
      <c r="H146" s="845" t="s">
        <v>4026</v>
      </c>
      <c r="I146" s="2460" t="s">
        <v>3012</v>
      </c>
      <c r="J146" s="2670" t="s">
        <v>183</v>
      </c>
      <c r="K146" s="2670" t="s">
        <v>694</v>
      </c>
      <c r="L146" s="2460" t="s">
        <v>723</v>
      </c>
      <c r="M146" s="2419">
        <v>1</v>
      </c>
      <c r="N146" s="2415" t="s">
        <v>285</v>
      </c>
      <c r="O146" s="2669"/>
      <c r="P146" s="936">
        <v>43819</v>
      </c>
      <c r="Q146" s="852" t="s">
        <v>2524</v>
      </c>
      <c r="R146" s="1275"/>
      <c r="S146" s="2415" t="s">
        <v>2902</v>
      </c>
      <c r="T146" s="2846" t="str">
        <f t="shared" ref="T146:T147" si="29">CONCATENATE(E146," ", F146," ", G146," ", H146," ", I146)</f>
        <v>8581219 Turnpike D350 4517 China</v>
      </c>
    </row>
    <row r="147" spans="2:20" ht="15">
      <c r="B147" s="2414">
        <v>132</v>
      </c>
      <c r="C147" s="2670" t="s">
        <v>3061</v>
      </c>
      <c r="D147" s="3247" t="s">
        <v>4104</v>
      </c>
      <c r="E147" s="894">
        <v>8591219</v>
      </c>
      <c r="F147" s="3037" t="s">
        <v>757</v>
      </c>
      <c r="G147" s="2890" t="s">
        <v>4025</v>
      </c>
      <c r="H147" s="845" t="s">
        <v>4027</v>
      </c>
      <c r="I147" s="2460" t="s">
        <v>3060</v>
      </c>
      <c r="J147" s="2670" t="s">
        <v>834</v>
      </c>
      <c r="K147" s="2670" t="s">
        <v>694</v>
      </c>
      <c r="L147" s="2460" t="s">
        <v>723</v>
      </c>
      <c r="M147" s="2419">
        <v>1</v>
      </c>
      <c r="N147" s="2415" t="s">
        <v>285</v>
      </c>
      <c r="O147" s="2669"/>
      <c r="P147" s="936">
        <v>43819</v>
      </c>
      <c r="Q147" s="852" t="s">
        <v>2524</v>
      </c>
      <c r="R147" s="1275"/>
      <c r="S147" s="2415" t="s">
        <v>2902</v>
      </c>
      <c r="T147" s="2846" t="str">
        <f t="shared" si="29"/>
        <v>8591219 Goodyear G686 MSS 3314 Brasil</v>
      </c>
    </row>
    <row r="148" spans="2:20" ht="15">
      <c r="B148" s="2414">
        <v>133</v>
      </c>
      <c r="C148" s="2670" t="s">
        <v>3061</v>
      </c>
      <c r="D148" s="3247" t="s">
        <v>4104</v>
      </c>
      <c r="E148" s="894">
        <v>8601219</v>
      </c>
      <c r="F148" s="3037" t="s">
        <v>3683</v>
      </c>
      <c r="G148" s="2460" t="s">
        <v>4041</v>
      </c>
      <c r="H148" s="845" t="s">
        <v>3790</v>
      </c>
      <c r="I148" s="2460" t="s">
        <v>3012</v>
      </c>
      <c r="J148" s="2670" t="s">
        <v>183</v>
      </c>
      <c r="K148" s="2670" t="s">
        <v>694</v>
      </c>
      <c r="L148" s="2460" t="s">
        <v>723</v>
      </c>
      <c r="M148" s="2419">
        <v>1</v>
      </c>
      <c r="N148" s="2415" t="s">
        <v>285</v>
      </c>
      <c r="O148" s="2669"/>
      <c r="P148" s="936">
        <v>43827</v>
      </c>
      <c r="Q148" s="852" t="s">
        <v>2524</v>
      </c>
      <c r="R148" s="1275"/>
      <c r="S148" s="2415" t="s">
        <v>2902</v>
      </c>
      <c r="T148" s="2846" t="str">
        <f t="shared" ref="T148:T149" si="30">CONCATENATE(E148," ", F148," ", G148," ", H148," ", I148)</f>
        <v>8601219 Ovation VI-638 4417 China</v>
      </c>
    </row>
    <row r="149" spans="2:20" ht="15.75" thickBot="1">
      <c r="B149" s="2740">
        <v>134</v>
      </c>
      <c r="C149" s="2741" t="s">
        <v>3061</v>
      </c>
      <c r="D149" s="3248" t="s">
        <v>4104</v>
      </c>
      <c r="E149" s="2747">
        <v>8611219</v>
      </c>
      <c r="F149" s="3050" t="s">
        <v>3683</v>
      </c>
      <c r="G149" s="3240" t="s">
        <v>4041</v>
      </c>
      <c r="H149" s="2748" t="s">
        <v>3790</v>
      </c>
      <c r="I149" s="2744" t="s">
        <v>3012</v>
      </c>
      <c r="J149" s="2741" t="s">
        <v>834</v>
      </c>
      <c r="K149" s="2741" t="s">
        <v>694</v>
      </c>
      <c r="L149" s="2744" t="s">
        <v>723</v>
      </c>
      <c r="M149" s="2745">
        <v>1</v>
      </c>
      <c r="N149" s="3241" t="s">
        <v>285</v>
      </c>
      <c r="O149" s="3242"/>
      <c r="P149" s="2074">
        <v>43827</v>
      </c>
      <c r="Q149" s="2749" t="s">
        <v>2524</v>
      </c>
      <c r="R149" s="2750"/>
      <c r="S149" s="3241" t="s">
        <v>2902</v>
      </c>
      <c r="T149" s="2846" t="str">
        <f t="shared" si="30"/>
        <v>8611219 Ovation VI-638 4417 China</v>
      </c>
    </row>
    <row r="150" spans="2:20" ht="15.75" thickTop="1">
      <c r="B150" s="2736">
        <v>135</v>
      </c>
      <c r="C150" s="2737" t="s">
        <v>3061</v>
      </c>
      <c r="D150" s="3246" t="s">
        <v>4103</v>
      </c>
      <c r="E150" s="942">
        <v>8010120</v>
      </c>
      <c r="F150" s="3237" t="s">
        <v>757</v>
      </c>
      <c r="G150" s="3238" t="s">
        <v>4057</v>
      </c>
      <c r="H150" s="2754" t="s">
        <v>3072</v>
      </c>
      <c r="I150" s="2739" t="s">
        <v>3013</v>
      </c>
      <c r="J150" s="2737" t="s">
        <v>183</v>
      </c>
      <c r="K150" s="2737" t="s">
        <v>694</v>
      </c>
      <c r="L150" s="2739" t="s">
        <v>723</v>
      </c>
      <c r="M150" s="2464">
        <v>1</v>
      </c>
      <c r="N150" s="2738" t="s">
        <v>285</v>
      </c>
      <c r="O150" s="3239"/>
      <c r="P150" s="944">
        <v>43847</v>
      </c>
      <c r="Q150" s="2105" t="s">
        <v>2524</v>
      </c>
      <c r="R150" s="1274"/>
      <c r="S150" s="2738" t="s">
        <v>2902</v>
      </c>
      <c r="T150" s="2846" t="str">
        <f t="shared" ref="T150:T153" si="31">CONCATENATE(E150," ", F150," ", G150," ", H150," ", I150)</f>
        <v>8010120 Goodyear G751 MSA 4416 U.S:A.</v>
      </c>
    </row>
    <row r="151" spans="2:20" ht="15">
      <c r="B151" s="2414">
        <v>136</v>
      </c>
      <c r="C151" s="2670" t="s">
        <v>3061</v>
      </c>
      <c r="D151" s="3247" t="s">
        <v>4103</v>
      </c>
      <c r="E151" s="894">
        <v>8020120</v>
      </c>
      <c r="F151" s="3037" t="s">
        <v>757</v>
      </c>
      <c r="G151" s="2890" t="s">
        <v>4057</v>
      </c>
      <c r="H151" s="845" t="s">
        <v>3072</v>
      </c>
      <c r="I151" s="2460" t="s">
        <v>3013</v>
      </c>
      <c r="J151" s="2670" t="s">
        <v>183</v>
      </c>
      <c r="K151" s="2670" t="s">
        <v>694</v>
      </c>
      <c r="L151" s="2460" t="s">
        <v>723</v>
      </c>
      <c r="M151" s="2419">
        <v>1</v>
      </c>
      <c r="N151" s="2415" t="s">
        <v>285</v>
      </c>
      <c r="O151" s="2669"/>
      <c r="P151" s="936">
        <v>43847</v>
      </c>
      <c r="Q151" s="852" t="s">
        <v>2524</v>
      </c>
      <c r="R151" s="1275"/>
      <c r="S151" s="2415" t="s">
        <v>2902</v>
      </c>
      <c r="T151" s="2846" t="str">
        <f t="shared" si="31"/>
        <v>8020120 Goodyear G751 MSA 4416 U.S:A.</v>
      </c>
    </row>
    <row r="152" spans="2:20" ht="15">
      <c r="B152" s="2414">
        <v>137</v>
      </c>
      <c r="C152" s="2737" t="s">
        <v>3061</v>
      </c>
      <c r="D152" s="3246" t="s">
        <v>4103</v>
      </c>
      <c r="E152" s="942">
        <v>8030220</v>
      </c>
      <c r="F152" s="3237" t="s">
        <v>757</v>
      </c>
      <c r="G152" s="3238" t="s">
        <v>4057</v>
      </c>
      <c r="H152" s="2754" t="s">
        <v>4093</v>
      </c>
      <c r="I152" s="2739" t="s">
        <v>3013</v>
      </c>
      <c r="J152" s="2737" t="s">
        <v>183</v>
      </c>
      <c r="K152" s="2737" t="s">
        <v>694</v>
      </c>
      <c r="L152" s="2739" t="s">
        <v>723</v>
      </c>
      <c r="M152" s="2464">
        <v>1</v>
      </c>
      <c r="N152" s="2738" t="s">
        <v>285</v>
      </c>
      <c r="O152" s="3239"/>
      <c r="P152" s="944">
        <v>43882</v>
      </c>
      <c r="Q152" s="2105" t="s">
        <v>2524</v>
      </c>
      <c r="R152" s="1274"/>
      <c r="S152" s="2738" t="s">
        <v>2902</v>
      </c>
      <c r="T152" s="2846" t="str">
        <f t="shared" si="31"/>
        <v>8030220 Goodyear G751 MSA 2617 U.S:A.</v>
      </c>
    </row>
    <row r="153" spans="2:20" ht="15">
      <c r="B153" s="2414">
        <v>138</v>
      </c>
      <c r="C153" s="2670" t="s">
        <v>3061</v>
      </c>
      <c r="D153" s="3247" t="s">
        <v>4103</v>
      </c>
      <c r="E153" s="894">
        <v>8040220</v>
      </c>
      <c r="F153" s="3037" t="s">
        <v>2551</v>
      </c>
      <c r="G153" s="2890" t="s">
        <v>3303</v>
      </c>
      <c r="H153" s="845" t="s">
        <v>4094</v>
      </c>
      <c r="I153" s="2460" t="s">
        <v>3012</v>
      </c>
      <c r="J153" s="2670" t="s">
        <v>183</v>
      </c>
      <c r="K153" s="2670" t="s">
        <v>694</v>
      </c>
      <c r="L153" s="2460" t="s">
        <v>723</v>
      </c>
      <c r="M153" s="2419">
        <v>1</v>
      </c>
      <c r="N153" s="2415" t="s">
        <v>285</v>
      </c>
      <c r="O153" s="2669"/>
      <c r="P153" s="936">
        <v>43882</v>
      </c>
      <c r="Q153" s="852" t="s">
        <v>2524</v>
      </c>
      <c r="R153" s="1275"/>
      <c r="S153" s="2415" t="s">
        <v>2902</v>
      </c>
      <c r="T153" s="2846" t="str">
        <f t="shared" si="31"/>
        <v>8040220 SAILUM S815 1814 China</v>
      </c>
    </row>
    <row r="154" spans="2:20" ht="15">
      <c r="B154" s="2414">
        <v>139</v>
      </c>
      <c r="C154" s="2670" t="s">
        <v>3061</v>
      </c>
      <c r="D154" s="3247" t="s">
        <v>4103</v>
      </c>
      <c r="E154" s="894">
        <v>8050320</v>
      </c>
      <c r="F154" s="3037" t="s">
        <v>4105</v>
      </c>
      <c r="G154" s="2890" t="s">
        <v>4106</v>
      </c>
      <c r="H154" s="845" t="s">
        <v>4107</v>
      </c>
      <c r="I154" s="2460" t="s">
        <v>3012</v>
      </c>
      <c r="J154" s="2670" t="s">
        <v>183</v>
      </c>
      <c r="K154" s="2670" t="s">
        <v>694</v>
      </c>
      <c r="L154" s="2460" t="s">
        <v>723</v>
      </c>
      <c r="M154" s="2419">
        <v>1</v>
      </c>
      <c r="N154" s="2415" t="s">
        <v>285</v>
      </c>
      <c r="O154" s="2669"/>
      <c r="P154" s="936">
        <v>43893</v>
      </c>
      <c r="Q154" s="852" t="s">
        <v>2524</v>
      </c>
      <c r="R154" s="1275"/>
      <c r="S154" s="2415" t="s">
        <v>2902</v>
      </c>
      <c r="T154" s="2846" t="str">
        <f t="shared" ref="T154:T156" si="32">CONCATENATE(E154," ", F154," ", G154," ", H154," ", I154)</f>
        <v>8050320 GrandStone GT168 1219 China</v>
      </c>
    </row>
    <row r="155" spans="2:20" ht="15">
      <c r="B155" s="2414">
        <v>140</v>
      </c>
      <c r="C155" s="2670" t="s">
        <v>3061</v>
      </c>
      <c r="D155" s="3247" t="s">
        <v>4103</v>
      </c>
      <c r="E155" s="894">
        <v>8060320</v>
      </c>
      <c r="F155" s="3037" t="s">
        <v>4105</v>
      </c>
      <c r="G155" s="2890" t="s">
        <v>4106</v>
      </c>
      <c r="H155" s="845" t="s">
        <v>4107</v>
      </c>
      <c r="I155" s="2460" t="s">
        <v>3012</v>
      </c>
      <c r="J155" s="2670" t="s">
        <v>183</v>
      </c>
      <c r="K155" s="2670" t="s">
        <v>694</v>
      </c>
      <c r="L155" s="2460" t="s">
        <v>723</v>
      </c>
      <c r="M155" s="2419">
        <v>1</v>
      </c>
      <c r="N155" s="2415" t="s">
        <v>285</v>
      </c>
      <c r="O155" s="2669"/>
      <c r="P155" s="936">
        <v>43893</v>
      </c>
      <c r="Q155" s="852" t="s">
        <v>2524</v>
      </c>
      <c r="R155" s="1275"/>
      <c r="S155" s="2415" t="s">
        <v>2902</v>
      </c>
      <c r="T155" s="2846" t="str">
        <f t="shared" si="32"/>
        <v>8060320 GrandStone GT168 1219 China</v>
      </c>
    </row>
    <row r="156" spans="2:20" ht="15">
      <c r="B156" s="2414">
        <v>141</v>
      </c>
      <c r="C156" s="2670" t="s">
        <v>3061</v>
      </c>
      <c r="D156" s="3247" t="s">
        <v>4103</v>
      </c>
      <c r="E156" s="894">
        <v>8070320</v>
      </c>
      <c r="F156" s="3037" t="s">
        <v>247</v>
      </c>
      <c r="G156" s="2890" t="s">
        <v>2903</v>
      </c>
      <c r="H156" s="845" t="s">
        <v>3401</v>
      </c>
      <c r="I156" s="2460" t="s">
        <v>3012</v>
      </c>
      <c r="J156" s="2670" t="s">
        <v>183</v>
      </c>
      <c r="K156" s="2670" t="s">
        <v>694</v>
      </c>
      <c r="L156" s="2460" t="s">
        <v>723</v>
      </c>
      <c r="M156" s="2419">
        <v>1</v>
      </c>
      <c r="N156" s="2415" t="s">
        <v>285</v>
      </c>
      <c r="O156" s="2669"/>
      <c r="P156" s="936">
        <v>43893</v>
      </c>
      <c r="Q156" s="852" t="s">
        <v>2524</v>
      </c>
      <c r="R156" s="1275"/>
      <c r="S156" s="2415" t="s">
        <v>2902</v>
      </c>
      <c r="T156" s="2846" t="str">
        <f t="shared" si="32"/>
        <v>8070320 Double Happines DR908 1018 China</v>
      </c>
    </row>
    <row r="157" spans="2:20">
      <c r="B157" s="2414">
        <v>142</v>
      </c>
      <c r="C157" s="2675"/>
    </row>
    <row r="158" spans="2:20">
      <c r="B158" s="2414">
        <v>143</v>
      </c>
      <c r="C158" s="2675"/>
    </row>
    <row r="159" spans="2:20">
      <c r="B159" s="2414">
        <v>144</v>
      </c>
    </row>
    <row r="160" spans="2:20">
      <c r="B160" s="2414">
        <v>145</v>
      </c>
    </row>
    <row r="161" spans="2:2">
      <c r="B161" s="2414">
        <v>146</v>
      </c>
    </row>
    <row r="162" spans="2:2">
      <c r="B162" s="2414">
        <v>147</v>
      </c>
    </row>
    <row r="163" spans="2:2">
      <c r="B163" s="2414">
        <v>148</v>
      </c>
    </row>
    <row r="164" spans="2:2">
      <c r="B164" s="2414">
        <v>149</v>
      </c>
    </row>
    <row r="165" spans="2:2">
      <c r="B165" s="2414">
        <v>150</v>
      </c>
    </row>
    <row r="166" spans="2:2">
      <c r="B166" s="2414">
        <v>151</v>
      </c>
    </row>
    <row r="167" spans="2:2">
      <c r="B167" s="2414">
        <v>152</v>
      </c>
    </row>
    <row r="168" spans="2:2">
      <c r="B168" s="2414">
        <v>153</v>
      </c>
    </row>
    <row r="169" spans="2:2">
      <c r="B169" s="2414">
        <v>154</v>
      </c>
    </row>
    <row r="170" spans="2:2">
      <c r="B170" s="2414">
        <v>155</v>
      </c>
    </row>
    <row r="171" spans="2:2">
      <c r="B171" s="2414">
        <v>156</v>
      </c>
    </row>
    <row r="172" spans="2:2">
      <c r="B172" s="2414">
        <v>157</v>
      </c>
    </row>
    <row r="173" spans="2:2">
      <c r="B173" s="2414">
        <v>158</v>
      </c>
    </row>
    <row r="174" spans="2:2">
      <c r="B174" s="2414">
        <v>159</v>
      </c>
    </row>
    <row r="175" spans="2:2">
      <c r="B175" s="2414">
        <v>160</v>
      </c>
    </row>
    <row r="176" spans="2:2">
      <c r="B176" s="2414">
        <v>161</v>
      </c>
    </row>
    <row r="177" spans="2:2">
      <c r="B177" s="2414">
        <v>162</v>
      </c>
    </row>
    <row r="178" spans="2:2">
      <c r="B178" s="2414">
        <v>163</v>
      </c>
    </row>
    <row r="179" spans="2:2">
      <c r="B179" s="2414">
        <v>164</v>
      </c>
    </row>
    <row r="180" spans="2:2">
      <c r="B180" s="2414">
        <v>165</v>
      </c>
    </row>
    <row r="181" spans="2:2">
      <c r="B181" s="2414">
        <v>166</v>
      </c>
    </row>
    <row r="182" spans="2:2">
      <c r="B182" s="2414">
        <v>167</v>
      </c>
    </row>
    <row r="183" spans="2:2">
      <c r="B183" s="2414">
        <v>168</v>
      </c>
    </row>
    <row r="184" spans="2:2">
      <c r="B184" s="2414">
        <v>169</v>
      </c>
    </row>
    <row r="185" spans="2:2">
      <c r="B185" s="2414">
        <v>170</v>
      </c>
    </row>
    <row r="186" spans="2:2">
      <c r="B186" s="2414">
        <v>171</v>
      </c>
    </row>
    <row r="187" spans="2:2">
      <c r="B187" s="2414">
        <v>172</v>
      </c>
    </row>
    <row r="188" spans="2:2">
      <c r="B188" s="2414">
        <v>173</v>
      </c>
    </row>
    <row r="189" spans="2:2">
      <c r="B189" s="2414">
        <v>174</v>
      </c>
    </row>
    <row r="190" spans="2:2">
      <c r="B190" s="2414">
        <v>175</v>
      </c>
    </row>
    <row r="191" spans="2:2">
      <c r="B191" s="2414">
        <v>176</v>
      </c>
    </row>
  </sheetData>
  <autoFilter ref="B4:S191">
    <filterColumn colId="14"/>
  </autoFilter>
  <mergeCells count="1">
    <mergeCell ref="Q3:R3"/>
  </mergeCells>
  <printOptions horizontalCentered="1"/>
  <pageMargins left="0" right="0" top="1.7716535433070868" bottom="0" header="0.31496062992125984" footer="0"/>
  <pageSetup paperSize="9" scale="205" orientation="landscape" horizontalDpi="120" verticalDpi="144" r:id="rId1"/>
  <ignoredErrors>
    <ignoredError sqref="Q7 Q8:Q18 O37 O38:O41 O44:O50 H44:H54 O51:O54 O56:O59 H55:H60 H61:H71 H72:H73 H74:H83 H84:O90 H91:O116 H120 H121:Q135 H136:H142 H117:O119 H143:H151 H152:H15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B1:AI275"/>
  <sheetViews>
    <sheetView workbookViewId="0"/>
  </sheetViews>
  <sheetFormatPr baseColWidth="10" defaultRowHeight="15"/>
  <cols>
    <col min="1" max="1" width="2.7109375" customWidth="1"/>
    <col min="2" max="2" width="4.42578125" style="822" bestFit="1" customWidth="1"/>
    <col min="3" max="3" width="3.85546875" style="822" bestFit="1" customWidth="1"/>
    <col min="4" max="4" width="4.7109375" customWidth="1"/>
    <col min="5" max="5" width="5.7109375" style="868" customWidth="1"/>
    <col min="6" max="6" width="12.42578125" bestFit="1" customWidth="1"/>
    <col min="7" max="7" width="3.7109375" style="869" bestFit="1" customWidth="1"/>
    <col min="8" max="8" width="15" style="822" bestFit="1" customWidth="1"/>
    <col min="9" max="9" width="15.7109375" style="870" bestFit="1" customWidth="1"/>
    <col min="10" max="10" width="11.7109375" customWidth="1"/>
    <col min="11" max="11" width="14.7109375" customWidth="1"/>
    <col min="12" max="12" width="9" style="871" customWidth="1"/>
    <col min="13" max="13" width="11.7109375" style="822" customWidth="1"/>
    <col min="14" max="14" width="11.7109375" style="872" customWidth="1"/>
    <col min="15" max="15" width="13.28515625" style="872" bestFit="1" customWidth="1"/>
    <col min="16" max="16" width="33.7109375" style="11" customWidth="1"/>
    <col min="17" max="17" width="5.7109375" customWidth="1"/>
    <col min="18" max="18" width="1.7109375" customWidth="1"/>
    <col min="19" max="20" width="2.5703125" customWidth="1"/>
    <col min="21" max="21" width="1.7109375" customWidth="1"/>
    <col min="22" max="22" width="2.5703125" customWidth="1"/>
    <col min="23" max="24" width="4.28515625" customWidth="1"/>
    <col min="25" max="25" width="2.5703125" customWidth="1"/>
    <col min="26" max="26" width="1.7109375" customWidth="1"/>
    <col min="27" max="28" width="2.5703125" customWidth="1"/>
    <col min="29" max="29" width="1.7109375" customWidth="1"/>
    <col min="30" max="30" width="5.7109375" customWidth="1"/>
    <col min="31" max="31" width="3.85546875" bestFit="1" customWidth="1"/>
    <col min="32" max="32" width="8.140625" bestFit="1" customWidth="1"/>
    <col min="33" max="33" width="6.7109375" bestFit="1" customWidth="1"/>
    <col min="34" max="34" width="14.5703125" bestFit="1" customWidth="1"/>
  </cols>
  <sheetData>
    <row r="1" spans="2:17" ht="21" thickBot="1">
      <c r="D1" s="867" t="s">
        <v>112</v>
      </c>
    </row>
    <row r="2" spans="2:17" ht="18.75" thickBot="1">
      <c r="B2" s="873"/>
      <c r="C2" s="874" t="s">
        <v>704</v>
      </c>
      <c r="D2" s="875"/>
      <c r="E2" s="876" t="s">
        <v>113</v>
      </c>
      <c r="F2" s="877" t="s">
        <v>114</v>
      </c>
      <c r="G2" s="878" t="s">
        <v>705</v>
      </c>
      <c r="H2" s="879" t="s">
        <v>115</v>
      </c>
      <c r="I2" s="880" t="s">
        <v>116</v>
      </c>
      <c r="J2" s="881" t="s">
        <v>117</v>
      </c>
      <c r="K2" s="882" t="s">
        <v>118</v>
      </c>
      <c r="L2" s="883" t="s">
        <v>119</v>
      </c>
      <c r="M2" s="884" t="s">
        <v>713</v>
      </c>
      <c r="N2" s="885" t="s">
        <v>120</v>
      </c>
      <c r="O2" s="886" t="s">
        <v>121</v>
      </c>
      <c r="P2" s="887" t="s">
        <v>719</v>
      </c>
    </row>
    <row r="3" spans="2:17" ht="15.75" thickTop="1">
      <c r="B3" s="888">
        <v>1</v>
      </c>
      <c r="C3" s="889">
        <v>1</v>
      </c>
      <c r="E3" s="890" t="s">
        <v>122</v>
      </c>
      <c r="F3" s="891" t="s">
        <v>123</v>
      </c>
      <c r="G3" s="892" t="s">
        <v>723</v>
      </c>
      <c r="H3" s="893"/>
      <c r="I3" s="894"/>
      <c r="J3" s="79"/>
      <c r="K3" s="895" t="s">
        <v>129</v>
      </c>
      <c r="L3" s="896"/>
      <c r="M3" s="897"/>
      <c r="N3" s="852" t="s">
        <v>130</v>
      </c>
      <c r="O3" s="898">
        <v>42284</v>
      </c>
      <c r="P3" s="899" t="s">
        <v>131</v>
      </c>
    </row>
    <row r="4" spans="2:17">
      <c r="B4" s="888">
        <v>2</v>
      </c>
      <c r="C4" s="889">
        <v>2</v>
      </c>
      <c r="D4" s="437"/>
      <c r="E4" s="890" t="s">
        <v>132</v>
      </c>
      <c r="F4" s="891" t="s">
        <v>133</v>
      </c>
      <c r="G4" s="892" t="s">
        <v>723</v>
      </c>
      <c r="H4" s="893"/>
      <c r="I4" s="894"/>
      <c r="J4" s="79"/>
      <c r="K4" s="895" t="s">
        <v>129</v>
      </c>
      <c r="L4" s="896"/>
      <c r="M4" s="897"/>
      <c r="N4" s="852" t="s">
        <v>134</v>
      </c>
      <c r="O4" s="898">
        <v>42311</v>
      </c>
      <c r="P4" s="899" t="s">
        <v>135</v>
      </c>
    </row>
    <row r="5" spans="2:17" ht="15.75" thickBot="1">
      <c r="B5" s="888">
        <v>3</v>
      </c>
      <c r="C5" s="900">
        <v>2</v>
      </c>
      <c r="D5" s="901"/>
      <c r="E5" s="902" t="s">
        <v>136</v>
      </c>
      <c r="F5" s="903" t="s">
        <v>133</v>
      </c>
      <c r="G5" s="904" t="s">
        <v>723</v>
      </c>
      <c r="H5" s="905"/>
      <c r="I5" s="906"/>
      <c r="J5" s="907"/>
      <c r="K5" s="908" t="s">
        <v>129</v>
      </c>
      <c r="L5" s="909"/>
      <c r="M5" s="910"/>
      <c r="N5" s="911" t="s">
        <v>137</v>
      </c>
      <c r="O5" s="912"/>
      <c r="P5" s="913" t="s">
        <v>135</v>
      </c>
    </row>
    <row r="7" spans="2:17" ht="21" thickBot="1">
      <c r="D7" s="867" t="s">
        <v>138</v>
      </c>
      <c r="E7" s="914"/>
    </row>
    <row r="8" spans="2:17" ht="15.75" thickBot="1">
      <c r="N8" s="3490" t="s">
        <v>352</v>
      </c>
      <c r="O8" s="3491"/>
      <c r="P8" s="915">
        <v>42515</v>
      </c>
    </row>
    <row r="9" spans="2:17" s="463" customFormat="1" ht="20.100000000000001" customHeight="1" thickBot="1">
      <c r="B9" s="4"/>
      <c r="C9" s="874" t="s">
        <v>704</v>
      </c>
      <c r="D9" s="875"/>
      <c r="E9" s="876" t="s">
        <v>113</v>
      </c>
      <c r="F9" s="877" t="s">
        <v>114</v>
      </c>
      <c r="G9" s="878" t="s">
        <v>705</v>
      </c>
      <c r="H9" s="879" t="s">
        <v>115</v>
      </c>
      <c r="I9" s="880" t="s">
        <v>116</v>
      </c>
      <c r="J9" s="881" t="s">
        <v>117</v>
      </c>
      <c r="K9" s="882" t="s">
        <v>118</v>
      </c>
      <c r="L9" s="883" t="s">
        <v>119</v>
      </c>
      <c r="M9" s="884" t="s">
        <v>713</v>
      </c>
      <c r="N9" s="885" t="s">
        <v>120</v>
      </c>
      <c r="O9" s="886" t="s">
        <v>121</v>
      </c>
      <c r="P9" s="887" t="s">
        <v>719</v>
      </c>
    </row>
    <row r="10" spans="2:17" ht="17.100000000000001" customHeight="1" thickTop="1">
      <c r="B10" s="873">
        <v>17</v>
      </c>
      <c r="C10" s="889">
        <v>1</v>
      </c>
      <c r="D10" s="3535" t="s">
        <v>353</v>
      </c>
      <c r="E10" s="3536">
        <v>42005</v>
      </c>
      <c r="F10" s="2033" t="s">
        <v>151</v>
      </c>
      <c r="G10" s="998" t="s">
        <v>723</v>
      </c>
      <c r="H10" s="2033"/>
      <c r="I10" s="1000"/>
      <c r="J10" s="1001"/>
      <c r="K10" s="1002" t="s">
        <v>129</v>
      </c>
      <c r="L10" s="1003"/>
      <c r="M10" s="1004"/>
      <c r="N10" s="1005" t="s">
        <v>191</v>
      </c>
      <c r="O10" s="2034">
        <v>42385</v>
      </c>
      <c r="P10" s="927"/>
      <c r="Q10" s="928"/>
    </row>
    <row r="11" spans="2:17" ht="17.100000000000001" customHeight="1">
      <c r="B11" s="873">
        <v>18</v>
      </c>
      <c r="C11" s="889">
        <v>2</v>
      </c>
      <c r="D11" s="3500"/>
      <c r="E11" s="3537"/>
      <c r="F11" s="932" t="s">
        <v>151</v>
      </c>
      <c r="G11" s="931" t="s">
        <v>723</v>
      </c>
      <c r="H11" s="932"/>
      <c r="I11" s="933"/>
      <c r="J11" s="124"/>
      <c r="K11" s="934" t="s">
        <v>129</v>
      </c>
      <c r="L11" s="935"/>
      <c r="M11" s="936"/>
      <c r="N11" s="846" t="s">
        <v>173</v>
      </c>
      <c r="O11" s="937">
        <v>42391</v>
      </c>
      <c r="P11" s="938"/>
      <c r="Q11" s="928"/>
    </row>
    <row r="12" spans="2:17" ht="17.100000000000001" customHeight="1">
      <c r="B12" s="873">
        <v>19</v>
      </c>
      <c r="C12" s="889">
        <v>3</v>
      </c>
      <c r="D12" s="3500"/>
      <c r="E12" s="890">
        <v>42036</v>
      </c>
      <c r="F12" s="2040" t="s">
        <v>405</v>
      </c>
      <c r="G12" s="931" t="s">
        <v>723</v>
      </c>
      <c r="H12" s="932"/>
      <c r="I12" s="933"/>
      <c r="J12" s="124"/>
      <c r="K12" s="934" t="s">
        <v>129</v>
      </c>
      <c r="L12" s="935"/>
      <c r="M12" s="936"/>
      <c r="N12" s="846" t="s">
        <v>168</v>
      </c>
      <c r="O12" s="937">
        <v>42443</v>
      </c>
      <c r="P12" s="938"/>
    </row>
    <row r="13" spans="2:17" ht="17.100000000000001" customHeight="1">
      <c r="B13" s="873"/>
      <c r="C13" s="889">
        <v>4</v>
      </c>
      <c r="D13" s="3500"/>
      <c r="E13" s="890">
        <v>42064</v>
      </c>
      <c r="F13" s="939"/>
      <c r="G13" s="940"/>
      <c r="H13" s="932"/>
      <c r="I13" s="894"/>
      <c r="J13" s="79"/>
      <c r="K13" s="922"/>
      <c r="L13" s="943"/>
      <c r="M13" s="936"/>
      <c r="N13" s="945"/>
      <c r="O13" s="948"/>
      <c r="P13" s="938"/>
    </row>
    <row r="14" spans="2:17" ht="17.100000000000001" customHeight="1">
      <c r="C14" s="889">
        <v>5</v>
      </c>
      <c r="D14" s="3500"/>
      <c r="E14" s="890">
        <v>42095</v>
      </c>
      <c r="F14" s="949"/>
      <c r="G14" s="950"/>
      <c r="H14" s="951"/>
      <c r="I14" s="894"/>
      <c r="J14" s="79"/>
      <c r="K14" s="952"/>
      <c r="L14" s="953"/>
      <c r="M14" s="954"/>
      <c r="N14" s="955"/>
      <c r="O14" s="956"/>
      <c r="P14" s="957"/>
    </row>
    <row r="15" spans="2:17" ht="17.100000000000001" customHeight="1">
      <c r="B15" s="873"/>
      <c r="C15" s="889">
        <v>6</v>
      </c>
      <c r="D15" s="3500"/>
      <c r="E15" s="890">
        <v>42125</v>
      </c>
      <c r="F15" s="958" t="s">
        <v>133</v>
      </c>
      <c r="G15" s="959" t="s">
        <v>723</v>
      </c>
      <c r="H15" s="932"/>
      <c r="I15" s="894"/>
      <c r="J15" s="79"/>
      <c r="K15" s="934" t="s">
        <v>129</v>
      </c>
      <c r="L15" s="935"/>
      <c r="M15" s="936"/>
      <c r="N15" s="960" t="s">
        <v>130</v>
      </c>
      <c r="O15" s="948">
        <v>42508</v>
      </c>
      <c r="P15" s="938"/>
    </row>
    <row r="16" spans="2:17" ht="17.100000000000001" customHeight="1">
      <c r="B16" s="873"/>
      <c r="C16" s="889">
        <v>7</v>
      </c>
      <c r="D16" s="3500"/>
      <c r="E16" s="890">
        <v>42156</v>
      </c>
      <c r="F16" s="891"/>
      <c r="G16" s="950"/>
      <c r="H16" s="893"/>
      <c r="I16" s="894"/>
      <c r="J16" s="79"/>
      <c r="K16" s="895"/>
      <c r="L16" s="896"/>
      <c r="M16" s="897"/>
      <c r="N16" s="852"/>
      <c r="O16" s="898"/>
      <c r="P16" s="899"/>
    </row>
    <row r="17" spans="2:17" ht="17.100000000000001" customHeight="1">
      <c r="B17" s="873"/>
      <c r="C17" s="889">
        <v>8</v>
      </c>
      <c r="D17" s="3500"/>
      <c r="E17" s="890"/>
      <c r="F17" s="891"/>
      <c r="G17" s="892"/>
      <c r="H17" s="893"/>
      <c r="I17" s="894"/>
      <c r="J17" s="79"/>
      <c r="K17" s="895"/>
      <c r="L17" s="896"/>
      <c r="M17" s="897"/>
      <c r="N17" s="852"/>
      <c r="O17" s="898"/>
      <c r="P17" s="899"/>
    </row>
    <row r="18" spans="2:17" ht="17.100000000000001" customHeight="1">
      <c r="B18" s="873"/>
      <c r="C18" s="889">
        <v>9</v>
      </c>
      <c r="D18" s="3500"/>
      <c r="E18" s="890"/>
      <c r="F18" s="891"/>
      <c r="G18" s="950"/>
      <c r="H18" s="893"/>
      <c r="I18" s="894"/>
      <c r="J18" s="79"/>
      <c r="K18" s="895"/>
      <c r="L18" s="896"/>
      <c r="M18" s="897"/>
      <c r="N18" s="852"/>
      <c r="O18" s="898"/>
      <c r="P18" s="899"/>
    </row>
    <row r="19" spans="2:17" ht="17.100000000000001" customHeight="1">
      <c r="B19" s="873"/>
      <c r="C19" s="889">
        <v>10</v>
      </c>
      <c r="D19" s="3500"/>
      <c r="E19" s="890"/>
      <c r="F19" s="891"/>
      <c r="G19" s="950"/>
      <c r="H19" s="893"/>
      <c r="I19" s="894"/>
      <c r="J19" s="79"/>
      <c r="K19" s="895"/>
      <c r="L19" s="896"/>
      <c r="M19" s="897"/>
      <c r="N19" s="961"/>
      <c r="O19" s="898"/>
      <c r="P19" s="899"/>
    </row>
    <row r="20" spans="2:17" ht="17.100000000000001" customHeight="1">
      <c r="B20" s="873"/>
      <c r="C20" s="889">
        <v>11</v>
      </c>
      <c r="D20" s="3500"/>
      <c r="E20" s="890"/>
      <c r="F20" s="891"/>
      <c r="G20" s="950"/>
      <c r="H20" s="893"/>
      <c r="I20" s="894"/>
      <c r="J20" s="79"/>
      <c r="K20" s="895"/>
      <c r="L20" s="896"/>
      <c r="M20" s="897"/>
      <c r="N20" s="852"/>
      <c r="O20" s="898"/>
      <c r="P20" s="899"/>
    </row>
    <row r="21" spans="2:17" ht="17.100000000000001" customHeight="1" thickBot="1">
      <c r="B21" s="873"/>
      <c r="C21" s="900">
        <v>12</v>
      </c>
      <c r="D21" s="3501"/>
      <c r="E21" s="902"/>
      <c r="F21" s="903"/>
      <c r="G21" s="904"/>
      <c r="H21" s="905"/>
      <c r="I21" s="906"/>
      <c r="J21" s="907"/>
      <c r="K21" s="908"/>
      <c r="L21" s="909"/>
      <c r="M21" s="910"/>
      <c r="N21" s="911"/>
      <c r="O21" s="912"/>
      <c r="P21" s="913"/>
    </row>
    <row r="22" spans="2:17" ht="9.9499999999999993" customHeight="1" thickBot="1">
      <c r="E22" s="914"/>
      <c r="K22" s="962"/>
    </row>
    <row r="23" spans="2:17" ht="15.75" thickBot="1">
      <c r="N23" s="3490" t="s">
        <v>139</v>
      </c>
      <c r="O23" s="3491"/>
      <c r="P23" s="915"/>
    </row>
    <row r="24" spans="2:17" s="463" customFormat="1" ht="20.100000000000001" customHeight="1" thickBot="1">
      <c r="B24" s="4"/>
      <c r="C24" s="874" t="s">
        <v>704</v>
      </c>
      <c r="D24" s="875"/>
      <c r="E24" s="876" t="s">
        <v>113</v>
      </c>
      <c r="F24" s="877" t="s">
        <v>114</v>
      </c>
      <c r="G24" s="878" t="s">
        <v>705</v>
      </c>
      <c r="H24" s="879" t="s">
        <v>115</v>
      </c>
      <c r="I24" s="880" t="s">
        <v>116</v>
      </c>
      <c r="J24" s="881" t="s">
        <v>117</v>
      </c>
      <c r="K24" s="882" t="s">
        <v>118</v>
      </c>
      <c r="L24" s="883" t="s">
        <v>119</v>
      </c>
      <c r="M24" s="884" t="s">
        <v>713</v>
      </c>
      <c r="N24" s="885" t="s">
        <v>120</v>
      </c>
      <c r="O24" s="886" t="s">
        <v>121</v>
      </c>
      <c r="P24" s="887" t="s">
        <v>719</v>
      </c>
    </row>
    <row r="25" spans="2:17" ht="17.100000000000001" customHeight="1" thickTop="1">
      <c r="B25" s="873">
        <v>8</v>
      </c>
      <c r="C25" s="889">
        <v>1</v>
      </c>
      <c r="D25" s="3535" t="s">
        <v>140</v>
      </c>
      <c r="E25" s="916">
        <v>42005</v>
      </c>
      <c r="F25" s="917" t="s">
        <v>133</v>
      </c>
      <c r="G25" s="918" t="s">
        <v>723</v>
      </c>
      <c r="H25" s="919"/>
      <c r="I25" s="920"/>
      <c r="J25" s="921"/>
      <c r="K25" s="922" t="s">
        <v>129</v>
      </c>
      <c r="L25" s="923"/>
      <c r="M25" s="924"/>
      <c r="N25" s="925" t="s">
        <v>141</v>
      </c>
      <c r="O25" s="926">
        <v>42034</v>
      </c>
      <c r="P25" s="927"/>
      <c r="Q25" s="928"/>
    </row>
    <row r="26" spans="2:17" ht="17.100000000000001" customHeight="1">
      <c r="B26" s="873">
        <v>9</v>
      </c>
      <c r="C26" s="889">
        <v>2</v>
      </c>
      <c r="D26" s="3500"/>
      <c r="E26" s="890">
        <v>42036</v>
      </c>
      <c r="F26" s="930" t="s">
        <v>133</v>
      </c>
      <c r="G26" s="931" t="s">
        <v>723</v>
      </c>
      <c r="H26" s="932"/>
      <c r="I26" s="933"/>
      <c r="J26" s="124"/>
      <c r="K26" s="934" t="s">
        <v>129</v>
      </c>
      <c r="L26" s="935"/>
      <c r="M26" s="936"/>
      <c r="N26" s="846" t="s">
        <v>148</v>
      </c>
      <c r="O26" s="937">
        <v>42053</v>
      </c>
      <c r="P26" s="938"/>
      <c r="Q26" s="928"/>
    </row>
    <row r="27" spans="2:17" ht="17.100000000000001" customHeight="1">
      <c r="C27" s="889">
        <v>3</v>
      </c>
      <c r="D27" s="3500"/>
      <c r="E27" s="890">
        <v>42064</v>
      </c>
      <c r="F27" s="939"/>
      <c r="G27" s="940"/>
      <c r="H27" s="941"/>
      <c r="I27" s="942"/>
      <c r="J27" s="79"/>
      <c r="K27" s="922" t="s">
        <v>129</v>
      </c>
      <c r="L27" s="943"/>
      <c r="M27" s="944"/>
      <c r="N27" s="945"/>
      <c r="O27" s="946"/>
      <c r="P27" s="947"/>
    </row>
    <row r="28" spans="2:17" ht="17.100000000000001" customHeight="1">
      <c r="B28" s="873">
        <v>10</v>
      </c>
      <c r="C28" s="889">
        <v>4</v>
      </c>
      <c r="D28" s="3500"/>
      <c r="E28" s="890">
        <v>42095</v>
      </c>
      <c r="F28" s="939" t="s">
        <v>133</v>
      </c>
      <c r="G28" s="940" t="s">
        <v>723</v>
      </c>
      <c r="H28" s="932"/>
      <c r="I28" s="894"/>
      <c r="J28" s="79"/>
      <c r="K28" s="922" t="s">
        <v>129</v>
      </c>
      <c r="L28" s="943"/>
      <c r="M28" s="936"/>
      <c r="N28" s="945" t="s">
        <v>149</v>
      </c>
      <c r="O28" s="948">
        <v>42117</v>
      </c>
      <c r="P28" s="938"/>
    </row>
    <row r="29" spans="2:17" ht="17.100000000000001" customHeight="1">
      <c r="C29" s="889">
        <v>5</v>
      </c>
      <c r="D29" s="3500"/>
      <c r="E29" s="890">
        <v>42125</v>
      </c>
      <c r="F29" s="949"/>
      <c r="G29" s="950"/>
      <c r="H29" s="951"/>
      <c r="I29" s="894"/>
      <c r="J29" s="79"/>
      <c r="K29" s="952" t="s">
        <v>129</v>
      </c>
      <c r="L29" s="953"/>
      <c r="M29" s="954"/>
      <c r="N29" s="955"/>
      <c r="O29" s="956"/>
      <c r="P29" s="957"/>
    </row>
    <row r="30" spans="2:17" ht="17.100000000000001" customHeight="1">
      <c r="B30" s="873">
        <v>11</v>
      </c>
      <c r="C30" s="889">
        <v>6</v>
      </c>
      <c r="D30" s="3500"/>
      <c r="E30" s="890">
        <v>42156</v>
      </c>
      <c r="F30" s="958" t="s">
        <v>133</v>
      </c>
      <c r="G30" s="959" t="s">
        <v>723</v>
      </c>
      <c r="H30" s="932"/>
      <c r="I30" s="894"/>
      <c r="J30" s="79"/>
      <c r="K30" s="934" t="s">
        <v>129</v>
      </c>
      <c r="L30" s="935"/>
      <c r="M30" s="936"/>
      <c r="N30" s="960" t="s">
        <v>150</v>
      </c>
      <c r="O30" s="948">
        <v>42182</v>
      </c>
      <c r="P30" s="938"/>
    </row>
    <row r="31" spans="2:17" ht="17.100000000000001" customHeight="1">
      <c r="B31" s="873">
        <v>12</v>
      </c>
      <c r="C31" s="889">
        <v>7</v>
      </c>
      <c r="D31" s="3500"/>
      <c r="E31" s="890">
        <v>42186</v>
      </c>
      <c r="F31" s="891" t="s">
        <v>151</v>
      </c>
      <c r="G31" s="950" t="s">
        <v>723</v>
      </c>
      <c r="H31" s="893"/>
      <c r="I31" s="894"/>
      <c r="J31" s="79"/>
      <c r="K31" s="895" t="s">
        <v>129</v>
      </c>
      <c r="L31" s="896"/>
      <c r="M31" s="897"/>
      <c r="N31" s="852" t="s">
        <v>152</v>
      </c>
      <c r="O31" s="898">
        <v>42215</v>
      </c>
      <c r="P31" s="899"/>
    </row>
    <row r="32" spans="2:17" ht="17.100000000000001" customHeight="1">
      <c r="B32" s="873"/>
      <c r="C32" s="889">
        <v>8</v>
      </c>
      <c r="D32" s="3500"/>
      <c r="E32" s="890">
        <v>42217</v>
      </c>
      <c r="F32" s="891"/>
      <c r="G32" s="892"/>
      <c r="H32" s="893"/>
      <c r="I32" s="894"/>
      <c r="J32" s="79"/>
      <c r="K32" s="895" t="s">
        <v>129</v>
      </c>
      <c r="L32" s="896"/>
      <c r="M32" s="897"/>
      <c r="N32" s="852"/>
      <c r="O32" s="898"/>
      <c r="P32" s="899"/>
    </row>
    <row r="33" spans="2:17" ht="17.100000000000001" customHeight="1">
      <c r="B33" s="873">
        <v>13</v>
      </c>
      <c r="C33" s="889">
        <v>9</v>
      </c>
      <c r="D33" s="3500"/>
      <c r="E33" s="890">
        <v>42248</v>
      </c>
      <c r="F33" s="891" t="s">
        <v>151</v>
      </c>
      <c r="G33" s="950" t="s">
        <v>723</v>
      </c>
      <c r="H33" s="893"/>
      <c r="I33" s="894"/>
      <c r="J33" s="79"/>
      <c r="K33" s="895" t="s">
        <v>129</v>
      </c>
      <c r="L33" s="896"/>
      <c r="M33" s="897"/>
      <c r="N33" s="852" t="s">
        <v>153</v>
      </c>
      <c r="O33" s="898">
        <v>42255</v>
      </c>
      <c r="P33" s="899"/>
    </row>
    <row r="34" spans="2:17" ht="17.100000000000001" customHeight="1">
      <c r="B34" s="873">
        <v>14</v>
      </c>
      <c r="C34" s="889">
        <v>10</v>
      </c>
      <c r="D34" s="3500"/>
      <c r="E34" s="890">
        <v>42278</v>
      </c>
      <c r="F34" s="891" t="s">
        <v>151</v>
      </c>
      <c r="G34" s="950" t="s">
        <v>723</v>
      </c>
      <c r="H34" s="893"/>
      <c r="I34" s="894"/>
      <c r="J34" s="79"/>
      <c r="K34" s="895" t="s">
        <v>129</v>
      </c>
      <c r="L34" s="896"/>
      <c r="M34" s="897"/>
      <c r="N34" s="961" t="s">
        <v>154</v>
      </c>
      <c r="O34" s="898">
        <v>42291</v>
      </c>
      <c r="P34" s="899"/>
    </row>
    <row r="35" spans="2:17" ht="17.100000000000001" customHeight="1">
      <c r="B35" s="873">
        <v>15</v>
      </c>
      <c r="C35" s="889">
        <v>11</v>
      </c>
      <c r="D35" s="3500"/>
      <c r="E35" s="890">
        <v>42309</v>
      </c>
      <c r="F35" s="891" t="s">
        <v>151</v>
      </c>
      <c r="G35" s="950" t="s">
        <v>723</v>
      </c>
      <c r="H35" s="893"/>
      <c r="I35" s="894"/>
      <c r="J35" s="79"/>
      <c r="K35" s="895" t="s">
        <v>129</v>
      </c>
      <c r="L35" s="896"/>
      <c r="M35" s="897"/>
      <c r="N35" s="852" t="s">
        <v>155</v>
      </c>
      <c r="O35" s="898">
        <v>42311</v>
      </c>
      <c r="P35" s="899"/>
    </row>
    <row r="36" spans="2:17" ht="17.100000000000001" customHeight="1" thickBot="1">
      <c r="B36" s="873">
        <v>16</v>
      </c>
      <c r="C36" s="900">
        <v>12</v>
      </c>
      <c r="D36" s="3501"/>
      <c r="E36" s="902">
        <v>42339</v>
      </c>
      <c r="F36" s="903" t="s">
        <v>151</v>
      </c>
      <c r="G36" s="904" t="s">
        <v>723</v>
      </c>
      <c r="H36" s="905"/>
      <c r="I36" s="906"/>
      <c r="J36" s="907"/>
      <c r="K36" s="908" t="s">
        <v>129</v>
      </c>
      <c r="L36" s="909"/>
      <c r="M36" s="910"/>
      <c r="N36" s="911" t="s">
        <v>156</v>
      </c>
      <c r="O36" s="912">
        <v>42343</v>
      </c>
      <c r="P36" s="913"/>
    </row>
    <row r="37" spans="2:17" ht="9.9499999999999993" customHeight="1" thickBot="1">
      <c r="E37" s="914"/>
      <c r="K37" s="962"/>
    </row>
    <row r="38" spans="2:17" ht="15.75" thickBot="1">
      <c r="N38" s="3490" t="s">
        <v>157</v>
      </c>
      <c r="O38" s="3491"/>
      <c r="P38" s="915"/>
    </row>
    <row r="39" spans="2:17" s="463" customFormat="1" ht="20.100000000000001" customHeight="1" thickBot="1">
      <c r="B39" s="4"/>
      <c r="C39" s="874" t="s">
        <v>704</v>
      </c>
      <c r="D39" s="875"/>
      <c r="E39" s="876" t="s">
        <v>113</v>
      </c>
      <c r="F39" s="877" t="s">
        <v>114</v>
      </c>
      <c r="G39" s="878" t="s">
        <v>705</v>
      </c>
      <c r="H39" s="879" t="s">
        <v>115</v>
      </c>
      <c r="I39" s="880" t="s">
        <v>116</v>
      </c>
      <c r="J39" s="881" t="s">
        <v>117</v>
      </c>
      <c r="K39" s="882" t="s">
        <v>118</v>
      </c>
      <c r="L39" s="883" t="s">
        <v>119</v>
      </c>
      <c r="M39" s="884" t="s">
        <v>713</v>
      </c>
      <c r="N39" s="885" t="s">
        <v>120</v>
      </c>
      <c r="O39" s="886" t="s">
        <v>121</v>
      </c>
      <c r="P39" s="887" t="s">
        <v>719</v>
      </c>
    </row>
    <row r="40" spans="2:17" ht="17.100000000000001" customHeight="1" thickTop="1">
      <c r="B40" s="963"/>
      <c r="C40" s="964">
        <v>1</v>
      </c>
      <c r="D40" s="3535" t="s">
        <v>158</v>
      </c>
      <c r="E40" s="965">
        <v>42005</v>
      </c>
      <c r="F40" s="966" t="s">
        <v>133</v>
      </c>
      <c r="G40" s="966" t="s">
        <v>723</v>
      </c>
      <c r="H40" s="967"/>
      <c r="I40" s="968"/>
      <c r="J40" s="969"/>
      <c r="K40" s="970" t="s">
        <v>129</v>
      </c>
      <c r="L40" s="971"/>
      <c r="M40" s="972"/>
      <c r="N40" s="971" t="s">
        <v>159</v>
      </c>
      <c r="O40" s="973">
        <v>41643</v>
      </c>
      <c r="P40" s="974" t="s">
        <v>160</v>
      </c>
      <c r="Q40" s="928"/>
    </row>
    <row r="41" spans="2:17" ht="17.100000000000001" customHeight="1">
      <c r="C41" s="889">
        <v>2</v>
      </c>
      <c r="D41" s="3500"/>
      <c r="E41" s="890">
        <v>42036</v>
      </c>
      <c r="F41" s="930"/>
      <c r="G41" s="931"/>
      <c r="H41" s="975"/>
      <c r="I41" s="933"/>
      <c r="J41" s="124"/>
      <c r="K41" s="934" t="s">
        <v>129</v>
      </c>
      <c r="L41" s="935"/>
      <c r="M41" s="936"/>
      <c r="N41" s="846"/>
      <c r="O41" s="976"/>
      <c r="P41" s="938"/>
      <c r="Q41" s="928"/>
    </row>
    <row r="42" spans="2:17" ht="17.100000000000001" customHeight="1">
      <c r="C42" s="977">
        <v>3</v>
      </c>
      <c r="D42" s="3500"/>
      <c r="E42" s="890">
        <v>42064</v>
      </c>
      <c r="F42" s="978"/>
      <c r="G42" s="979"/>
      <c r="H42" s="980"/>
      <c r="I42" s="981"/>
      <c r="J42" s="79"/>
      <c r="K42" s="922" t="s">
        <v>129</v>
      </c>
      <c r="L42" s="943"/>
      <c r="M42" s="944"/>
      <c r="N42" s="982"/>
      <c r="O42" s="983"/>
      <c r="P42" s="947"/>
    </row>
    <row r="43" spans="2:17" ht="17.100000000000001" customHeight="1">
      <c r="B43" s="873">
        <v>5</v>
      </c>
      <c r="C43" s="977">
        <v>4</v>
      </c>
      <c r="D43" s="3500"/>
      <c r="E43" s="890">
        <v>42095</v>
      </c>
      <c r="F43" s="978" t="s">
        <v>133</v>
      </c>
      <c r="G43" s="979" t="s">
        <v>723</v>
      </c>
      <c r="H43" s="980"/>
      <c r="I43" s="981"/>
      <c r="J43" s="79"/>
      <c r="K43" s="922" t="s">
        <v>129</v>
      </c>
      <c r="L43" s="943"/>
      <c r="M43" s="936"/>
      <c r="N43" s="982" t="s">
        <v>161</v>
      </c>
      <c r="O43" s="976">
        <v>41734</v>
      </c>
      <c r="P43" s="938" t="s">
        <v>162</v>
      </c>
    </row>
    <row r="44" spans="2:17" ht="17.100000000000001" customHeight="1">
      <c r="C44" s="977">
        <v>5</v>
      </c>
      <c r="D44" s="3500"/>
      <c r="E44" s="890">
        <v>42125</v>
      </c>
      <c r="F44" s="978"/>
      <c r="G44" s="979"/>
      <c r="H44" s="980"/>
      <c r="I44" s="981"/>
      <c r="J44" s="79"/>
      <c r="K44" s="922" t="s">
        <v>129</v>
      </c>
      <c r="L44" s="943"/>
      <c r="M44" s="936"/>
      <c r="N44" s="982"/>
      <c r="O44" s="976"/>
      <c r="P44" s="938"/>
    </row>
    <row r="45" spans="2:17" ht="17.100000000000001" customHeight="1">
      <c r="B45" s="873">
        <v>6</v>
      </c>
      <c r="C45" s="977">
        <v>6</v>
      </c>
      <c r="D45" s="3500"/>
      <c r="E45" s="890">
        <v>42156</v>
      </c>
      <c r="F45" s="978" t="s">
        <v>133</v>
      </c>
      <c r="G45" s="979" t="s">
        <v>723</v>
      </c>
      <c r="H45" s="980"/>
      <c r="I45" s="981"/>
      <c r="J45" s="79"/>
      <c r="K45" s="922" t="s">
        <v>129</v>
      </c>
      <c r="L45" s="943"/>
      <c r="M45" s="936"/>
      <c r="N45" s="984" t="s">
        <v>159</v>
      </c>
      <c r="O45" s="976">
        <v>41820</v>
      </c>
      <c r="P45" s="938" t="s">
        <v>163</v>
      </c>
    </row>
    <row r="46" spans="2:17" ht="17.100000000000001" customHeight="1">
      <c r="B46" s="873">
        <v>7</v>
      </c>
      <c r="C46" s="977">
        <v>7</v>
      </c>
      <c r="D46" s="3500"/>
      <c r="E46" s="890">
        <v>42186</v>
      </c>
      <c r="F46" s="978" t="s">
        <v>133</v>
      </c>
      <c r="G46" s="979" t="s">
        <v>723</v>
      </c>
      <c r="H46" s="980"/>
      <c r="I46" s="981"/>
      <c r="J46" s="79"/>
      <c r="K46" s="922" t="s">
        <v>129</v>
      </c>
      <c r="L46" s="943"/>
      <c r="M46" s="936"/>
      <c r="N46" s="982" t="s">
        <v>164</v>
      </c>
      <c r="O46" s="976">
        <v>41845</v>
      </c>
      <c r="P46" s="938"/>
    </row>
    <row r="47" spans="2:17" ht="17.100000000000001" customHeight="1">
      <c r="C47" s="977">
        <v>8</v>
      </c>
      <c r="D47" s="3500"/>
      <c r="E47" s="890">
        <v>42217</v>
      </c>
      <c r="F47" s="978"/>
      <c r="G47" s="979"/>
      <c r="H47" s="980"/>
      <c r="I47" s="981"/>
      <c r="J47" s="79"/>
      <c r="K47" s="922" t="s">
        <v>129</v>
      </c>
      <c r="L47" s="943"/>
      <c r="M47" s="936"/>
      <c r="N47" s="982"/>
      <c r="O47" s="976"/>
      <c r="P47" s="938"/>
    </row>
    <row r="48" spans="2:17" ht="17.100000000000001" customHeight="1">
      <c r="C48" s="977">
        <v>9</v>
      </c>
      <c r="D48" s="3500"/>
      <c r="E48" s="890">
        <v>42248</v>
      </c>
      <c r="F48" s="978"/>
      <c r="G48" s="979"/>
      <c r="H48" s="980"/>
      <c r="I48" s="981"/>
      <c r="J48" s="79"/>
      <c r="K48" s="922" t="s">
        <v>129</v>
      </c>
      <c r="L48" s="943"/>
      <c r="M48" s="936"/>
      <c r="N48" s="982"/>
      <c r="O48" s="976"/>
      <c r="P48" s="938"/>
    </row>
    <row r="49" spans="2:17" ht="17.100000000000001" customHeight="1">
      <c r="C49" s="977">
        <v>10</v>
      </c>
      <c r="D49" s="3500"/>
      <c r="E49" s="890">
        <v>42278</v>
      </c>
      <c r="F49" s="930"/>
      <c r="G49" s="931"/>
      <c r="H49" s="975"/>
      <c r="I49" s="933"/>
      <c r="J49" s="124"/>
      <c r="K49" s="934" t="s">
        <v>129</v>
      </c>
      <c r="L49" s="935"/>
      <c r="M49" s="936"/>
      <c r="N49" s="846"/>
      <c r="O49" s="976"/>
      <c r="P49" s="938"/>
    </row>
    <row r="50" spans="2:17" ht="17.100000000000001" customHeight="1">
      <c r="C50" s="977">
        <v>11</v>
      </c>
      <c r="D50" s="3500"/>
      <c r="E50" s="890">
        <v>42309</v>
      </c>
      <c r="F50" s="930"/>
      <c r="G50" s="931"/>
      <c r="H50" s="975"/>
      <c r="I50" s="933"/>
      <c r="J50" s="124"/>
      <c r="K50" s="934" t="s">
        <v>129</v>
      </c>
      <c r="L50" s="935"/>
      <c r="M50" s="936"/>
      <c r="N50" s="846"/>
      <c r="O50" s="976"/>
      <c r="P50" s="938"/>
    </row>
    <row r="51" spans="2:17" ht="17.100000000000001" customHeight="1" thickBot="1">
      <c r="C51" s="985">
        <v>12</v>
      </c>
      <c r="D51" s="3501"/>
      <c r="E51" s="902">
        <v>42339</v>
      </c>
      <c r="F51" s="986" t="s">
        <v>133</v>
      </c>
      <c r="G51" s="987" t="s">
        <v>723</v>
      </c>
      <c r="H51" s="988"/>
      <c r="I51" s="989"/>
      <c r="J51" s="990"/>
      <c r="K51" s="991" t="s">
        <v>129</v>
      </c>
      <c r="L51" s="992"/>
      <c r="M51" s="993"/>
      <c r="N51" s="994" t="s">
        <v>165</v>
      </c>
      <c r="O51" s="995">
        <v>41992</v>
      </c>
      <c r="P51" s="996"/>
    </row>
    <row r="52" spans="2:17" ht="9.9499999999999993" customHeight="1" thickBot="1">
      <c r="E52" s="914"/>
    </row>
    <row r="53" spans="2:17" ht="15.75" thickBot="1">
      <c r="N53" s="3490" t="s">
        <v>166</v>
      </c>
      <c r="O53" s="3491"/>
      <c r="P53" s="915"/>
    </row>
    <row r="54" spans="2:17" s="463" customFormat="1" ht="20.100000000000001" customHeight="1" thickBot="1">
      <c r="B54" s="4"/>
      <c r="C54" s="874" t="s">
        <v>704</v>
      </c>
      <c r="D54" s="875"/>
      <c r="E54" s="876" t="s">
        <v>113</v>
      </c>
      <c r="F54" s="877" t="s">
        <v>114</v>
      </c>
      <c r="G54" s="878" t="s">
        <v>705</v>
      </c>
      <c r="H54" s="879" t="s">
        <v>115</v>
      </c>
      <c r="I54" s="880" t="s">
        <v>116</v>
      </c>
      <c r="J54" s="881" t="s">
        <v>117</v>
      </c>
      <c r="K54" s="882" t="s">
        <v>118</v>
      </c>
      <c r="L54" s="883" t="s">
        <v>119</v>
      </c>
      <c r="M54" s="884" t="s">
        <v>713</v>
      </c>
      <c r="N54" s="885" t="s">
        <v>120</v>
      </c>
      <c r="O54" s="886" t="s">
        <v>121</v>
      </c>
      <c r="P54" s="887" t="s">
        <v>719</v>
      </c>
    </row>
    <row r="55" spans="2:17" ht="17.100000000000001" customHeight="1" thickTop="1">
      <c r="B55" s="873">
        <v>4</v>
      </c>
      <c r="C55" s="964">
        <v>1</v>
      </c>
      <c r="D55" s="3535" t="s">
        <v>167</v>
      </c>
      <c r="E55" s="965">
        <v>42005</v>
      </c>
      <c r="F55" s="997" t="s">
        <v>133</v>
      </c>
      <c r="G55" s="998" t="s">
        <v>723</v>
      </c>
      <c r="H55" s="999"/>
      <c r="I55" s="1000"/>
      <c r="J55" s="1001"/>
      <c r="K55" s="1002" t="s">
        <v>129</v>
      </c>
      <c r="L55" s="1003"/>
      <c r="M55" s="1004"/>
      <c r="N55" s="1005" t="s">
        <v>168</v>
      </c>
      <c r="O55" s="1006">
        <v>41304</v>
      </c>
      <c r="P55" s="974"/>
      <c r="Q55" s="928"/>
    </row>
    <row r="56" spans="2:17" ht="17.100000000000001" customHeight="1">
      <c r="C56" s="889">
        <v>2</v>
      </c>
      <c r="D56" s="3500"/>
      <c r="E56" s="890">
        <v>42036</v>
      </c>
      <c r="F56" s="930"/>
      <c r="G56" s="931"/>
      <c r="H56" s="975"/>
      <c r="I56" s="933"/>
      <c r="J56" s="124"/>
      <c r="K56" s="934" t="s">
        <v>129</v>
      </c>
      <c r="L56" s="935"/>
      <c r="M56" s="936"/>
      <c r="N56" s="846"/>
      <c r="O56" s="976"/>
      <c r="P56" s="938"/>
      <c r="Q56" s="928"/>
    </row>
    <row r="57" spans="2:17" ht="17.100000000000001" customHeight="1">
      <c r="C57" s="977">
        <v>3</v>
      </c>
      <c r="D57" s="3500"/>
      <c r="E57" s="890">
        <v>42064</v>
      </c>
      <c r="F57" s="978"/>
      <c r="G57" s="979"/>
      <c r="H57" s="980"/>
      <c r="I57" s="981"/>
      <c r="J57" s="79"/>
      <c r="K57" s="922" t="s">
        <v>129</v>
      </c>
      <c r="L57" s="943"/>
      <c r="M57" s="944"/>
      <c r="N57" s="982"/>
      <c r="O57" s="983"/>
      <c r="P57" s="947"/>
    </row>
    <row r="58" spans="2:17" ht="17.100000000000001" customHeight="1">
      <c r="C58" s="977">
        <v>4</v>
      </c>
      <c r="D58" s="3500"/>
      <c r="E58" s="890">
        <v>42095</v>
      </c>
      <c r="F58" s="978" t="s">
        <v>133</v>
      </c>
      <c r="G58" s="979" t="s">
        <v>723</v>
      </c>
      <c r="H58" s="980"/>
      <c r="I58" s="981"/>
      <c r="J58" s="79"/>
      <c r="K58" s="922" t="s">
        <v>129</v>
      </c>
      <c r="L58" s="943"/>
      <c r="M58" s="936"/>
      <c r="N58" s="984" t="s">
        <v>154</v>
      </c>
      <c r="O58" s="976">
        <v>41394</v>
      </c>
      <c r="P58" s="1007" t="s">
        <v>169</v>
      </c>
    </row>
    <row r="59" spans="2:17" ht="17.100000000000001" customHeight="1">
      <c r="C59" s="977">
        <v>5</v>
      </c>
      <c r="D59" s="3500"/>
      <c r="E59" s="890">
        <v>42125</v>
      </c>
      <c r="F59" s="978"/>
      <c r="G59" s="979"/>
      <c r="H59" s="980"/>
      <c r="I59" s="981"/>
      <c r="J59" s="79"/>
      <c r="K59" s="922" t="s">
        <v>129</v>
      </c>
      <c r="L59" s="943"/>
      <c r="M59" s="936"/>
      <c r="N59" s="982"/>
      <c r="O59" s="976"/>
      <c r="P59" s="938"/>
    </row>
    <row r="60" spans="2:17" ht="17.100000000000001" customHeight="1">
      <c r="C60" s="977">
        <v>6</v>
      </c>
      <c r="D60" s="3500"/>
      <c r="E60" s="890">
        <v>42156</v>
      </c>
      <c r="F60" s="978"/>
      <c r="G60" s="979"/>
      <c r="H60" s="980"/>
      <c r="I60" s="981"/>
      <c r="J60" s="79"/>
      <c r="K60" s="922" t="s">
        <v>129</v>
      </c>
      <c r="L60" s="943"/>
      <c r="M60" s="936"/>
      <c r="N60" s="982"/>
      <c r="O60" s="976"/>
      <c r="P60" s="938"/>
    </row>
    <row r="61" spans="2:17" ht="17.100000000000001" customHeight="1">
      <c r="C61" s="977">
        <v>7</v>
      </c>
      <c r="D61" s="3500"/>
      <c r="E61" s="890">
        <v>42186</v>
      </c>
      <c r="F61" s="978"/>
      <c r="G61" s="979"/>
      <c r="H61" s="980"/>
      <c r="I61" s="981"/>
      <c r="J61" s="79"/>
      <c r="K61" s="922" t="s">
        <v>129</v>
      </c>
      <c r="L61" s="943"/>
      <c r="M61" s="936"/>
      <c r="N61" s="982"/>
      <c r="O61" s="976"/>
      <c r="P61" s="938"/>
    </row>
    <row r="62" spans="2:17" ht="17.100000000000001" customHeight="1">
      <c r="C62" s="977">
        <v>8</v>
      </c>
      <c r="D62" s="3500"/>
      <c r="E62" s="890">
        <v>42217</v>
      </c>
      <c r="F62" s="978"/>
      <c r="G62" s="979"/>
      <c r="H62" s="980"/>
      <c r="I62" s="981"/>
      <c r="J62" s="79"/>
      <c r="K62" s="922" t="s">
        <v>129</v>
      </c>
      <c r="L62" s="943"/>
      <c r="M62" s="936"/>
      <c r="N62" s="982"/>
      <c r="O62" s="976"/>
      <c r="P62" s="938"/>
    </row>
    <row r="63" spans="2:17" ht="17.100000000000001" customHeight="1">
      <c r="C63" s="977">
        <v>9</v>
      </c>
      <c r="D63" s="3500"/>
      <c r="E63" s="890">
        <v>42248</v>
      </c>
      <c r="F63" s="978"/>
      <c r="G63" s="979"/>
      <c r="H63" s="980"/>
      <c r="I63" s="981"/>
      <c r="J63" s="79"/>
      <c r="K63" s="922" t="s">
        <v>129</v>
      </c>
      <c r="L63" s="943"/>
      <c r="M63" s="936"/>
      <c r="N63" s="982"/>
      <c r="O63" s="976"/>
      <c r="P63" s="938"/>
    </row>
    <row r="64" spans="2:17" ht="17.100000000000001" customHeight="1">
      <c r="C64" s="977">
        <v>10</v>
      </c>
      <c r="D64" s="3500"/>
      <c r="E64" s="890">
        <v>42278</v>
      </c>
      <c r="F64" s="930"/>
      <c r="G64" s="931"/>
      <c r="H64" s="975"/>
      <c r="I64" s="933"/>
      <c r="J64" s="124"/>
      <c r="K64" s="934" t="s">
        <v>129</v>
      </c>
      <c r="L64" s="935"/>
      <c r="M64" s="936"/>
      <c r="N64" s="846"/>
      <c r="O64" s="976"/>
      <c r="P64" s="938"/>
    </row>
    <row r="65" spans="2:16" ht="17.100000000000001" customHeight="1">
      <c r="C65" s="977">
        <v>11</v>
      </c>
      <c r="D65" s="3500"/>
      <c r="E65" s="890">
        <v>42309</v>
      </c>
      <c r="F65" s="930"/>
      <c r="G65" s="931"/>
      <c r="H65" s="975"/>
      <c r="I65" s="933"/>
      <c r="J65" s="124"/>
      <c r="K65" s="934" t="s">
        <v>129</v>
      </c>
      <c r="L65" s="935"/>
      <c r="M65" s="936"/>
      <c r="N65" s="846"/>
      <c r="O65" s="976"/>
      <c r="P65" s="938"/>
    </row>
    <row r="66" spans="2:16" ht="17.100000000000001" customHeight="1" thickBot="1">
      <c r="C66" s="985">
        <v>12</v>
      </c>
      <c r="D66" s="3501"/>
      <c r="E66" s="902">
        <v>42339</v>
      </c>
      <c r="F66" s="986"/>
      <c r="G66" s="987"/>
      <c r="H66" s="988"/>
      <c r="I66" s="989"/>
      <c r="J66" s="990"/>
      <c r="K66" s="991" t="s">
        <v>129</v>
      </c>
      <c r="L66" s="992"/>
      <c r="M66" s="993"/>
      <c r="N66" s="994"/>
      <c r="O66" s="995"/>
      <c r="P66" s="996"/>
    </row>
    <row r="67" spans="2:16" ht="9.9499999999999993" customHeight="1" thickBot="1">
      <c r="P67" s="1008"/>
    </row>
    <row r="68" spans="2:16" ht="15.75" thickBot="1">
      <c r="N68" s="3490" t="s">
        <v>170</v>
      </c>
      <c r="O68" s="3491"/>
      <c r="P68" s="915"/>
    </row>
    <row r="69" spans="2:16" s="463" customFormat="1" ht="20.100000000000001" customHeight="1" thickBot="1">
      <c r="B69" s="4"/>
      <c r="C69" s="874" t="s">
        <v>704</v>
      </c>
      <c r="D69" s="875"/>
      <c r="E69" s="876" t="s">
        <v>113</v>
      </c>
      <c r="F69" s="877" t="s">
        <v>114</v>
      </c>
      <c r="G69" s="878" t="s">
        <v>705</v>
      </c>
      <c r="H69" s="879" t="s">
        <v>115</v>
      </c>
      <c r="I69" s="880" t="s">
        <v>116</v>
      </c>
      <c r="J69" s="881" t="s">
        <v>117</v>
      </c>
      <c r="K69" s="882" t="s">
        <v>118</v>
      </c>
      <c r="L69" s="883" t="s">
        <v>119</v>
      </c>
      <c r="M69" s="884" t="s">
        <v>713</v>
      </c>
      <c r="N69" s="885" t="s">
        <v>120</v>
      </c>
      <c r="O69" s="886" t="s">
        <v>121</v>
      </c>
      <c r="P69" s="887" t="s">
        <v>719</v>
      </c>
    </row>
    <row r="70" spans="2:16" ht="17.100000000000001" customHeight="1" thickTop="1">
      <c r="C70" s="964">
        <v>1</v>
      </c>
      <c r="D70" s="3535" t="s">
        <v>171</v>
      </c>
      <c r="E70" s="965">
        <v>42005</v>
      </c>
      <c r="F70" s="997"/>
      <c r="G70" s="998"/>
      <c r="H70" s="999"/>
      <c r="I70" s="1000"/>
      <c r="J70" s="1001"/>
      <c r="K70" s="1002" t="s">
        <v>129</v>
      </c>
      <c r="L70" s="1003"/>
      <c r="M70" s="1004"/>
      <c r="N70" s="1005"/>
      <c r="O70" s="1006"/>
      <c r="P70" s="974"/>
    </row>
    <row r="71" spans="2:16" ht="17.100000000000001" customHeight="1">
      <c r="C71" s="889">
        <v>2</v>
      </c>
      <c r="D71" s="3500"/>
      <c r="E71" s="890">
        <v>42036</v>
      </c>
      <c r="F71" s="930"/>
      <c r="G71" s="931"/>
      <c r="H71" s="975"/>
      <c r="I71" s="933"/>
      <c r="J71" s="124"/>
      <c r="K71" s="934" t="s">
        <v>129</v>
      </c>
      <c r="L71" s="935"/>
      <c r="M71" s="936"/>
      <c r="N71" s="846"/>
      <c r="O71" s="976"/>
      <c r="P71" s="938"/>
    </row>
    <row r="72" spans="2:16" ht="17.100000000000001" customHeight="1">
      <c r="C72" s="977">
        <v>3</v>
      </c>
      <c r="D72" s="3500"/>
      <c r="E72" s="890">
        <v>42064</v>
      </c>
      <c r="F72" s="978"/>
      <c r="G72" s="979"/>
      <c r="H72" s="980"/>
      <c r="I72" s="981"/>
      <c r="J72" s="79"/>
      <c r="K72" s="922" t="s">
        <v>129</v>
      </c>
      <c r="L72" s="943"/>
      <c r="M72" s="944"/>
      <c r="N72" s="982"/>
      <c r="O72" s="983"/>
      <c r="P72" s="947"/>
    </row>
    <row r="73" spans="2:16" ht="17.100000000000001" customHeight="1">
      <c r="C73" s="977">
        <v>4</v>
      </c>
      <c r="D73" s="3500"/>
      <c r="E73" s="890">
        <v>42095</v>
      </c>
      <c r="F73" s="978"/>
      <c r="G73" s="979"/>
      <c r="H73" s="980"/>
      <c r="I73" s="981"/>
      <c r="J73" s="79"/>
      <c r="K73" s="922" t="s">
        <v>129</v>
      </c>
      <c r="L73" s="943"/>
      <c r="M73" s="936"/>
      <c r="N73" s="982"/>
      <c r="O73" s="976"/>
      <c r="P73" s="938"/>
    </row>
    <row r="74" spans="2:16" ht="17.100000000000001" customHeight="1">
      <c r="C74" s="977">
        <v>5</v>
      </c>
      <c r="D74" s="3500"/>
      <c r="E74" s="890">
        <v>42125</v>
      </c>
      <c r="F74" s="978"/>
      <c r="G74" s="979"/>
      <c r="H74" s="980"/>
      <c r="I74" s="981"/>
      <c r="J74" s="79"/>
      <c r="K74" s="922" t="s">
        <v>129</v>
      </c>
      <c r="L74" s="943"/>
      <c r="M74" s="936"/>
      <c r="N74" s="982"/>
      <c r="O74" s="976"/>
      <c r="P74" s="938"/>
    </row>
    <row r="75" spans="2:16" ht="17.100000000000001" customHeight="1">
      <c r="B75" s="873">
        <v>2</v>
      </c>
      <c r="C75" s="977">
        <v>6</v>
      </c>
      <c r="D75" s="3500"/>
      <c r="E75" s="890">
        <v>42156</v>
      </c>
      <c r="F75" s="978" t="s">
        <v>133</v>
      </c>
      <c r="G75" s="979" t="s">
        <v>723</v>
      </c>
      <c r="H75" s="980"/>
      <c r="I75" s="981"/>
      <c r="J75" s="79"/>
      <c r="K75" s="922" t="s">
        <v>129</v>
      </c>
      <c r="L75" s="943"/>
      <c r="M75" s="936"/>
      <c r="N75" s="982" t="s">
        <v>172</v>
      </c>
      <c r="O75" s="976">
        <v>41066</v>
      </c>
      <c r="P75" s="938"/>
    </row>
    <row r="76" spans="2:16" ht="17.100000000000001" customHeight="1">
      <c r="C76" s="977">
        <v>7</v>
      </c>
      <c r="D76" s="3500"/>
      <c r="E76" s="890">
        <v>42186</v>
      </c>
      <c r="F76" s="978"/>
      <c r="G76" s="979"/>
      <c r="H76" s="980"/>
      <c r="I76" s="981"/>
      <c r="J76" s="79"/>
      <c r="K76" s="922" t="s">
        <v>129</v>
      </c>
      <c r="L76" s="943"/>
      <c r="M76" s="936"/>
      <c r="N76" s="982"/>
      <c r="O76" s="976"/>
      <c r="P76" s="938"/>
    </row>
    <row r="77" spans="2:16" ht="17.100000000000001" customHeight="1">
      <c r="C77" s="977">
        <v>8</v>
      </c>
      <c r="D77" s="3500"/>
      <c r="E77" s="890">
        <v>42217</v>
      </c>
      <c r="F77" s="978"/>
      <c r="G77" s="979"/>
      <c r="H77" s="980"/>
      <c r="I77" s="981"/>
      <c r="J77" s="79"/>
      <c r="K77" s="922" t="s">
        <v>129</v>
      </c>
      <c r="L77" s="943"/>
      <c r="M77" s="936"/>
      <c r="N77" s="982"/>
      <c r="O77" s="976"/>
      <c r="P77" s="938"/>
    </row>
    <row r="78" spans="2:16" ht="17.100000000000001" customHeight="1">
      <c r="B78" s="873">
        <v>3</v>
      </c>
      <c r="C78" s="977">
        <v>9</v>
      </c>
      <c r="D78" s="3500"/>
      <c r="E78" s="890">
        <v>42248</v>
      </c>
      <c r="F78" s="978" t="s">
        <v>133</v>
      </c>
      <c r="G78" s="979" t="s">
        <v>723</v>
      </c>
      <c r="H78" s="980"/>
      <c r="I78" s="981"/>
      <c r="J78" s="79"/>
      <c r="K78" s="922" t="s">
        <v>129</v>
      </c>
      <c r="L78" s="943"/>
      <c r="M78" s="936"/>
      <c r="N78" s="982" t="s">
        <v>173</v>
      </c>
      <c r="O78" s="976">
        <v>41164</v>
      </c>
      <c r="P78" s="938"/>
    </row>
    <row r="79" spans="2:16" ht="17.100000000000001" customHeight="1">
      <c r="C79" s="977">
        <v>10</v>
      </c>
      <c r="D79" s="3500"/>
      <c r="E79" s="890">
        <v>42278</v>
      </c>
      <c r="F79" s="930"/>
      <c r="G79" s="931"/>
      <c r="H79" s="975"/>
      <c r="I79" s="933"/>
      <c r="J79" s="124"/>
      <c r="K79" s="934" t="s">
        <v>129</v>
      </c>
      <c r="L79" s="935"/>
      <c r="M79" s="936"/>
      <c r="N79" s="846"/>
      <c r="O79" s="976"/>
      <c r="P79" s="938"/>
    </row>
    <row r="80" spans="2:16" ht="17.100000000000001" customHeight="1">
      <c r="C80" s="977">
        <v>11</v>
      </c>
      <c r="D80" s="3500"/>
      <c r="E80" s="890">
        <v>42309</v>
      </c>
      <c r="F80" s="930"/>
      <c r="G80" s="931"/>
      <c r="H80" s="975"/>
      <c r="I80" s="933"/>
      <c r="J80" s="124"/>
      <c r="K80" s="934" t="s">
        <v>129</v>
      </c>
      <c r="L80" s="935"/>
      <c r="M80" s="936"/>
      <c r="N80" s="846"/>
      <c r="O80" s="976"/>
      <c r="P80" s="938"/>
    </row>
    <row r="81" spans="2:30" ht="17.100000000000001" customHeight="1" thickBot="1">
      <c r="C81" s="985">
        <v>12</v>
      </c>
      <c r="D81" s="3501"/>
      <c r="E81" s="902">
        <v>42339</v>
      </c>
      <c r="F81" s="986"/>
      <c r="G81" s="987"/>
      <c r="H81" s="988"/>
      <c r="I81" s="989"/>
      <c r="J81" s="990"/>
      <c r="K81" s="991" t="s">
        <v>129</v>
      </c>
      <c r="L81" s="992"/>
      <c r="M81" s="993"/>
      <c r="N81" s="994"/>
      <c r="O81" s="995"/>
      <c r="P81" s="996"/>
    </row>
    <row r="83" spans="2:30" ht="21" thickBot="1">
      <c r="D83" s="867" t="s">
        <v>174</v>
      </c>
      <c r="E83" s="914"/>
    </row>
    <row r="84" spans="2:30" ht="15.75" thickBot="1">
      <c r="N84" s="3490" t="s">
        <v>175</v>
      </c>
      <c r="O84" s="3491"/>
    </row>
    <row r="85" spans="2:30" s="463" customFormat="1" ht="20.100000000000001" customHeight="1" thickBot="1">
      <c r="B85" s="4"/>
      <c r="C85" s="1009" t="s">
        <v>704</v>
      </c>
      <c r="D85" s="1010" t="s">
        <v>113</v>
      </c>
      <c r="E85" s="1011" t="s">
        <v>176</v>
      </c>
      <c r="F85" s="1012" t="s">
        <v>114</v>
      </c>
      <c r="G85" s="1013" t="s">
        <v>705</v>
      </c>
      <c r="H85" s="1014" t="s">
        <v>115</v>
      </c>
      <c r="I85" s="1015" t="s">
        <v>116</v>
      </c>
      <c r="J85" s="1016" t="s">
        <v>117</v>
      </c>
      <c r="K85" s="1017" t="s">
        <v>118</v>
      </c>
      <c r="L85" s="1018" t="s">
        <v>119</v>
      </c>
      <c r="M85" s="1019" t="s">
        <v>713</v>
      </c>
      <c r="N85" s="1020" t="s">
        <v>120</v>
      </c>
      <c r="O85" s="1021" t="s">
        <v>121</v>
      </c>
      <c r="P85" s="1022" t="s">
        <v>719</v>
      </c>
    </row>
    <row r="86" spans="2:30" s="463" customFormat="1" ht="20.100000000000001" customHeight="1" thickBot="1">
      <c r="B86" s="4"/>
      <c r="C86" s="1023">
        <v>1</v>
      </c>
      <c r="D86" s="3528" t="s">
        <v>177</v>
      </c>
      <c r="E86" s="1024">
        <v>1</v>
      </c>
      <c r="F86" s="1025" t="s">
        <v>737</v>
      </c>
      <c r="G86" s="1026" t="s">
        <v>732</v>
      </c>
      <c r="H86" s="1027" t="s">
        <v>178</v>
      </c>
      <c r="I86" s="1028">
        <v>10111</v>
      </c>
      <c r="J86" s="1029" t="s">
        <v>179</v>
      </c>
      <c r="K86" s="1030" t="s">
        <v>129</v>
      </c>
      <c r="L86" s="1031" t="s">
        <v>180</v>
      </c>
      <c r="M86" s="1032">
        <v>40560</v>
      </c>
      <c r="N86" s="1033" t="s">
        <v>173</v>
      </c>
      <c r="O86" s="1034">
        <v>40560</v>
      </c>
      <c r="P86" s="1035" t="s">
        <v>236</v>
      </c>
    </row>
    <row r="87" spans="2:30" s="463" customFormat="1" ht="20.100000000000001" customHeight="1" thickTop="1">
      <c r="B87" s="4"/>
      <c r="C87" s="1036">
        <v>2</v>
      </c>
      <c r="D87" s="3526"/>
      <c r="E87" s="1037">
        <v>2</v>
      </c>
      <c r="F87" s="1038" t="s">
        <v>737</v>
      </c>
      <c r="G87" s="1039" t="s">
        <v>732</v>
      </c>
      <c r="H87" s="1040" t="s">
        <v>178</v>
      </c>
      <c r="I87" s="1041">
        <v>110111</v>
      </c>
      <c r="J87" s="1042" t="s">
        <v>179</v>
      </c>
      <c r="K87" s="1043" t="s">
        <v>129</v>
      </c>
      <c r="L87" s="1044" t="s">
        <v>180</v>
      </c>
      <c r="M87" s="1045">
        <v>40560</v>
      </c>
      <c r="N87" s="1046" t="s">
        <v>173</v>
      </c>
      <c r="O87" s="1047">
        <v>40560</v>
      </c>
      <c r="P87" s="1048" t="s">
        <v>181</v>
      </c>
      <c r="V87" s="1049"/>
      <c r="W87" s="1050"/>
      <c r="X87" s="1050"/>
      <c r="Y87" s="1051"/>
    </row>
    <row r="88" spans="2:30" s="463" customFormat="1" ht="20.100000000000001" customHeight="1">
      <c r="B88" s="4"/>
      <c r="C88" s="1036">
        <v>3</v>
      </c>
      <c r="D88" s="3526"/>
      <c r="E88" s="1037">
        <v>3</v>
      </c>
      <c r="F88" s="1038" t="s">
        <v>737</v>
      </c>
      <c r="G88" s="1039" t="s">
        <v>732</v>
      </c>
      <c r="H88" s="1040" t="s">
        <v>182</v>
      </c>
      <c r="I88" s="1041">
        <v>30111</v>
      </c>
      <c r="J88" s="1042" t="s">
        <v>183</v>
      </c>
      <c r="K88" s="1043" t="s">
        <v>129</v>
      </c>
      <c r="L88" s="1044" t="s">
        <v>180</v>
      </c>
      <c r="M88" s="1045">
        <v>40560</v>
      </c>
      <c r="N88" s="1046" t="s">
        <v>173</v>
      </c>
      <c r="O88" s="1047">
        <v>40560</v>
      </c>
      <c r="P88" s="1048" t="s">
        <v>184</v>
      </c>
      <c r="T88" s="3484">
        <v>1</v>
      </c>
      <c r="U88" s="3485"/>
      <c r="V88" s="1052"/>
      <c r="W88" s="1052"/>
      <c r="X88" s="1052"/>
      <c r="Y88" s="1052"/>
      <c r="Z88" s="3484">
        <v>2</v>
      </c>
      <c r="AA88" s="3485"/>
    </row>
    <row r="89" spans="2:30" s="463" customFormat="1" ht="20.100000000000001" customHeight="1">
      <c r="B89" s="4"/>
      <c r="C89" s="1036">
        <v>4</v>
      </c>
      <c r="D89" s="3526"/>
      <c r="E89" s="1037">
        <v>4</v>
      </c>
      <c r="F89" s="1038" t="s">
        <v>737</v>
      </c>
      <c r="G89" s="1039" t="s">
        <v>732</v>
      </c>
      <c r="H89" s="1040" t="s">
        <v>182</v>
      </c>
      <c r="I89" s="1041">
        <v>40111</v>
      </c>
      <c r="J89" s="1042" t="s">
        <v>183</v>
      </c>
      <c r="K89" s="1043" t="s">
        <v>129</v>
      </c>
      <c r="L89" s="1044" t="s">
        <v>180</v>
      </c>
      <c r="M89" s="1045">
        <v>40560</v>
      </c>
      <c r="N89" s="1046" t="s">
        <v>173</v>
      </c>
      <c r="O89" s="1047">
        <v>40560</v>
      </c>
      <c r="P89" s="1048" t="s">
        <v>184</v>
      </c>
      <c r="T89" s="3486"/>
      <c r="U89" s="3487"/>
      <c r="V89" s="1053"/>
      <c r="W89" s="1054"/>
      <c r="X89" s="1054"/>
      <c r="Y89" s="1055"/>
      <c r="Z89" s="3486"/>
      <c r="AA89" s="3487"/>
    </row>
    <row r="90" spans="2:30" ht="18" customHeight="1">
      <c r="C90" s="1036">
        <v>5</v>
      </c>
      <c r="D90" s="3526"/>
      <c r="E90" s="1037">
        <v>5</v>
      </c>
      <c r="F90" s="1038" t="s">
        <v>737</v>
      </c>
      <c r="G90" s="1039" t="s">
        <v>732</v>
      </c>
      <c r="H90" s="1040" t="s">
        <v>182</v>
      </c>
      <c r="I90" s="1041">
        <v>50111</v>
      </c>
      <c r="J90" s="1042" t="s">
        <v>183</v>
      </c>
      <c r="K90" s="1043" t="s">
        <v>129</v>
      </c>
      <c r="L90" s="1044" t="s">
        <v>180</v>
      </c>
      <c r="M90" s="1045">
        <v>40560</v>
      </c>
      <c r="N90" s="1046" t="s">
        <v>173</v>
      </c>
      <c r="O90" s="1047">
        <v>40560</v>
      </c>
      <c r="P90" s="1048" t="s">
        <v>185</v>
      </c>
      <c r="Q90" s="463"/>
      <c r="R90" s="463"/>
      <c r="S90" s="463"/>
      <c r="T90" s="3488"/>
      <c r="U90" s="3489"/>
      <c r="V90" s="1056"/>
      <c r="W90" s="1056"/>
      <c r="X90" s="1056"/>
      <c r="Y90" s="1056"/>
      <c r="Z90" s="3488"/>
      <c r="AA90" s="3489"/>
      <c r="AB90" s="463"/>
      <c r="AC90" s="463"/>
      <c r="AD90" s="463"/>
    </row>
    <row r="91" spans="2:30" ht="18">
      <c r="C91" s="1057">
        <v>6</v>
      </c>
      <c r="D91" s="3526"/>
      <c r="E91" s="1037">
        <v>6</v>
      </c>
      <c r="F91" s="1038" t="s">
        <v>737</v>
      </c>
      <c r="G91" s="1039" t="s">
        <v>732</v>
      </c>
      <c r="H91" s="1040" t="s">
        <v>182</v>
      </c>
      <c r="I91" s="1041">
        <v>60111</v>
      </c>
      <c r="J91" s="1042" t="s">
        <v>183</v>
      </c>
      <c r="K91" s="1043" t="s">
        <v>129</v>
      </c>
      <c r="L91" s="1044" t="s">
        <v>180</v>
      </c>
      <c r="M91" s="1045">
        <v>40560</v>
      </c>
      <c r="N91" s="1046" t="s">
        <v>173</v>
      </c>
      <c r="O91" s="1047">
        <v>40560</v>
      </c>
      <c r="P91" s="1048" t="s">
        <v>237</v>
      </c>
      <c r="Q91" s="463"/>
      <c r="R91" s="463"/>
      <c r="S91" s="463"/>
      <c r="T91" s="736"/>
      <c r="U91" s="736"/>
      <c r="V91" s="1058"/>
      <c r="W91" s="1056"/>
      <c r="X91" s="1056"/>
      <c r="Y91" s="1059"/>
      <c r="Z91" s="463"/>
      <c r="AA91" s="736"/>
      <c r="AB91" s="463"/>
      <c r="AC91" s="463"/>
      <c r="AD91" s="463"/>
    </row>
    <row r="92" spans="2:30" ht="18">
      <c r="C92" s="1057">
        <v>7</v>
      </c>
      <c r="D92" s="3526"/>
      <c r="E92" s="1037">
        <v>7</v>
      </c>
      <c r="F92" s="1038" t="s">
        <v>737</v>
      </c>
      <c r="G92" s="1039" t="s">
        <v>732</v>
      </c>
      <c r="H92" s="1040" t="s">
        <v>182</v>
      </c>
      <c r="I92" s="1041">
        <v>70111</v>
      </c>
      <c r="J92" s="1042" t="s">
        <v>183</v>
      </c>
      <c r="K92" s="1043" t="s">
        <v>129</v>
      </c>
      <c r="L92" s="1044" t="s">
        <v>180</v>
      </c>
      <c r="M92" s="1045">
        <v>40560</v>
      </c>
      <c r="N92" s="1046" t="s">
        <v>173</v>
      </c>
      <c r="O92" s="1047">
        <v>40560</v>
      </c>
      <c r="P92" s="1048" t="s">
        <v>184</v>
      </c>
      <c r="Q92" s="463"/>
      <c r="R92" s="463"/>
      <c r="S92" s="463"/>
      <c r="T92" s="736"/>
      <c r="U92" s="736"/>
      <c r="V92" s="1058"/>
      <c r="W92" s="1056"/>
      <c r="X92" s="1056"/>
      <c r="Y92" s="1059"/>
      <c r="Z92" s="463"/>
      <c r="AA92" s="736"/>
      <c r="AB92" s="463"/>
      <c r="AC92" s="463"/>
    </row>
    <row r="93" spans="2:30" ht="18">
      <c r="C93" s="1057">
        <v>8</v>
      </c>
      <c r="D93" s="3526"/>
      <c r="E93" s="1037">
        <v>8</v>
      </c>
      <c r="F93" s="1038" t="s">
        <v>737</v>
      </c>
      <c r="G93" s="1039" t="s">
        <v>732</v>
      </c>
      <c r="H93" s="1040" t="s">
        <v>182</v>
      </c>
      <c r="I93" s="1041">
        <v>80111</v>
      </c>
      <c r="J93" s="1042" t="s">
        <v>183</v>
      </c>
      <c r="K93" s="1043" t="s">
        <v>129</v>
      </c>
      <c r="L93" s="1044" t="s">
        <v>180</v>
      </c>
      <c r="M93" s="1045">
        <v>40560</v>
      </c>
      <c r="N93" s="1046" t="s">
        <v>173</v>
      </c>
      <c r="O93" s="1047">
        <v>40560</v>
      </c>
      <c r="P93" s="1048" t="s">
        <v>184</v>
      </c>
      <c r="Q93" s="463"/>
      <c r="R93" s="463"/>
      <c r="S93" s="463"/>
      <c r="T93" s="463"/>
      <c r="U93" s="463"/>
      <c r="V93" s="1060"/>
      <c r="W93" s="1056"/>
      <c r="X93" s="1056"/>
      <c r="Y93" s="1061"/>
      <c r="Z93" s="463"/>
      <c r="AA93" s="463"/>
      <c r="AB93" s="463"/>
      <c r="AC93" s="463"/>
    </row>
    <row r="94" spans="2:30" ht="18">
      <c r="C94" s="1057">
        <v>9</v>
      </c>
      <c r="D94" s="3526"/>
      <c r="E94" s="1037">
        <v>9</v>
      </c>
      <c r="F94" s="1038" t="s">
        <v>737</v>
      </c>
      <c r="G94" s="1039" t="s">
        <v>732</v>
      </c>
      <c r="H94" s="1040" t="s">
        <v>182</v>
      </c>
      <c r="I94" s="1041">
        <v>90111</v>
      </c>
      <c r="J94" s="1042" t="s">
        <v>183</v>
      </c>
      <c r="K94" s="1043" t="s">
        <v>129</v>
      </c>
      <c r="L94" s="1044" t="s">
        <v>180</v>
      </c>
      <c r="M94" s="1045">
        <v>40560</v>
      </c>
      <c r="N94" s="1046" t="s">
        <v>173</v>
      </c>
      <c r="O94" s="1047">
        <v>40560</v>
      </c>
      <c r="P94" s="1048" t="s">
        <v>245</v>
      </c>
      <c r="R94" s="3484">
        <v>3</v>
      </c>
      <c r="S94" s="3485"/>
      <c r="T94" s="1062"/>
      <c r="U94" s="3484">
        <v>4</v>
      </c>
      <c r="V94" s="3485"/>
      <c r="W94" s="1052"/>
      <c r="X94" s="1052"/>
      <c r="Y94" s="3484">
        <v>5</v>
      </c>
      <c r="Z94" s="3485"/>
      <c r="AA94" s="1062"/>
      <c r="AB94" s="3484">
        <v>6</v>
      </c>
      <c r="AC94" s="3485"/>
    </row>
    <row r="95" spans="2:30" ht="18.75" thickBot="1">
      <c r="C95" s="1057">
        <v>10</v>
      </c>
      <c r="D95" s="3526"/>
      <c r="E95" s="1063">
        <v>10</v>
      </c>
      <c r="F95" s="1064" t="s">
        <v>737</v>
      </c>
      <c r="G95" s="1065" t="s">
        <v>732</v>
      </c>
      <c r="H95" s="1066" t="s">
        <v>182</v>
      </c>
      <c r="I95" s="1067">
        <v>100111</v>
      </c>
      <c r="J95" s="1068" t="s">
        <v>183</v>
      </c>
      <c r="K95" s="1069" t="s">
        <v>129</v>
      </c>
      <c r="L95" s="1070" t="s">
        <v>180</v>
      </c>
      <c r="M95" s="1071">
        <v>40560</v>
      </c>
      <c r="N95" s="1072" t="s">
        <v>173</v>
      </c>
      <c r="O95" s="1073">
        <v>40560</v>
      </c>
      <c r="P95" s="1074" t="s">
        <v>246</v>
      </c>
      <c r="R95" s="3486"/>
      <c r="S95" s="3487"/>
      <c r="T95" s="1075"/>
      <c r="U95" s="3486"/>
      <c r="V95" s="3487"/>
      <c r="W95" s="1076"/>
      <c r="X95" s="1077"/>
      <c r="Y95" s="3486"/>
      <c r="Z95" s="3487"/>
      <c r="AA95" s="1075"/>
      <c r="AB95" s="3486"/>
      <c r="AC95" s="3487"/>
    </row>
    <row r="96" spans="2:30" ht="18">
      <c r="C96" s="1057">
        <v>11</v>
      </c>
      <c r="D96" s="3526"/>
      <c r="E96" s="1078">
        <v>1</v>
      </c>
      <c r="F96" s="1079" t="s">
        <v>737</v>
      </c>
      <c r="G96" s="1039" t="s">
        <v>732</v>
      </c>
      <c r="H96" s="1080" t="s">
        <v>178</v>
      </c>
      <c r="I96" s="1081">
        <v>120111</v>
      </c>
      <c r="J96" s="1082" t="s">
        <v>179</v>
      </c>
      <c r="K96" s="1083" t="s">
        <v>129</v>
      </c>
      <c r="L96" s="1084" t="s">
        <v>180</v>
      </c>
      <c r="M96" s="1085">
        <v>40560</v>
      </c>
      <c r="N96" s="1086" t="s">
        <v>168</v>
      </c>
      <c r="O96" s="1087">
        <v>40561</v>
      </c>
      <c r="P96" s="1088" t="s">
        <v>186</v>
      </c>
      <c r="R96" s="3488"/>
      <c r="S96" s="3489"/>
      <c r="U96" s="3488"/>
      <c r="V96" s="3489"/>
      <c r="W96" s="1089"/>
      <c r="X96" s="1089"/>
      <c r="Y96" s="3488"/>
      <c r="Z96" s="3489"/>
      <c r="AB96" s="3488"/>
      <c r="AC96" s="3489"/>
    </row>
    <row r="97" spans="3:29" ht="18">
      <c r="C97" s="1057">
        <v>12</v>
      </c>
      <c r="D97" s="3526"/>
      <c r="E97" s="1037">
        <v>2</v>
      </c>
      <c r="F97" s="1079" t="s">
        <v>737</v>
      </c>
      <c r="G97" s="1039" t="s">
        <v>732</v>
      </c>
      <c r="H97" s="1080" t="s">
        <v>178</v>
      </c>
      <c r="I97" s="1081">
        <v>20111</v>
      </c>
      <c r="J97" s="1082" t="s">
        <v>179</v>
      </c>
      <c r="K97" s="1083" t="s">
        <v>129</v>
      </c>
      <c r="L97" s="1084" t="s">
        <v>180</v>
      </c>
      <c r="M97" s="1085">
        <v>40560</v>
      </c>
      <c r="N97" s="1086" t="s">
        <v>168</v>
      </c>
      <c r="O97" s="1090">
        <v>40561</v>
      </c>
      <c r="P97" s="1088" t="s">
        <v>187</v>
      </c>
      <c r="V97" s="1091"/>
      <c r="W97" s="1089"/>
      <c r="X97" s="1089"/>
      <c r="Y97" s="1089"/>
      <c r="Z97" s="1092"/>
    </row>
    <row r="98" spans="3:29" ht="18">
      <c r="C98" s="1057">
        <v>13</v>
      </c>
      <c r="D98" s="3526"/>
      <c r="E98" s="1037">
        <v>3</v>
      </c>
      <c r="F98" s="1079" t="s">
        <v>737</v>
      </c>
      <c r="G98" s="1039" t="s">
        <v>732</v>
      </c>
      <c r="H98" s="1080" t="s">
        <v>182</v>
      </c>
      <c r="I98" s="1081">
        <v>130111</v>
      </c>
      <c r="J98" s="1082" t="s">
        <v>183</v>
      </c>
      <c r="K98" s="1083" t="s">
        <v>129</v>
      </c>
      <c r="L98" s="1084" t="s">
        <v>180</v>
      </c>
      <c r="M98" s="1085">
        <v>40560</v>
      </c>
      <c r="N98" s="1086" t="s">
        <v>168</v>
      </c>
      <c r="O98" s="1090">
        <v>40561</v>
      </c>
      <c r="P98" s="1088" t="s">
        <v>186</v>
      </c>
      <c r="R98" s="3484">
        <v>7</v>
      </c>
      <c r="S98" s="3485"/>
      <c r="T98" s="437"/>
      <c r="U98" s="3484">
        <v>8</v>
      </c>
      <c r="V98" s="3485"/>
      <c r="W98" s="1093"/>
      <c r="X98" s="1093"/>
      <c r="Y98" s="3484">
        <v>9</v>
      </c>
      <c r="Z98" s="3485"/>
      <c r="AA98" s="437"/>
      <c r="AB98" s="3484">
        <v>10</v>
      </c>
      <c r="AC98" s="3485"/>
    </row>
    <row r="99" spans="3:29" ht="18">
      <c r="C99" s="1057">
        <v>14</v>
      </c>
      <c r="D99" s="3526"/>
      <c r="E99" s="1037">
        <v>4</v>
      </c>
      <c r="F99" s="1079" t="s">
        <v>737</v>
      </c>
      <c r="G99" s="1039" t="s">
        <v>732</v>
      </c>
      <c r="H99" s="1080" t="s">
        <v>182</v>
      </c>
      <c r="I99" s="1081">
        <v>140111</v>
      </c>
      <c r="J99" s="1082" t="s">
        <v>183</v>
      </c>
      <c r="K99" s="1083" t="s">
        <v>129</v>
      </c>
      <c r="L99" s="1084" t="s">
        <v>180</v>
      </c>
      <c r="M99" s="1085">
        <v>40560</v>
      </c>
      <c r="N99" s="1086" t="s">
        <v>168</v>
      </c>
      <c r="O99" s="1090">
        <v>40561</v>
      </c>
      <c r="P99" s="1088" t="s">
        <v>186</v>
      </c>
      <c r="R99" s="3486"/>
      <c r="S99" s="3487"/>
      <c r="T99" s="1075"/>
      <c r="U99" s="3486"/>
      <c r="V99" s="3487"/>
      <c r="W99" s="1076"/>
      <c r="X99" s="1077"/>
      <c r="Y99" s="3486"/>
      <c r="Z99" s="3487"/>
      <c r="AA99" s="1075"/>
      <c r="AB99" s="3486"/>
      <c r="AC99" s="3487"/>
    </row>
    <row r="100" spans="3:29" ht="18">
      <c r="C100" s="1057">
        <v>15</v>
      </c>
      <c r="D100" s="3526"/>
      <c r="E100" s="1037">
        <v>5</v>
      </c>
      <c r="F100" s="1079" t="s">
        <v>737</v>
      </c>
      <c r="G100" s="1039" t="s">
        <v>732</v>
      </c>
      <c r="H100" s="1080" t="s">
        <v>182</v>
      </c>
      <c r="I100" s="1081">
        <v>170111</v>
      </c>
      <c r="J100" s="1082" t="s">
        <v>183</v>
      </c>
      <c r="K100" s="1083" t="s">
        <v>129</v>
      </c>
      <c r="L100" s="1084" t="s">
        <v>180</v>
      </c>
      <c r="M100" s="1085">
        <v>40560</v>
      </c>
      <c r="N100" s="1086" t="s">
        <v>168</v>
      </c>
      <c r="O100" s="1090">
        <v>40561</v>
      </c>
      <c r="P100" s="1088" t="s">
        <v>187</v>
      </c>
      <c r="R100" s="3488"/>
      <c r="S100" s="3489"/>
      <c r="U100" s="3488"/>
      <c r="V100" s="3489"/>
      <c r="W100" s="1089"/>
      <c r="X100" s="1089"/>
      <c r="Y100" s="3488"/>
      <c r="Z100" s="3489"/>
      <c r="AB100" s="3488"/>
      <c r="AC100" s="3489"/>
    </row>
    <row r="101" spans="3:29" ht="18.75" thickBot="1">
      <c r="C101" s="1057">
        <v>16</v>
      </c>
      <c r="D101" s="3526"/>
      <c r="E101" s="1037">
        <v>6</v>
      </c>
      <c r="F101" s="1079" t="s">
        <v>737</v>
      </c>
      <c r="G101" s="1039" t="s">
        <v>732</v>
      </c>
      <c r="H101" s="1080" t="s">
        <v>182</v>
      </c>
      <c r="I101" s="1081">
        <v>180111</v>
      </c>
      <c r="J101" s="1082" t="s">
        <v>183</v>
      </c>
      <c r="K101" s="1083" t="s">
        <v>129</v>
      </c>
      <c r="L101" s="1084" t="s">
        <v>180</v>
      </c>
      <c r="M101" s="1085">
        <v>40560</v>
      </c>
      <c r="N101" s="1086" t="s">
        <v>168</v>
      </c>
      <c r="O101" s="1090">
        <v>40561</v>
      </c>
      <c r="P101" s="1088" t="s">
        <v>187</v>
      </c>
      <c r="V101" s="1094"/>
      <c r="W101" s="1095"/>
      <c r="X101" s="1095"/>
      <c r="Y101" s="1096"/>
    </row>
    <row r="102" spans="3:29" ht="18.75" thickTop="1">
      <c r="C102" s="1057">
        <v>17</v>
      </c>
      <c r="D102" s="3526"/>
      <c r="E102" s="1037">
        <v>7</v>
      </c>
      <c r="F102" s="1079" t="s">
        <v>737</v>
      </c>
      <c r="G102" s="1039" t="s">
        <v>732</v>
      </c>
      <c r="H102" s="1080" t="s">
        <v>182</v>
      </c>
      <c r="I102" s="1081">
        <v>150111</v>
      </c>
      <c r="J102" s="1082" t="s">
        <v>183</v>
      </c>
      <c r="K102" s="1083" t="s">
        <v>129</v>
      </c>
      <c r="L102" s="1084" t="s">
        <v>180</v>
      </c>
      <c r="M102" s="1085">
        <v>40560</v>
      </c>
      <c r="N102" s="1086" t="s">
        <v>168</v>
      </c>
      <c r="O102" s="1090">
        <v>40561</v>
      </c>
      <c r="P102" s="1088" t="s">
        <v>186</v>
      </c>
    </row>
    <row r="103" spans="3:29" ht="18">
      <c r="C103" s="1057">
        <v>18</v>
      </c>
      <c r="D103" s="3526"/>
      <c r="E103" s="1037">
        <v>8</v>
      </c>
      <c r="F103" s="1079" t="s">
        <v>737</v>
      </c>
      <c r="G103" s="1039" t="s">
        <v>732</v>
      </c>
      <c r="H103" s="1080" t="s">
        <v>182</v>
      </c>
      <c r="I103" s="1081">
        <v>160111</v>
      </c>
      <c r="J103" s="1082" t="s">
        <v>183</v>
      </c>
      <c r="K103" s="1083" t="s">
        <v>129</v>
      </c>
      <c r="L103" s="1084" t="s">
        <v>180</v>
      </c>
      <c r="M103" s="1085">
        <v>40560</v>
      </c>
      <c r="N103" s="1086" t="s">
        <v>168</v>
      </c>
      <c r="O103" s="1090">
        <v>40561</v>
      </c>
      <c r="P103" s="1088" t="s">
        <v>186</v>
      </c>
    </row>
    <row r="104" spans="3:29" ht="18">
      <c r="C104" s="1057">
        <v>19</v>
      </c>
      <c r="D104" s="3526"/>
      <c r="E104" s="1037">
        <v>9</v>
      </c>
      <c r="F104" s="1079" t="s">
        <v>737</v>
      </c>
      <c r="G104" s="1039" t="s">
        <v>732</v>
      </c>
      <c r="H104" s="1080" t="s">
        <v>182</v>
      </c>
      <c r="I104" s="1081">
        <v>190111</v>
      </c>
      <c r="J104" s="1082" t="s">
        <v>183</v>
      </c>
      <c r="K104" s="1083" t="s">
        <v>129</v>
      </c>
      <c r="L104" s="1084" t="s">
        <v>180</v>
      </c>
      <c r="M104" s="1085">
        <v>40560</v>
      </c>
      <c r="N104" s="1086" t="s">
        <v>168</v>
      </c>
      <c r="O104" s="1090">
        <v>40561</v>
      </c>
      <c r="P104" s="1088" t="s">
        <v>187</v>
      </c>
    </row>
    <row r="105" spans="3:29" ht="18.75" thickBot="1">
      <c r="C105" s="1097">
        <v>20</v>
      </c>
      <c r="D105" s="3527"/>
      <c r="E105" s="1098">
        <v>10</v>
      </c>
      <c r="F105" s="1099" t="s">
        <v>737</v>
      </c>
      <c r="G105" s="1100" t="s">
        <v>732</v>
      </c>
      <c r="H105" s="1101" t="s">
        <v>182</v>
      </c>
      <c r="I105" s="1102">
        <v>200111</v>
      </c>
      <c r="J105" s="1103" t="s">
        <v>183</v>
      </c>
      <c r="K105" s="1104" t="s">
        <v>129</v>
      </c>
      <c r="L105" s="1105" t="s">
        <v>180</v>
      </c>
      <c r="M105" s="1106">
        <v>40560</v>
      </c>
      <c r="N105" s="1107" t="s">
        <v>168</v>
      </c>
      <c r="O105" s="1108">
        <v>40561</v>
      </c>
      <c r="P105" s="1109" t="s">
        <v>187</v>
      </c>
    </row>
    <row r="106" spans="3:29" ht="10.15" customHeight="1" thickBot="1">
      <c r="C106" s="1110"/>
      <c r="D106" s="1111"/>
      <c r="E106" s="1112"/>
      <c r="F106" s="1113"/>
      <c r="G106" s="1114"/>
      <c r="H106" s="1115"/>
      <c r="I106" s="1116"/>
      <c r="J106" s="1117"/>
      <c r="K106" s="1118"/>
      <c r="L106" s="1119"/>
      <c r="M106" s="1120"/>
      <c r="N106" s="1121"/>
      <c r="O106" s="1122"/>
      <c r="P106" s="1123"/>
    </row>
    <row r="107" spans="3:29" ht="19.5" thickBot="1">
      <c r="C107" s="1124">
        <v>1</v>
      </c>
      <c r="D107" s="3473" t="s">
        <v>188</v>
      </c>
      <c r="E107" s="1125">
        <v>9</v>
      </c>
      <c r="F107" s="1126" t="s">
        <v>733</v>
      </c>
      <c r="G107" s="1127" t="s">
        <v>732</v>
      </c>
      <c r="H107" s="1126" t="s">
        <v>189</v>
      </c>
      <c r="I107" s="1128">
        <v>810910</v>
      </c>
      <c r="J107" s="1126" t="s">
        <v>183</v>
      </c>
      <c r="K107" s="1126" t="s">
        <v>733</v>
      </c>
      <c r="L107" s="1129" t="s">
        <v>190</v>
      </c>
      <c r="M107" s="1130">
        <v>40593</v>
      </c>
      <c r="N107" s="1131" t="s">
        <v>191</v>
      </c>
      <c r="O107" s="1132">
        <v>40598</v>
      </c>
      <c r="P107" s="1133" t="s">
        <v>192</v>
      </c>
      <c r="R107" s="463"/>
      <c r="S107" s="463"/>
      <c r="T107" s="463"/>
      <c r="U107" s="463"/>
      <c r="V107" s="463"/>
      <c r="W107" s="463"/>
      <c r="X107" s="463"/>
      <c r="Y107" s="463"/>
      <c r="Z107" s="463"/>
      <c r="AA107" s="463"/>
      <c r="AB107" s="463"/>
      <c r="AC107" s="463"/>
    </row>
    <row r="108" spans="3:29" ht="19.5" thickTop="1">
      <c r="C108" s="1134">
        <v>2</v>
      </c>
      <c r="D108" s="3526"/>
      <c r="E108" s="1135">
        <v>9</v>
      </c>
      <c r="F108" s="1136" t="s">
        <v>733</v>
      </c>
      <c r="G108" s="1137" t="s">
        <v>732</v>
      </c>
      <c r="H108" s="1136" t="s">
        <v>189</v>
      </c>
      <c r="I108" s="1138">
        <v>210211</v>
      </c>
      <c r="J108" s="1136" t="s">
        <v>183</v>
      </c>
      <c r="K108" s="1136" t="s">
        <v>733</v>
      </c>
      <c r="L108" s="1139" t="s">
        <v>190</v>
      </c>
      <c r="M108" s="1140">
        <v>40597</v>
      </c>
      <c r="N108" s="1141" t="s">
        <v>193</v>
      </c>
      <c r="O108" s="1142">
        <v>40599</v>
      </c>
      <c r="P108" s="1143" t="s">
        <v>194</v>
      </c>
      <c r="R108" s="463"/>
      <c r="S108" s="463"/>
      <c r="T108" s="463"/>
      <c r="U108" s="463"/>
      <c r="V108" s="1049"/>
      <c r="W108" s="1050"/>
      <c r="X108" s="1050"/>
      <c r="Y108" s="1051"/>
      <c r="Z108" s="463"/>
      <c r="AA108" s="463"/>
      <c r="AB108" s="463"/>
      <c r="AC108" s="463"/>
    </row>
    <row r="109" spans="3:29" ht="18.75" thickBot="1">
      <c r="C109" s="1134">
        <v>3</v>
      </c>
      <c r="D109" s="3526"/>
      <c r="E109" s="1144">
        <v>10</v>
      </c>
      <c r="F109" s="1145" t="s">
        <v>733</v>
      </c>
      <c r="G109" s="1146" t="s">
        <v>732</v>
      </c>
      <c r="H109" s="1145" t="s">
        <v>189</v>
      </c>
      <c r="I109" s="1147">
        <v>220211</v>
      </c>
      <c r="J109" s="1145" t="s">
        <v>183</v>
      </c>
      <c r="K109" s="1145" t="s">
        <v>733</v>
      </c>
      <c r="L109" s="1148" t="s">
        <v>195</v>
      </c>
      <c r="M109" s="1149">
        <v>40597</v>
      </c>
      <c r="N109" s="1150" t="s">
        <v>193</v>
      </c>
      <c r="O109" s="1151">
        <v>40599</v>
      </c>
      <c r="P109" s="1152" t="s">
        <v>196</v>
      </c>
      <c r="R109" s="463"/>
      <c r="S109" s="463"/>
      <c r="T109" s="3517">
        <v>1</v>
      </c>
      <c r="U109" s="3518"/>
      <c r="V109" s="1052"/>
      <c r="W109" s="1052"/>
      <c r="X109" s="1052"/>
      <c r="Y109" s="1052"/>
      <c r="Z109" s="3517">
        <v>2</v>
      </c>
      <c r="AA109" s="3518"/>
      <c r="AB109" s="463"/>
      <c r="AC109" s="463"/>
    </row>
    <row r="110" spans="3:29" ht="18">
      <c r="C110" s="1134">
        <v>4</v>
      </c>
      <c r="D110" s="3526"/>
      <c r="E110" s="349">
        <v>1</v>
      </c>
      <c r="F110" s="1153" t="s">
        <v>737</v>
      </c>
      <c r="G110" s="1042" t="s">
        <v>732</v>
      </c>
      <c r="H110" s="1153" t="s">
        <v>178</v>
      </c>
      <c r="I110" s="981">
        <v>230211</v>
      </c>
      <c r="J110" s="1153" t="s">
        <v>179</v>
      </c>
      <c r="K110" s="1153" t="s">
        <v>129</v>
      </c>
      <c r="L110" s="1154" t="s">
        <v>197</v>
      </c>
      <c r="M110" s="944">
        <v>40600</v>
      </c>
      <c r="N110" s="1155" t="s">
        <v>134</v>
      </c>
      <c r="O110" s="1156">
        <v>40602</v>
      </c>
      <c r="P110" s="1157" t="s">
        <v>198</v>
      </c>
      <c r="R110" s="463"/>
      <c r="S110" s="463"/>
      <c r="T110" s="3519"/>
      <c r="U110" s="3520"/>
      <c r="V110" s="1053"/>
      <c r="W110" s="1054"/>
      <c r="X110" s="1054"/>
      <c r="Y110" s="1055"/>
      <c r="Z110" s="3519"/>
      <c r="AA110" s="3520"/>
      <c r="AB110" s="463"/>
      <c r="AC110" s="463"/>
    </row>
    <row r="111" spans="3:29" ht="18.75" thickBot="1">
      <c r="C111" s="1134">
        <v>5</v>
      </c>
      <c r="D111" s="3526"/>
      <c r="E111" s="1158">
        <v>2</v>
      </c>
      <c r="F111" s="1159" t="s">
        <v>737</v>
      </c>
      <c r="G111" s="1160" t="s">
        <v>732</v>
      </c>
      <c r="H111" s="1159" t="s">
        <v>178</v>
      </c>
      <c r="I111" s="1161">
        <v>240211</v>
      </c>
      <c r="J111" s="1159" t="s">
        <v>179</v>
      </c>
      <c r="K111" s="1159" t="s">
        <v>129</v>
      </c>
      <c r="L111" s="1162" t="s">
        <v>197</v>
      </c>
      <c r="M111" s="1163">
        <v>40600</v>
      </c>
      <c r="N111" s="1164" t="s">
        <v>134</v>
      </c>
      <c r="O111" s="1165">
        <v>40602</v>
      </c>
      <c r="P111" s="1166" t="s">
        <v>198</v>
      </c>
      <c r="R111" s="463"/>
      <c r="S111" s="463"/>
      <c r="T111" s="3521"/>
      <c r="U111" s="3522"/>
      <c r="V111" s="1056"/>
      <c r="W111" s="1056"/>
      <c r="X111" s="1056"/>
      <c r="Y111" s="1056"/>
      <c r="Z111" s="3521"/>
      <c r="AA111" s="3522"/>
      <c r="AB111" s="463"/>
      <c r="AC111" s="463"/>
    </row>
    <row r="112" spans="3:29" ht="18">
      <c r="C112" s="1134">
        <v>6</v>
      </c>
      <c r="D112" s="3526"/>
      <c r="E112" s="349">
        <v>1</v>
      </c>
      <c r="F112" s="1153" t="s">
        <v>737</v>
      </c>
      <c r="G112" s="1042" t="s">
        <v>732</v>
      </c>
      <c r="H112" s="1153" t="s">
        <v>178</v>
      </c>
      <c r="I112" s="981">
        <v>250211</v>
      </c>
      <c r="J112" s="1153" t="s">
        <v>179</v>
      </c>
      <c r="K112" s="1153" t="s">
        <v>129</v>
      </c>
      <c r="L112" s="1154" t="s">
        <v>197</v>
      </c>
      <c r="M112" s="944">
        <v>40600</v>
      </c>
      <c r="N112" s="1155" t="s">
        <v>159</v>
      </c>
      <c r="O112" s="1156">
        <v>40604</v>
      </c>
      <c r="P112" s="1157" t="s">
        <v>198</v>
      </c>
      <c r="R112" s="463"/>
      <c r="S112" s="463"/>
      <c r="T112" s="736"/>
      <c r="U112" s="736"/>
      <c r="V112" s="1058"/>
      <c r="W112" s="1056"/>
      <c r="X112" s="1056"/>
      <c r="Y112" s="1059"/>
      <c r="Z112" s="463"/>
      <c r="AA112" s="736"/>
      <c r="AB112" s="463"/>
      <c r="AC112" s="463"/>
    </row>
    <row r="113" spans="3:29" ht="18.75" thickBot="1">
      <c r="C113" s="1134">
        <v>7</v>
      </c>
      <c r="D113" s="3526"/>
      <c r="E113" s="1158">
        <v>2</v>
      </c>
      <c r="F113" s="1159" t="s">
        <v>737</v>
      </c>
      <c r="G113" s="1160" t="s">
        <v>732</v>
      </c>
      <c r="H113" s="1159" t="s">
        <v>178</v>
      </c>
      <c r="I113" s="1161">
        <v>260211</v>
      </c>
      <c r="J113" s="1159" t="s">
        <v>179</v>
      </c>
      <c r="K113" s="1159" t="s">
        <v>129</v>
      </c>
      <c r="L113" s="1162" t="s">
        <v>197</v>
      </c>
      <c r="M113" s="1163">
        <v>40600</v>
      </c>
      <c r="N113" s="1164" t="s">
        <v>159</v>
      </c>
      <c r="O113" s="1165">
        <v>40604</v>
      </c>
      <c r="P113" s="1166" t="s">
        <v>198</v>
      </c>
      <c r="R113" s="463"/>
      <c r="S113" s="463"/>
      <c r="T113" s="736"/>
      <c r="U113" s="736"/>
      <c r="V113" s="1058"/>
      <c r="W113" s="1056"/>
      <c r="X113" s="1056"/>
      <c r="Y113" s="1059"/>
      <c r="Z113" s="463"/>
      <c r="AA113" s="736"/>
      <c r="AB113" s="463"/>
      <c r="AC113" s="463"/>
    </row>
    <row r="114" spans="3:29" ht="18">
      <c r="C114" s="1134">
        <v>8</v>
      </c>
      <c r="D114" s="3526"/>
      <c r="E114" s="349">
        <v>3</v>
      </c>
      <c r="F114" s="1153" t="s">
        <v>737</v>
      </c>
      <c r="G114" s="1042" t="s">
        <v>732</v>
      </c>
      <c r="H114" s="1153" t="s">
        <v>182</v>
      </c>
      <c r="I114" s="981">
        <v>270211</v>
      </c>
      <c r="J114" s="1153" t="s">
        <v>183</v>
      </c>
      <c r="K114" s="1153" t="s">
        <v>129</v>
      </c>
      <c r="L114" s="1154" t="s">
        <v>197</v>
      </c>
      <c r="M114" s="944">
        <v>40600</v>
      </c>
      <c r="N114" s="1155" t="s">
        <v>148</v>
      </c>
      <c r="O114" s="1156">
        <v>40603</v>
      </c>
      <c r="P114" s="1157" t="s">
        <v>198</v>
      </c>
      <c r="R114" s="463"/>
      <c r="S114" s="463"/>
      <c r="T114" s="463"/>
      <c r="U114" s="463"/>
      <c r="V114" s="1060"/>
      <c r="W114" s="1056"/>
      <c r="X114" s="1056"/>
      <c r="Y114" s="1061"/>
      <c r="Z114" s="463"/>
      <c r="AA114" s="463"/>
      <c r="AB114" s="463"/>
      <c r="AC114" s="463"/>
    </row>
    <row r="115" spans="3:29" ht="18">
      <c r="C115" s="1134">
        <v>9</v>
      </c>
      <c r="D115" s="3526"/>
      <c r="E115" s="1167">
        <v>4</v>
      </c>
      <c r="F115" s="1168" t="s">
        <v>737</v>
      </c>
      <c r="G115" s="1169" t="s">
        <v>732</v>
      </c>
      <c r="H115" s="1168" t="s">
        <v>182</v>
      </c>
      <c r="I115" s="933">
        <v>280211</v>
      </c>
      <c r="J115" s="1168" t="s">
        <v>183</v>
      </c>
      <c r="K115" s="1168" t="s">
        <v>129</v>
      </c>
      <c r="L115" s="1170" t="s">
        <v>197</v>
      </c>
      <c r="M115" s="936">
        <v>40600</v>
      </c>
      <c r="N115" s="1171" t="s">
        <v>148</v>
      </c>
      <c r="O115" s="1172">
        <v>40603</v>
      </c>
      <c r="P115" s="1173" t="s">
        <v>198</v>
      </c>
      <c r="R115" s="3484">
        <v>3</v>
      </c>
      <c r="S115" s="3485"/>
      <c r="T115" s="1062"/>
      <c r="U115" s="3484">
        <v>4</v>
      </c>
      <c r="V115" s="3485"/>
      <c r="W115" s="1052"/>
      <c r="X115" s="1052"/>
      <c r="Y115" s="3484">
        <v>5</v>
      </c>
      <c r="Z115" s="3485"/>
      <c r="AA115" s="1062"/>
      <c r="AB115" s="3484">
        <v>6</v>
      </c>
      <c r="AC115" s="3485"/>
    </row>
    <row r="116" spans="3:29" ht="18">
      <c r="C116" s="1134">
        <v>10</v>
      </c>
      <c r="D116" s="3526"/>
      <c r="E116" s="1167">
        <v>5</v>
      </c>
      <c r="F116" s="1168" t="s">
        <v>737</v>
      </c>
      <c r="G116" s="1169" t="s">
        <v>732</v>
      </c>
      <c r="H116" s="1168" t="s">
        <v>182</v>
      </c>
      <c r="I116" s="933">
        <v>290211</v>
      </c>
      <c r="J116" s="1168" t="s">
        <v>183</v>
      </c>
      <c r="K116" s="1168" t="s">
        <v>129</v>
      </c>
      <c r="L116" s="1170" t="s">
        <v>197</v>
      </c>
      <c r="M116" s="936">
        <v>40600</v>
      </c>
      <c r="N116" s="1171" t="s">
        <v>148</v>
      </c>
      <c r="O116" s="1172">
        <v>40603</v>
      </c>
      <c r="P116" s="1173" t="s">
        <v>198</v>
      </c>
      <c r="R116" s="3486"/>
      <c r="S116" s="3487"/>
      <c r="T116" s="1075"/>
      <c r="U116" s="3486"/>
      <c r="V116" s="3487"/>
      <c r="W116" s="1076"/>
      <c r="X116" s="1077"/>
      <c r="Y116" s="3486"/>
      <c r="Z116" s="3487"/>
      <c r="AA116" s="1075"/>
      <c r="AB116" s="3486"/>
      <c r="AC116" s="3487"/>
    </row>
    <row r="117" spans="3:29" ht="18">
      <c r="C117" s="1134">
        <v>11</v>
      </c>
      <c r="D117" s="3526"/>
      <c r="E117" s="1167">
        <v>6</v>
      </c>
      <c r="F117" s="1168" t="s">
        <v>737</v>
      </c>
      <c r="G117" s="1169" t="s">
        <v>732</v>
      </c>
      <c r="H117" s="1168" t="s">
        <v>182</v>
      </c>
      <c r="I117" s="933">
        <v>300211</v>
      </c>
      <c r="J117" s="1168" t="s">
        <v>183</v>
      </c>
      <c r="K117" s="1168" t="s">
        <v>129</v>
      </c>
      <c r="L117" s="1170" t="s">
        <v>197</v>
      </c>
      <c r="M117" s="936">
        <v>40600</v>
      </c>
      <c r="N117" s="1171" t="s">
        <v>148</v>
      </c>
      <c r="O117" s="1172">
        <v>40603</v>
      </c>
      <c r="P117" s="1173" t="s">
        <v>198</v>
      </c>
      <c r="R117" s="3488"/>
      <c r="S117" s="3489"/>
      <c r="U117" s="3488"/>
      <c r="V117" s="3489"/>
      <c r="W117" s="1089"/>
      <c r="X117" s="1089"/>
      <c r="Y117" s="3488"/>
      <c r="Z117" s="3489"/>
      <c r="AB117" s="3488"/>
      <c r="AC117" s="3489"/>
    </row>
    <row r="118" spans="3:29" ht="18">
      <c r="C118" s="1134">
        <v>12</v>
      </c>
      <c r="D118" s="3526"/>
      <c r="E118" s="1167">
        <v>7</v>
      </c>
      <c r="F118" s="1168" t="s">
        <v>737</v>
      </c>
      <c r="G118" s="1169" t="s">
        <v>732</v>
      </c>
      <c r="H118" s="1168" t="s">
        <v>182</v>
      </c>
      <c r="I118" s="933">
        <v>310211</v>
      </c>
      <c r="J118" s="1168" t="s">
        <v>183</v>
      </c>
      <c r="K118" s="1168" t="s">
        <v>129</v>
      </c>
      <c r="L118" s="1170" t="s">
        <v>197</v>
      </c>
      <c r="M118" s="936">
        <v>40600</v>
      </c>
      <c r="N118" s="1171" t="s">
        <v>148</v>
      </c>
      <c r="O118" s="1172">
        <v>40603</v>
      </c>
      <c r="P118" s="1173" t="s">
        <v>198</v>
      </c>
      <c r="V118" s="1174"/>
      <c r="W118" s="1089"/>
      <c r="X118" s="1089"/>
      <c r="Y118" s="1089"/>
      <c r="Z118" s="1175"/>
    </row>
    <row r="119" spans="3:29" ht="18">
      <c r="C119" s="1134">
        <v>13</v>
      </c>
      <c r="D119" s="3526"/>
      <c r="E119" s="1167">
        <v>8</v>
      </c>
      <c r="F119" s="1168" t="s">
        <v>737</v>
      </c>
      <c r="G119" s="1169" t="s">
        <v>732</v>
      </c>
      <c r="H119" s="1168" t="s">
        <v>182</v>
      </c>
      <c r="I119" s="933">
        <v>320211</v>
      </c>
      <c r="J119" s="1168" t="s">
        <v>183</v>
      </c>
      <c r="K119" s="1168" t="s">
        <v>129</v>
      </c>
      <c r="L119" s="1170" t="s">
        <v>197</v>
      </c>
      <c r="M119" s="936">
        <v>40600</v>
      </c>
      <c r="N119" s="1171" t="s">
        <v>148</v>
      </c>
      <c r="O119" s="1172">
        <v>40603</v>
      </c>
      <c r="P119" s="1173" t="s">
        <v>198</v>
      </c>
      <c r="R119" s="3484">
        <v>7</v>
      </c>
      <c r="S119" s="3485"/>
      <c r="T119" s="437"/>
      <c r="U119" s="3484">
        <v>8</v>
      </c>
      <c r="V119" s="3485"/>
      <c r="W119" s="1093"/>
      <c r="X119" s="1093"/>
      <c r="Y119" s="3484">
        <v>9</v>
      </c>
      <c r="Z119" s="3485"/>
      <c r="AA119" s="437"/>
      <c r="AB119" s="3484">
        <v>10</v>
      </c>
      <c r="AC119" s="3485"/>
    </row>
    <row r="120" spans="3:29" ht="18">
      <c r="C120" s="1134">
        <v>14</v>
      </c>
      <c r="D120" s="3526"/>
      <c r="E120" s="1167">
        <v>9</v>
      </c>
      <c r="F120" s="1168" t="s">
        <v>737</v>
      </c>
      <c r="G120" s="1169" t="s">
        <v>732</v>
      </c>
      <c r="H120" s="1168" t="s">
        <v>182</v>
      </c>
      <c r="I120" s="933">
        <v>330211</v>
      </c>
      <c r="J120" s="1168" t="s">
        <v>183</v>
      </c>
      <c r="K120" s="1168" t="s">
        <v>129</v>
      </c>
      <c r="L120" s="1170" t="s">
        <v>197</v>
      </c>
      <c r="M120" s="936">
        <v>40600</v>
      </c>
      <c r="N120" s="1171" t="s">
        <v>148</v>
      </c>
      <c r="O120" s="1172">
        <v>40603</v>
      </c>
      <c r="P120" s="1173" t="s">
        <v>198</v>
      </c>
      <c r="R120" s="3486"/>
      <c r="S120" s="3487"/>
      <c r="T120" s="1176"/>
      <c r="U120" s="3486"/>
      <c r="V120" s="3487"/>
      <c r="W120" s="1176"/>
      <c r="X120" s="1176"/>
      <c r="Y120" s="3486"/>
      <c r="Z120" s="3487"/>
      <c r="AA120" s="1176"/>
      <c r="AB120" s="3486"/>
      <c r="AC120" s="3487"/>
    </row>
    <row r="121" spans="3:29" ht="18.75" thickBot="1">
      <c r="C121" s="1177">
        <v>15</v>
      </c>
      <c r="D121" s="3527"/>
      <c r="E121" s="1158">
        <v>10</v>
      </c>
      <c r="F121" s="1159" t="s">
        <v>737</v>
      </c>
      <c r="G121" s="1160" t="s">
        <v>732</v>
      </c>
      <c r="H121" s="1159" t="s">
        <v>182</v>
      </c>
      <c r="I121" s="1161">
        <v>340211</v>
      </c>
      <c r="J121" s="1159" t="s">
        <v>183</v>
      </c>
      <c r="K121" s="1159" t="s">
        <v>129</v>
      </c>
      <c r="L121" s="1162" t="s">
        <v>197</v>
      </c>
      <c r="M121" s="1163">
        <v>40600</v>
      </c>
      <c r="N121" s="1164" t="s">
        <v>148</v>
      </c>
      <c r="O121" s="1165">
        <v>40603</v>
      </c>
      <c r="P121" s="1166" t="s">
        <v>198</v>
      </c>
      <c r="R121" s="3488"/>
      <c r="S121" s="3489"/>
      <c r="U121" s="3488"/>
      <c r="V121" s="3489"/>
      <c r="W121" s="1089"/>
      <c r="X121" s="1089"/>
      <c r="Y121" s="3488"/>
      <c r="Z121" s="3489"/>
      <c r="AB121" s="3488"/>
      <c r="AC121" s="3489"/>
    </row>
    <row r="122" spans="3:29" ht="10.15" customHeight="1" thickBot="1">
      <c r="C122" s="1178"/>
      <c r="D122" s="962"/>
      <c r="E122" s="1179"/>
      <c r="F122" s="1180"/>
      <c r="G122" s="1181"/>
      <c r="H122" s="1180"/>
      <c r="I122" s="1182"/>
      <c r="J122" s="1180"/>
      <c r="K122" s="1180"/>
      <c r="L122" s="1183"/>
      <c r="M122" s="1184"/>
      <c r="N122" s="1185"/>
      <c r="O122" s="1186"/>
      <c r="P122" s="1187"/>
      <c r="V122" s="1188"/>
      <c r="W122" s="1093"/>
      <c r="X122" s="1093"/>
      <c r="Y122" s="1189"/>
    </row>
    <row r="123" spans="3:29" ht="18.75" thickBot="1">
      <c r="C123" s="1190">
        <v>16</v>
      </c>
      <c r="D123" s="3529" t="s">
        <v>199</v>
      </c>
      <c r="E123" s="1191">
        <v>3</v>
      </c>
      <c r="F123" s="1192" t="s">
        <v>733</v>
      </c>
      <c r="G123" s="1193" t="s">
        <v>732</v>
      </c>
      <c r="H123" s="1192" t="s">
        <v>189</v>
      </c>
      <c r="I123" s="920">
        <v>350411</v>
      </c>
      <c r="J123" s="1194" t="s">
        <v>183</v>
      </c>
      <c r="K123" s="1194" t="s">
        <v>733</v>
      </c>
      <c r="L123" s="1195" t="s">
        <v>200</v>
      </c>
      <c r="M123" s="924">
        <v>40640</v>
      </c>
      <c r="N123" s="1196" t="s">
        <v>201</v>
      </c>
      <c r="O123" s="1197">
        <v>40641</v>
      </c>
      <c r="P123" s="1198" t="s">
        <v>202</v>
      </c>
      <c r="V123" s="1094"/>
      <c r="W123" s="1095"/>
      <c r="X123" s="1095"/>
      <c r="Y123" s="1096"/>
    </row>
    <row r="124" spans="3:29" ht="18.75" thickTop="1">
      <c r="C124" s="1134">
        <v>17</v>
      </c>
      <c r="D124" s="3530"/>
      <c r="E124" s="1199">
        <v>4</v>
      </c>
      <c r="F124" s="1200" t="s">
        <v>733</v>
      </c>
      <c r="G124" s="1201" t="s">
        <v>732</v>
      </c>
      <c r="H124" s="1200" t="s">
        <v>189</v>
      </c>
      <c r="I124" s="933">
        <v>360411</v>
      </c>
      <c r="J124" s="1168" t="s">
        <v>183</v>
      </c>
      <c r="K124" s="1168" t="s">
        <v>733</v>
      </c>
      <c r="L124" s="1170" t="s">
        <v>200</v>
      </c>
      <c r="M124" s="936">
        <v>40640</v>
      </c>
      <c r="N124" s="1171" t="s">
        <v>201</v>
      </c>
      <c r="O124" s="1172">
        <v>40641</v>
      </c>
      <c r="P124" s="1173" t="s">
        <v>202</v>
      </c>
    </row>
    <row r="125" spans="3:29" ht="18">
      <c r="C125" s="1134">
        <v>18</v>
      </c>
      <c r="D125" s="3530"/>
      <c r="E125" s="1199">
        <v>5</v>
      </c>
      <c r="F125" s="1200" t="s">
        <v>733</v>
      </c>
      <c r="G125" s="1201" t="s">
        <v>732</v>
      </c>
      <c r="H125" s="1200" t="s">
        <v>189</v>
      </c>
      <c r="I125" s="933">
        <v>370411</v>
      </c>
      <c r="J125" s="1168" t="s">
        <v>183</v>
      </c>
      <c r="K125" s="1168" t="s">
        <v>733</v>
      </c>
      <c r="L125" s="1170" t="s">
        <v>200</v>
      </c>
      <c r="M125" s="936">
        <v>40640</v>
      </c>
      <c r="N125" s="1171" t="s">
        <v>201</v>
      </c>
      <c r="O125" s="1172">
        <v>40641</v>
      </c>
      <c r="P125" s="1173" t="s">
        <v>202</v>
      </c>
    </row>
    <row r="126" spans="3:29" ht="18">
      <c r="C126" s="1134">
        <v>19</v>
      </c>
      <c r="D126" s="3530"/>
      <c r="E126" s="1199">
        <v>6</v>
      </c>
      <c r="F126" s="1200" t="s">
        <v>733</v>
      </c>
      <c r="G126" s="1201" t="s">
        <v>732</v>
      </c>
      <c r="H126" s="1200" t="s">
        <v>189</v>
      </c>
      <c r="I126" s="933">
        <v>380411</v>
      </c>
      <c r="J126" s="1168" t="s">
        <v>183</v>
      </c>
      <c r="K126" s="1168" t="s">
        <v>733</v>
      </c>
      <c r="L126" s="1170" t="s">
        <v>200</v>
      </c>
      <c r="M126" s="936">
        <v>40640</v>
      </c>
      <c r="N126" s="1171" t="s">
        <v>201</v>
      </c>
      <c r="O126" s="1172">
        <v>40641</v>
      </c>
      <c r="P126" s="1173" t="s">
        <v>202</v>
      </c>
    </row>
    <row r="127" spans="3:29" ht="18.75" thickBot="1">
      <c r="C127" s="1134">
        <v>20</v>
      </c>
      <c r="D127" s="3530"/>
      <c r="E127" s="1199">
        <v>7</v>
      </c>
      <c r="F127" s="1200" t="s">
        <v>733</v>
      </c>
      <c r="G127" s="1201" t="s">
        <v>732</v>
      </c>
      <c r="H127" s="1200" t="s">
        <v>189</v>
      </c>
      <c r="I127" s="933">
        <v>390411</v>
      </c>
      <c r="J127" s="1168" t="s">
        <v>183</v>
      </c>
      <c r="K127" s="1168" t="s">
        <v>733</v>
      </c>
      <c r="L127" s="1170" t="s">
        <v>200</v>
      </c>
      <c r="M127" s="936">
        <v>40640</v>
      </c>
      <c r="N127" s="1171" t="s">
        <v>201</v>
      </c>
      <c r="O127" s="1172">
        <v>40641</v>
      </c>
      <c r="P127" s="1173" t="s">
        <v>202</v>
      </c>
      <c r="R127" s="463"/>
      <c r="S127" s="463"/>
      <c r="T127" s="463"/>
      <c r="U127" s="463"/>
      <c r="V127" s="463"/>
      <c r="W127" s="463"/>
      <c r="X127" s="463"/>
      <c r="Y127" s="463"/>
      <c r="Z127" s="463"/>
      <c r="AA127" s="463"/>
      <c r="AB127" s="463"/>
      <c r="AC127" s="463"/>
    </row>
    <row r="128" spans="3:29" ht="18.95" customHeight="1" thickTop="1">
      <c r="C128" s="1134">
        <v>21</v>
      </c>
      <c r="D128" s="3530"/>
      <c r="E128" s="1199">
        <v>8</v>
      </c>
      <c r="F128" s="1200" t="s">
        <v>733</v>
      </c>
      <c r="G128" s="1201" t="s">
        <v>732</v>
      </c>
      <c r="H128" s="1200" t="s">
        <v>189</v>
      </c>
      <c r="I128" s="933">
        <v>400411</v>
      </c>
      <c r="J128" s="1168" t="s">
        <v>183</v>
      </c>
      <c r="K128" s="1168" t="s">
        <v>733</v>
      </c>
      <c r="L128" s="1170" t="s">
        <v>200</v>
      </c>
      <c r="M128" s="936">
        <v>40640</v>
      </c>
      <c r="N128" s="1171" t="s">
        <v>201</v>
      </c>
      <c r="O128" s="1172">
        <v>40641</v>
      </c>
      <c r="P128" s="1173" t="s">
        <v>202</v>
      </c>
      <c r="R128" s="463"/>
      <c r="S128" s="463"/>
      <c r="T128" s="463"/>
      <c r="U128" s="463"/>
      <c r="V128" s="1049"/>
      <c r="W128" s="1050"/>
      <c r="X128" s="1050"/>
      <c r="Y128" s="1051"/>
      <c r="Z128" s="463"/>
      <c r="AA128" s="463"/>
      <c r="AB128" s="463"/>
      <c r="AC128" s="463"/>
    </row>
    <row r="129" spans="2:30" ht="18.95" customHeight="1">
      <c r="C129" s="1134">
        <v>22</v>
      </c>
      <c r="D129" s="3530"/>
      <c r="E129" s="1199">
        <v>9</v>
      </c>
      <c r="F129" s="1200" t="s">
        <v>733</v>
      </c>
      <c r="G129" s="1201" t="s">
        <v>732</v>
      </c>
      <c r="H129" s="1200" t="s">
        <v>189</v>
      </c>
      <c r="I129" s="933">
        <v>410411</v>
      </c>
      <c r="J129" s="1168" t="s">
        <v>183</v>
      </c>
      <c r="K129" s="1168" t="s">
        <v>733</v>
      </c>
      <c r="L129" s="1170" t="s">
        <v>200</v>
      </c>
      <c r="M129" s="936">
        <v>40640</v>
      </c>
      <c r="N129" s="1171" t="s">
        <v>201</v>
      </c>
      <c r="O129" s="1172">
        <v>40641</v>
      </c>
      <c r="P129" s="1173" t="s">
        <v>202</v>
      </c>
      <c r="R129" s="463"/>
      <c r="S129" s="463"/>
      <c r="T129" s="3484">
        <v>1</v>
      </c>
      <c r="U129" s="3485"/>
      <c r="V129" s="1052"/>
      <c r="W129" s="1052"/>
      <c r="X129" s="1052"/>
      <c r="Y129" s="1052"/>
      <c r="Z129" s="3484">
        <v>2</v>
      </c>
      <c r="AA129" s="3485"/>
      <c r="AB129" s="463"/>
      <c r="AC129" s="463"/>
    </row>
    <row r="130" spans="2:30" ht="18.95" customHeight="1" thickBot="1">
      <c r="C130" s="1134">
        <v>23</v>
      </c>
      <c r="D130" s="3530"/>
      <c r="E130" s="1202">
        <v>10</v>
      </c>
      <c r="F130" s="1203" t="s">
        <v>733</v>
      </c>
      <c r="G130" s="1204" t="s">
        <v>732</v>
      </c>
      <c r="H130" s="1203" t="s">
        <v>189</v>
      </c>
      <c r="I130" s="1161">
        <v>420411</v>
      </c>
      <c r="J130" s="1159" t="s">
        <v>183</v>
      </c>
      <c r="K130" s="1159" t="s">
        <v>733</v>
      </c>
      <c r="L130" s="1162" t="s">
        <v>200</v>
      </c>
      <c r="M130" s="1163">
        <v>40640</v>
      </c>
      <c r="N130" s="1164" t="s">
        <v>201</v>
      </c>
      <c r="O130" s="1165">
        <v>40641</v>
      </c>
      <c r="P130" s="1166" t="s">
        <v>202</v>
      </c>
      <c r="R130" s="463"/>
      <c r="S130" s="463"/>
      <c r="T130" s="3486"/>
      <c r="U130" s="3487"/>
      <c r="V130" s="1053"/>
      <c r="W130" s="1054"/>
      <c r="X130" s="1054"/>
      <c r="Y130" s="1055"/>
      <c r="Z130" s="3486"/>
      <c r="AA130" s="3487"/>
      <c r="AB130" s="463"/>
      <c r="AC130" s="463"/>
    </row>
    <row r="131" spans="2:30" ht="18.95" customHeight="1">
      <c r="C131" s="1134">
        <v>24</v>
      </c>
      <c r="D131" s="3530"/>
      <c r="E131" s="1205">
        <v>3</v>
      </c>
      <c r="F131" s="1168" t="s">
        <v>737</v>
      </c>
      <c r="G131" s="1169" t="s">
        <v>732</v>
      </c>
      <c r="H131" s="1168" t="s">
        <v>182</v>
      </c>
      <c r="I131" s="933">
        <v>430411</v>
      </c>
      <c r="J131" s="1168" t="s">
        <v>183</v>
      </c>
      <c r="K131" s="1168" t="s">
        <v>129</v>
      </c>
      <c r="L131" s="1170" t="s">
        <v>203</v>
      </c>
      <c r="M131" s="936">
        <v>40640</v>
      </c>
      <c r="N131" s="1171" t="s">
        <v>150</v>
      </c>
      <c r="O131" s="1172">
        <v>40658</v>
      </c>
      <c r="P131" s="1173" t="s">
        <v>198</v>
      </c>
      <c r="R131" s="463"/>
      <c r="S131" s="463"/>
      <c r="T131" s="3488"/>
      <c r="U131" s="3489"/>
      <c r="V131" s="1056"/>
      <c r="W131" s="1056"/>
      <c r="X131" s="1056"/>
      <c r="Y131" s="1056"/>
      <c r="Z131" s="3488"/>
      <c r="AA131" s="3489"/>
      <c r="AB131" s="463"/>
      <c r="AC131" s="463"/>
    </row>
    <row r="132" spans="2:30" ht="18.95" customHeight="1">
      <c r="C132" s="1134">
        <v>25</v>
      </c>
      <c r="D132" s="3530"/>
      <c r="E132" s="1205">
        <v>4</v>
      </c>
      <c r="F132" s="1168" t="s">
        <v>737</v>
      </c>
      <c r="G132" s="1169" t="s">
        <v>732</v>
      </c>
      <c r="H132" s="1168" t="s">
        <v>182</v>
      </c>
      <c r="I132" s="933">
        <v>440411</v>
      </c>
      <c r="J132" s="1168" t="s">
        <v>183</v>
      </c>
      <c r="K132" s="1168" t="s">
        <v>129</v>
      </c>
      <c r="L132" s="1170" t="s">
        <v>203</v>
      </c>
      <c r="M132" s="936">
        <v>40640</v>
      </c>
      <c r="N132" s="1171" t="s">
        <v>150</v>
      </c>
      <c r="O132" s="1172">
        <v>40658</v>
      </c>
      <c r="P132" s="1173" t="s">
        <v>198</v>
      </c>
      <c r="R132" s="463"/>
      <c r="S132" s="463"/>
      <c r="T132" s="736"/>
      <c r="U132" s="736"/>
      <c r="V132" s="1058"/>
      <c r="W132" s="1056"/>
      <c r="X132" s="1056"/>
      <c r="Y132" s="1059"/>
      <c r="Z132" s="463"/>
      <c r="AA132" s="736"/>
      <c r="AB132" s="463"/>
      <c r="AC132" s="463"/>
    </row>
    <row r="133" spans="2:30" ht="18.95" customHeight="1">
      <c r="C133" s="1134">
        <v>26</v>
      </c>
      <c r="D133" s="3530"/>
      <c r="E133" s="1205">
        <v>5</v>
      </c>
      <c r="F133" s="1168" t="s">
        <v>737</v>
      </c>
      <c r="G133" s="1169" t="s">
        <v>732</v>
      </c>
      <c r="H133" s="1168" t="s">
        <v>182</v>
      </c>
      <c r="I133" s="933">
        <v>450411</v>
      </c>
      <c r="J133" s="1168" t="s">
        <v>183</v>
      </c>
      <c r="K133" s="1168" t="s">
        <v>129</v>
      </c>
      <c r="L133" s="1170" t="s">
        <v>203</v>
      </c>
      <c r="M133" s="936">
        <v>40640</v>
      </c>
      <c r="N133" s="1171" t="s">
        <v>150</v>
      </c>
      <c r="O133" s="1172">
        <v>40658</v>
      </c>
      <c r="P133" s="1173" t="s">
        <v>198</v>
      </c>
      <c r="R133" s="463"/>
      <c r="S133" s="463"/>
      <c r="T133" s="736"/>
      <c r="U133" s="736"/>
      <c r="V133" s="1058"/>
      <c r="W133" s="1056"/>
      <c r="X133" s="1056"/>
      <c r="Y133" s="1059"/>
      <c r="Z133" s="463"/>
      <c r="AA133" s="736"/>
      <c r="AB133" s="463"/>
      <c r="AC133" s="463"/>
    </row>
    <row r="134" spans="2:30" ht="18.95" customHeight="1">
      <c r="C134" s="1134">
        <v>27</v>
      </c>
      <c r="D134" s="3530"/>
      <c r="E134" s="1205">
        <v>6</v>
      </c>
      <c r="F134" s="1168" t="s">
        <v>737</v>
      </c>
      <c r="G134" s="1169" t="s">
        <v>732</v>
      </c>
      <c r="H134" s="1168" t="s">
        <v>182</v>
      </c>
      <c r="I134" s="933">
        <v>460411</v>
      </c>
      <c r="J134" s="1168" t="s">
        <v>183</v>
      </c>
      <c r="K134" s="1168" t="s">
        <v>129</v>
      </c>
      <c r="L134" s="1170" t="s">
        <v>203</v>
      </c>
      <c r="M134" s="936">
        <v>40640</v>
      </c>
      <c r="N134" s="1171" t="s">
        <v>150</v>
      </c>
      <c r="O134" s="1172">
        <v>40658</v>
      </c>
      <c r="P134" s="1173" t="s">
        <v>198</v>
      </c>
      <c r="R134" s="463"/>
      <c r="S134" s="463"/>
      <c r="T134" s="463"/>
      <c r="U134" s="463"/>
      <c r="V134" s="1060"/>
      <c r="W134" s="1056"/>
      <c r="X134" s="1056"/>
      <c r="Y134" s="1061"/>
      <c r="Z134" s="463"/>
      <c r="AA134" s="463"/>
      <c r="AB134" s="463"/>
      <c r="AC134" s="463"/>
    </row>
    <row r="135" spans="2:30" ht="18.95" customHeight="1">
      <c r="C135" s="1134">
        <v>28</v>
      </c>
      <c r="D135" s="3530"/>
      <c r="E135" s="1205">
        <v>7</v>
      </c>
      <c r="F135" s="1168" t="s">
        <v>737</v>
      </c>
      <c r="G135" s="1169" t="s">
        <v>732</v>
      </c>
      <c r="H135" s="1168" t="s">
        <v>182</v>
      </c>
      <c r="I135" s="933">
        <v>470411</v>
      </c>
      <c r="J135" s="1168" t="s">
        <v>183</v>
      </c>
      <c r="K135" s="1168" t="s">
        <v>129</v>
      </c>
      <c r="L135" s="1170" t="s">
        <v>203</v>
      </c>
      <c r="M135" s="936">
        <v>40640</v>
      </c>
      <c r="N135" s="1171" t="s">
        <v>150</v>
      </c>
      <c r="O135" s="1172">
        <v>40658</v>
      </c>
      <c r="P135" s="1173" t="s">
        <v>198</v>
      </c>
      <c r="R135" s="3484">
        <v>3</v>
      </c>
      <c r="S135" s="3485"/>
      <c r="T135" s="1062"/>
      <c r="U135" s="3484">
        <v>4</v>
      </c>
      <c r="V135" s="3485"/>
      <c r="W135" s="1052"/>
      <c r="X135" s="1052"/>
      <c r="Y135" s="3484">
        <v>5</v>
      </c>
      <c r="Z135" s="3485"/>
      <c r="AA135" s="1062"/>
      <c r="AB135" s="3484">
        <v>6</v>
      </c>
      <c r="AC135" s="3485"/>
    </row>
    <row r="136" spans="2:30" ht="18.95" customHeight="1">
      <c r="C136" s="1134">
        <v>29</v>
      </c>
      <c r="D136" s="3530"/>
      <c r="E136" s="1205">
        <v>8</v>
      </c>
      <c r="F136" s="1168" t="s">
        <v>737</v>
      </c>
      <c r="G136" s="1169" t="s">
        <v>732</v>
      </c>
      <c r="H136" s="1168" t="s">
        <v>182</v>
      </c>
      <c r="I136" s="933">
        <v>480411</v>
      </c>
      <c r="J136" s="1168" t="s">
        <v>183</v>
      </c>
      <c r="K136" s="1168" t="s">
        <v>129</v>
      </c>
      <c r="L136" s="1170" t="s">
        <v>203</v>
      </c>
      <c r="M136" s="936">
        <v>40640</v>
      </c>
      <c r="N136" s="1171" t="s">
        <v>150</v>
      </c>
      <c r="O136" s="1172">
        <v>40658</v>
      </c>
      <c r="P136" s="1173" t="s">
        <v>198</v>
      </c>
      <c r="R136" s="3486"/>
      <c r="S136" s="3487"/>
      <c r="T136" s="1075"/>
      <c r="U136" s="3486"/>
      <c r="V136" s="3487"/>
      <c r="W136" s="1076"/>
      <c r="X136" s="1077"/>
      <c r="Y136" s="3486"/>
      <c r="Z136" s="3487"/>
      <c r="AA136" s="1075"/>
      <c r="AB136" s="3486"/>
      <c r="AC136" s="3487"/>
    </row>
    <row r="137" spans="2:30" ht="18.95" customHeight="1">
      <c r="C137" s="1134">
        <v>30</v>
      </c>
      <c r="D137" s="3530"/>
      <c r="E137" s="1205">
        <v>9</v>
      </c>
      <c r="F137" s="1168" t="s">
        <v>737</v>
      </c>
      <c r="G137" s="1169" t="s">
        <v>732</v>
      </c>
      <c r="H137" s="1168" t="s">
        <v>182</v>
      </c>
      <c r="I137" s="933">
        <v>490411</v>
      </c>
      <c r="J137" s="1168" t="s">
        <v>183</v>
      </c>
      <c r="K137" s="1168" t="s">
        <v>129</v>
      </c>
      <c r="L137" s="1170" t="s">
        <v>203</v>
      </c>
      <c r="M137" s="936">
        <v>40640</v>
      </c>
      <c r="N137" s="1171" t="s">
        <v>150</v>
      </c>
      <c r="O137" s="1172">
        <v>40658</v>
      </c>
      <c r="P137" s="1173" t="s">
        <v>198</v>
      </c>
      <c r="R137" s="3488"/>
      <c r="S137" s="3489"/>
      <c r="U137" s="3488"/>
      <c r="V137" s="3489"/>
      <c r="W137" s="1089"/>
      <c r="X137" s="1089"/>
      <c r="Y137" s="3488"/>
      <c r="Z137" s="3489"/>
      <c r="AB137" s="3488"/>
      <c r="AC137" s="3489"/>
    </row>
    <row r="138" spans="2:30" ht="18.95" customHeight="1" thickBot="1">
      <c r="C138" s="1206">
        <v>31</v>
      </c>
      <c r="D138" s="3531"/>
      <c r="E138" s="1207">
        <v>10</v>
      </c>
      <c r="F138" s="1159" t="s">
        <v>737</v>
      </c>
      <c r="G138" s="1160" t="s">
        <v>732</v>
      </c>
      <c r="H138" s="1159" t="s">
        <v>182</v>
      </c>
      <c r="I138" s="1161">
        <v>500411</v>
      </c>
      <c r="J138" s="1159" t="s">
        <v>183</v>
      </c>
      <c r="K138" s="1159" t="s">
        <v>129</v>
      </c>
      <c r="L138" s="1162" t="s">
        <v>203</v>
      </c>
      <c r="M138" s="1163">
        <v>40640</v>
      </c>
      <c r="N138" s="1164" t="s">
        <v>150</v>
      </c>
      <c r="O138" s="1165">
        <v>40658</v>
      </c>
      <c r="P138" s="1166" t="s">
        <v>198</v>
      </c>
      <c r="V138" s="1091"/>
      <c r="W138" s="1089"/>
      <c r="X138" s="1089"/>
      <c r="Y138" s="1089"/>
      <c r="Z138" s="1092"/>
    </row>
    <row r="139" spans="2:30" ht="10.15" customHeight="1">
      <c r="C139" s="1208"/>
      <c r="D139" s="1209"/>
      <c r="E139" s="1210"/>
      <c r="F139" s="1208"/>
      <c r="G139" s="1211"/>
      <c r="H139" s="1208"/>
      <c r="I139" s="1212"/>
      <c r="J139" s="1208"/>
      <c r="K139" s="1208"/>
      <c r="L139" s="1213"/>
      <c r="M139" s="1214"/>
      <c r="N139" s="1215"/>
      <c r="O139" s="1216"/>
      <c r="P139" s="1217"/>
      <c r="V139" s="1218"/>
      <c r="W139" s="1089"/>
      <c r="X139" s="1089"/>
      <c r="Y139" s="1089"/>
      <c r="Z139" s="1219"/>
    </row>
    <row r="140" spans="2:30" s="463" customFormat="1" ht="20.100000000000001" customHeight="1">
      <c r="B140" s="873">
        <v>1</v>
      </c>
      <c r="C140" s="1220">
        <v>32</v>
      </c>
      <c r="D140" s="3533" t="s">
        <v>204</v>
      </c>
      <c r="E140" s="1221">
        <v>1</v>
      </c>
      <c r="F140" s="1222" t="s">
        <v>825</v>
      </c>
      <c r="G140" s="1223" t="s">
        <v>723</v>
      </c>
      <c r="H140" s="1224" t="s">
        <v>205</v>
      </c>
      <c r="I140" s="1225" t="s">
        <v>206</v>
      </c>
      <c r="J140" s="1226" t="s">
        <v>179</v>
      </c>
      <c r="K140" s="1227" t="s">
        <v>733</v>
      </c>
      <c r="L140" s="1228" t="s">
        <v>207</v>
      </c>
      <c r="M140" s="1229">
        <v>40725</v>
      </c>
      <c r="N140" s="1230" t="s">
        <v>154</v>
      </c>
      <c r="O140" s="1231">
        <v>40725</v>
      </c>
      <c r="P140" s="1232" t="s">
        <v>208</v>
      </c>
      <c r="R140" s="3484">
        <v>7</v>
      </c>
      <c r="S140" s="3485"/>
      <c r="T140" s="437"/>
      <c r="U140" s="3484">
        <v>8</v>
      </c>
      <c r="V140" s="3485"/>
      <c r="W140" s="1093"/>
      <c r="X140" s="1093"/>
      <c r="Y140" s="3484">
        <v>9</v>
      </c>
      <c r="Z140" s="3485"/>
      <c r="AA140" s="437"/>
      <c r="AB140" s="3484">
        <v>10</v>
      </c>
      <c r="AC140" s="3485"/>
    </row>
    <row r="141" spans="2:30" s="463" customFormat="1" ht="20.100000000000001" customHeight="1">
      <c r="B141" s="4"/>
      <c r="C141" s="1233">
        <v>33</v>
      </c>
      <c r="D141" s="3534"/>
      <c r="E141" s="1234">
        <v>2</v>
      </c>
      <c r="F141" s="1235" t="s">
        <v>825</v>
      </c>
      <c r="G141" s="1236" t="s">
        <v>723</v>
      </c>
      <c r="H141" s="1237" t="s">
        <v>205</v>
      </c>
      <c r="I141" s="1225" t="s">
        <v>209</v>
      </c>
      <c r="J141" s="1226" t="s">
        <v>179</v>
      </c>
      <c r="K141" s="1227" t="s">
        <v>733</v>
      </c>
      <c r="L141" s="1228" t="s">
        <v>207</v>
      </c>
      <c r="M141" s="1229">
        <v>40725</v>
      </c>
      <c r="N141" s="1230" t="s">
        <v>154</v>
      </c>
      <c r="O141" s="1231">
        <v>40725</v>
      </c>
      <c r="P141" s="1232" t="s">
        <v>208</v>
      </c>
      <c r="R141" s="3486"/>
      <c r="S141" s="3487"/>
      <c r="T141" s="1075"/>
      <c r="U141" s="3486"/>
      <c r="V141" s="3487"/>
      <c r="W141" s="1076"/>
      <c r="X141" s="1077"/>
      <c r="Y141" s="3486"/>
      <c r="Z141" s="3487"/>
      <c r="AA141" s="1075"/>
      <c r="AB141" s="3486"/>
      <c r="AC141" s="3487"/>
    </row>
    <row r="142" spans="2:30" s="463" customFormat="1" ht="20.100000000000001" customHeight="1">
      <c r="B142" s="4"/>
      <c r="C142" s="1233">
        <v>34</v>
      </c>
      <c r="D142" s="3534"/>
      <c r="E142" s="1234">
        <v>3</v>
      </c>
      <c r="F142" s="1235" t="s">
        <v>825</v>
      </c>
      <c r="G142" s="1236" t="s">
        <v>723</v>
      </c>
      <c r="H142" s="1237" t="s">
        <v>210</v>
      </c>
      <c r="I142" s="1225" t="s">
        <v>211</v>
      </c>
      <c r="J142" s="1226" t="s">
        <v>183</v>
      </c>
      <c r="K142" s="1227" t="s">
        <v>733</v>
      </c>
      <c r="L142" s="1228" t="s">
        <v>207</v>
      </c>
      <c r="M142" s="1229">
        <v>40725</v>
      </c>
      <c r="N142" s="1230" t="s">
        <v>154</v>
      </c>
      <c r="O142" s="1231">
        <v>40725</v>
      </c>
      <c r="P142" s="1232" t="s">
        <v>208</v>
      </c>
      <c r="R142" s="3488"/>
      <c r="S142" s="3489"/>
      <c r="T142"/>
      <c r="U142" s="3488"/>
      <c r="V142" s="3489"/>
      <c r="W142" s="1089"/>
      <c r="X142" s="1089"/>
      <c r="Y142" s="3488"/>
      <c r="Z142" s="3489"/>
      <c r="AA142"/>
      <c r="AB142" s="3488"/>
      <c r="AC142" s="3489"/>
    </row>
    <row r="143" spans="2:30" s="463" customFormat="1" ht="20.100000000000001" customHeight="1" thickBot="1">
      <c r="B143" s="4"/>
      <c r="C143" s="1233">
        <v>35</v>
      </c>
      <c r="D143" s="3534"/>
      <c r="E143" s="1234">
        <v>4</v>
      </c>
      <c r="F143" s="1235" t="s">
        <v>825</v>
      </c>
      <c r="G143" s="1236" t="s">
        <v>723</v>
      </c>
      <c r="H143" s="1237" t="s">
        <v>210</v>
      </c>
      <c r="I143" s="1225" t="s">
        <v>212</v>
      </c>
      <c r="J143" s="1226" t="s">
        <v>183</v>
      </c>
      <c r="K143" s="1227" t="s">
        <v>733</v>
      </c>
      <c r="L143" s="1228" t="s">
        <v>207</v>
      </c>
      <c r="M143" s="1229">
        <v>40725</v>
      </c>
      <c r="N143" s="1230" t="s">
        <v>154</v>
      </c>
      <c r="O143" s="1231">
        <v>40725</v>
      </c>
      <c r="P143" s="1232" t="s">
        <v>208</v>
      </c>
      <c r="R143"/>
      <c r="S143"/>
      <c r="T143"/>
      <c r="U143"/>
      <c r="V143" s="1094"/>
      <c r="W143" s="1095"/>
      <c r="X143" s="1095"/>
      <c r="Y143" s="1096"/>
      <c r="Z143"/>
      <c r="AA143"/>
      <c r="AB143"/>
      <c r="AC143"/>
    </row>
    <row r="144" spans="2:30" ht="18" customHeight="1" thickTop="1">
      <c r="C144" s="1233">
        <v>36</v>
      </c>
      <c r="D144" s="3534"/>
      <c r="E144" s="1234">
        <v>5</v>
      </c>
      <c r="F144" s="1235" t="s">
        <v>825</v>
      </c>
      <c r="G144" s="1236" t="s">
        <v>723</v>
      </c>
      <c r="H144" s="1237" t="s">
        <v>210</v>
      </c>
      <c r="I144" s="1225" t="s">
        <v>213</v>
      </c>
      <c r="J144" s="1226" t="s">
        <v>183</v>
      </c>
      <c r="K144" s="1227" t="s">
        <v>733</v>
      </c>
      <c r="L144" s="1228" t="s">
        <v>207</v>
      </c>
      <c r="M144" s="1229">
        <v>40725</v>
      </c>
      <c r="N144" s="1230" t="s">
        <v>154</v>
      </c>
      <c r="O144" s="1231">
        <v>40725</v>
      </c>
      <c r="P144" s="1232" t="s">
        <v>208</v>
      </c>
      <c r="Q144" s="463"/>
      <c r="AD144" s="463"/>
    </row>
    <row r="145" spans="3:35" ht="15.75">
      <c r="C145" s="1233">
        <v>37</v>
      </c>
      <c r="D145" s="3534"/>
      <c r="E145" s="1234">
        <v>6</v>
      </c>
      <c r="F145" s="1235" t="s">
        <v>825</v>
      </c>
      <c r="G145" s="1236" t="s">
        <v>723</v>
      </c>
      <c r="H145" s="1237" t="s">
        <v>210</v>
      </c>
      <c r="I145" s="1225" t="s">
        <v>214</v>
      </c>
      <c r="J145" s="1226" t="s">
        <v>183</v>
      </c>
      <c r="K145" s="1227" t="s">
        <v>733</v>
      </c>
      <c r="L145" s="1228" t="s">
        <v>207</v>
      </c>
      <c r="M145" s="1229">
        <v>40725</v>
      </c>
      <c r="N145" s="1230" t="s">
        <v>154</v>
      </c>
      <c r="O145" s="1231">
        <v>40725</v>
      </c>
      <c r="P145" s="1232" t="s">
        <v>208</v>
      </c>
      <c r="Q145" s="463"/>
      <c r="AD145" s="463"/>
    </row>
    <row r="146" spans="3:35" ht="16.5" thickBot="1">
      <c r="C146" s="1233">
        <v>38</v>
      </c>
      <c r="D146" s="3534"/>
      <c r="E146" s="1234">
        <v>7</v>
      </c>
      <c r="F146" s="1235" t="s">
        <v>825</v>
      </c>
      <c r="G146" s="1236" t="s">
        <v>723</v>
      </c>
      <c r="H146" s="1237" t="s">
        <v>210</v>
      </c>
      <c r="I146" s="1225" t="s">
        <v>215</v>
      </c>
      <c r="J146" s="1226" t="s">
        <v>183</v>
      </c>
      <c r="K146" s="1227" t="s">
        <v>733</v>
      </c>
      <c r="L146" s="1228" t="s">
        <v>207</v>
      </c>
      <c r="M146" s="1229">
        <v>40725</v>
      </c>
      <c r="N146" s="1230" t="s">
        <v>154</v>
      </c>
      <c r="O146" s="1231">
        <v>40725</v>
      </c>
      <c r="P146" s="1232" t="s">
        <v>208</v>
      </c>
      <c r="Q146" s="463"/>
      <c r="R146" s="463"/>
      <c r="S146" s="463"/>
      <c r="T146" s="463"/>
      <c r="U146" s="463"/>
      <c r="V146" s="463"/>
      <c r="W146" s="463"/>
      <c r="X146" s="463"/>
      <c r="Y146" s="463"/>
      <c r="Z146" s="463"/>
      <c r="AA146" s="463"/>
      <c r="AB146" s="463"/>
      <c r="AC146" s="463"/>
    </row>
    <row r="147" spans="3:35" ht="16.5" thickTop="1">
      <c r="C147" s="1233">
        <v>39</v>
      </c>
      <c r="D147" s="3534"/>
      <c r="E147" s="1234">
        <v>8</v>
      </c>
      <c r="F147" s="1235" t="s">
        <v>825</v>
      </c>
      <c r="G147" s="1236" t="s">
        <v>723</v>
      </c>
      <c r="H147" s="1237" t="s">
        <v>210</v>
      </c>
      <c r="I147" s="1225" t="s">
        <v>216</v>
      </c>
      <c r="J147" s="1226" t="s">
        <v>183</v>
      </c>
      <c r="K147" s="1227" t="s">
        <v>733</v>
      </c>
      <c r="L147" s="1228" t="s">
        <v>207</v>
      </c>
      <c r="M147" s="1229">
        <v>40725</v>
      </c>
      <c r="N147" s="1230" t="s">
        <v>154</v>
      </c>
      <c r="O147" s="1231">
        <v>40725</v>
      </c>
      <c r="P147" s="1232" t="s">
        <v>208</v>
      </c>
      <c r="Q147" s="463"/>
      <c r="R147" s="463"/>
      <c r="S147" s="463"/>
      <c r="T147" s="463"/>
      <c r="U147" s="463"/>
      <c r="V147" s="1049"/>
      <c r="W147" s="1050"/>
      <c r="X147" s="1050"/>
      <c r="Y147" s="1051"/>
      <c r="Z147" s="463"/>
      <c r="AA147" s="463"/>
      <c r="AB147" s="463"/>
      <c r="AC147" s="463"/>
      <c r="AE147" s="1238" t="s">
        <v>217</v>
      </c>
    </row>
    <row r="148" spans="3:35" ht="15.75">
      <c r="C148" s="1233">
        <v>40</v>
      </c>
      <c r="D148" s="3534"/>
      <c r="E148" s="1234">
        <v>9</v>
      </c>
      <c r="F148" s="1235" t="s">
        <v>825</v>
      </c>
      <c r="G148" s="1236" t="s">
        <v>723</v>
      </c>
      <c r="H148" s="1237" t="s">
        <v>210</v>
      </c>
      <c r="I148" s="1225" t="s">
        <v>218</v>
      </c>
      <c r="J148" s="1226" t="s">
        <v>183</v>
      </c>
      <c r="K148" s="1227" t="s">
        <v>733</v>
      </c>
      <c r="L148" s="1228" t="s">
        <v>207</v>
      </c>
      <c r="M148" s="1229">
        <v>40725</v>
      </c>
      <c r="N148" s="1230" t="s">
        <v>154</v>
      </c>
      <c r="O148" s="1231">
        <v>40725</v>
      </c>
      <c r="P148" s="1232" t="s">
        <v>208</v>
      </c>
      <c r="R148" s="463"/>
      <c r="S148" s="463"/>
      <c r="T148" s="3484">
        <v>1</v>
      </c>
      <c r="U148" s="3485"/>
      <c r="V148" s="1052"/>
      <c r="W148" s="1052"/>
      <c r="X148" s="1052"/>
      <c r="Y148" s="1052"/>
      <c r="Z148" s="3484">
        <v>2</v>
      </c>
      <c r="AA148" s="3485"/>
      <c r="AB148" s="463"/>
      <c r="AC148" s="463"/>
    </row>
    <row r="149" spans="3:35" ht="15.75">
      <c r="C149" s="1233">
        <v>41</v>
      </c>
      <c r="D149" s="3534"/>
      <c r="E149" s="1234">
        <v>10</v>
      </c>
      <c r="F149" s="1235" t="s">
        <v>825</v>
      </c>
      <c r="G149" s="1236" t="s">
        <v>723</v>
      </c>
      <c r="H149" s="1237" t="s">
        <v>210</v>
      </c>
      <c r="I149" s="1225" t="s">
        <v>219</v>
      </c>
      <c r="J149" s="1226" t="s">
        <v>183</v>
      </c>
      <c r="K149" s="1227" t="s">
        <v>733</v>
      </c>
      <c r="L149" s="1228" t="s">
        <v>207</v>
      </c>
      <c r="M149" s="1229">
        <v>40725</v>
      </c>
      <c r="N149" s="1230" t="s">
        <v>154</v>
      </c>
      <c r="O149" s="1231">
        <v>40725</v>
      </c>
      <c r="P149" s="1232" t="s">
        <v>208</v>
      </c>
      <c r="R149" s="463"/>
      <c r="S149" s="463"/>
      <c r="T149" s="3486"/>
      <c r="U149" s="3487"/>
      <c r="V149" s="1053"/>
      <c r="W149" s="1054"/>
      <c r="X149" s="1054"/>
      <c r="Y149" s="1055"/>
      <c r="Z149" s="3486"/>
      <c r="AA149" s="3487"/>
      <c r="AB149" s="463"/>
      <c r="AC149" s="463"/>
      <c r="AE149" s="1239" t="s">
        <v>220</v>
      </c>
    </row>
    <row r="150" spans="3:35" ht="10.15" customHeight="1" thickBot="1">
      <c r="C150" s="4"/>
      <c r="D150" s="4"/>
      <c r="F150" s="4"/>
      <c r="G150" s="1240"/>
      <c r="H150" s="4"/>
      <c r="I150" s="1241"/>
      <c r="J150" s="4"/>
      <c r="K150" s="4"/>
      <c r="L150" s="18"/>
      <c r="M150" s="4"/>
      <c r="N150" s="18"/>
      <c r="O150" s="18"/>
      <c r="P150" s="463"/>
      <c r="R150" s="463"/>
      <c r="S150" s="463"/>
      <c r="T150" s="3488"/>
      <c r="U150" s="3489"/>
      <c r="V150" s="1056"/>
      <c r="W150" s="1056"/>
      <c r="X150" s="1056"/>
      <c r="Y150" s="1056"/>
      <c r="Z150" s="3488"/>
      <c r="AA150" s="3489"/>
      <c r="AB150" s="463"/>
      <c r="AC150" s="463"/>
    </row>
    <row r="151" spans="3:35" ht="18.95" customHeight="1">
      <c r="C151" s="1242">
        <v>42</v>
      </c>
      <c r="D151" s="3502" t="s">
        <v>221</v>
      </c>
      <c r="E151" s="1024">
        <v>1</v>
      </c>
      <c r="F151" s="919" t="s">
        <v>776</v>
      </c>
      <c r="G151" s="1243" t="s">
        <v>732</v>
      </c>
      <c r="H151" s="1244" t="s">
        <v>222</v>
      </c>
      <c r="I151" s="1245" t="s">
        <v>223</v>
      </c>
      <c r="J151" s="921" t="s">
        <v>179</v>
      </c>
      <c r="K151" s="1246" t="s">
        <v>224</v>
      </c>
      <c r="L151" s="923" t="s">
        <v>225</v>
      </c>
      <c r="M151" s="924">
        <v>40802</v>
      </c>
      <c r="N151" s="1247" t="s">
        <v>226</v>
      </c>
      <c r="O151" s="1248">
        <v>40805</v>
      </c>
      <c r="P151" s="1249" t="s">
        <v>250</v>
      </c>
      <c r="R151" s="463"/>
      <c r="S151" s="463"/>
      <c r="T151" s="736"/>
      <c r="U151" s="736"/>
      <c r="V151" s="1058"/>
      <c r="W151" s="1056"/>
      <c r="X151" s="1056"/>
      <c r="Y151" s="1059"/>
      <c r="Z151" s="463"/>
      <c r="AA151" s="736"/>
      <c r="AB151" s="463"/>
      <c r="AC151" s="463"/>
      <c r="AE151" s="1037">
        <v>1</v>
      </c>
      <c r="AF151" s="932" t="s">
        <v>825</v>
      </c>
      <c r="AG151" s="975" t="s">
        <v>205</v>
      </c>
      <c r="AH151" s="1250" t="s">
        <v>206</v>
      </c>
      <c r="AI151" s="124" t="s">
        <v>179</v>
      </c>
    </row>
    <row r="152" spans="3:35" ht="18.95" customHeight="1" thickBot="1">
      <c r="C152" s="1134">
        <v>43</v>
      </c>
      <c r="D152" s="3503"/>
      <c r="E152" s="1098">
        <v>2</v>
      </c>
      <c r="F152" s="1251" t="s">
        <v>776</v>
      </c>
      <c r="G152" s="1252" t="s">
        <v>732</v>
      </c>
      <c r="H152" s="1253" t="s">
        <v>222</v>
      </c>
      <c r="I152" s="1254" t="s">
        <v>227</v>
      </c>
      <c r="J152" s="907" t="s">
        <v>179</v>
      </c>
      <c r="K152" s="1255" t="s">
        <v>224</v>
      </c>
      <c r="L152" s="1256" t="s">
        <v>225</v>
      </c>
      <c r="M152" s="1163">
        <v>40802</v>
      </c>
      <c r="N152" s="1257" t="s">
        <v>226</v>
      </c>
      <c r="O152" s="1258">
        <v>40805</v>
      </c>
      <c r="P152" s="1259" t="s">
        <v>228</v>
      </c>
      <c r="R152" s="463"/>
      <c r="S152" s="463"/>
      <c r="T152" s="736"/>
      <c r="U152" s="736"/>
      <c r="V152" s="1058"/>
      <c r="W152" s="1056"/>
      <c r="X152" s="1056"/>
      <c r="Y152" s="1059"/>
      <c r="Z152" s="463"/>
      <c r="AA152" s="736"/>
      <c r="AB152" s="463"/>
      <c r="AC152" s="463"/>
      <c r="AE152" s="1037">
        <v>2</v>
      </c>
      <c r="AF152" s="932" t="s">
        <v>825</v>
      </c>
      <c r="AG152" s="975" t="s">
        <v>205</v>
      </c>
      <c r="AH152" s="1250" t="s">
        <v>209</v>
      </c>
      <c r="AI152" s="124" t="s">
        <v>179</v>
      </c>
    </row>
    <row r="153" spans="3:35" ht="18.95" customHeight="1">
      <c r="C153" s="1134">
        <v>44</v>
      </c>
      <c r="D153" s="3503"/>
      <c r="E153" s="1078">
        <v>3</v>
      </c>
      <c r="F153" s="941" t="s">
        <v>776</v>
      </c>
      <c r="G153" s="1260" t="s">
        <v>732</v>
      </c>
      <c r="H153" s="980" t="s">
        <v>222</v>
      </c>
      <c r="I153" s="1261" t="s">
        <v>229</v>
      </c>
      <c r="J153" s="79" t="s">
        <v>179</v>
      </c>
      <c r="K153" s="1262" t="s">
        <v>224</v>
      </c>
      <c r="L153" s="943" t="s">
        <v>225</v>
      </c>
      <c r="M153" s="944">
        <v>40802</v>
      </c>
      <c r="N153" s="1263" t="s">
        <v>193</v>
      </c>
      <c r="O153" s="983">
        <v>40854</v>
      </c>
      <c r="P153" s="947" t="s">
        <v>230</v>
      </c>
      <c r="R153" s="463"/>
      <c r="S153" s="463"/>
      <c r="T153" s="463"/>
      <c r="U153" s="463"/>
      <c r="V153" s="1060"/>
      <c r="W153" s="1056"/>
      <c r="X153" s="1056"/>
      <c r="Y153" s="1061"/>
      <c r="Z153" s="463"/>
      <c r="AA153" s="463"/>
      <c r="AB153" s="463"/>
      <c r="AC153" s="463"/>
      <c r="AE153" s="1037">
        <v>3</v>
      </c>
      <c r="AF153" s="932" t="s">
        <v>825</v>
      </c>
      <c r="AG153" s="975" t="s">
        <v>210</v>
      </c>
      <c r="AH153" s="1250" t="s">
        <v>211</v>
      </c>
      <c r="AI153" s="124" t="s">
        <v>183</v>
      </c>
    </row>
    <row r="154" spans="3:35" ht="18.95" customHeight="1" thickBot="1">
      <c r="C154" s="1134">
        <v>45</v>
      </c>
      <c r="D154" s="3503"/>
      <c r="E154" s="1098">
        <v>4</v>
      </c>
      <c r="F154" s="1251" t="s">
        <v>776</v>
      </c>
      <c r="G154" s="1252" t="s">
        <v>732</v>
      </c>
      <c r="H154" s="1253" t="s">
        <v>222</v>
      </c>
      <c r="I154" s="1254" t="s">
        <v>231</v>
      </c>
      <c r="J154" s="907" t="s">
        <v>179</v>
      </c>
      <c r="K154" s="1255" t="s">
        <v>224</v>
      </c>
      <c r="L154" s="1256" t="s">
        <v>225</v>
      </c>
      <c r="M154" s="1163">
        <v>40802</v>
      </c>
      <c r="N154" s="1257" t="s">
        <v>193</v>
      </c>
      <c r="O154" s="1258">
        <v>40854</v>
      </c>
      <c r="P154" s="1259" t="s">
        <v>230</v>
      </c>
      <c r="R154" s="3484">
        <v>3</v>
      </c>
      <c r="S154" s="3485"/>
      <c r="T154" s="1062"/>
      <c r="U154" s="3484">
        <v>4</v>
      </c>
      <c r="V154" s="3485"/>
      <c r="W154" s="1052"/>
      <c r="X154" s="1052"/>
      <c r="Y154" s="3484">
        <v>5</v>
      </c>
      <c r="Z154" s="3485"/>
      <c r="AA154" s="1062"/>
      <c r="AB154" s="3484">
        <v>6</v>
      </c>
      <c r="AC154" s="3485"/>
      <c r="AE154" s="1037">
        <v>4</v>
      </c>
      <c r="AF154" s="932" t="s">
        <v>825</v>
      </c>
      <c r="AG154" s="975" t="s">
        <v>210</v>
      </c>
      <c r="AH154" s="1250" t="s">
        <v>212</v>
      </c>
      <c r="AI154" s="124" t="s">
        <v>183</v>
      </c>
    </row>
    <row r="155" spans="3:35" ht="18.95" customHeight="1">
      <c r="C155" s="1134">
        <v>46</v>
      </c>
      <c r="D155" s="3503"/>
      <c r="E155" s="1078">
        <v>5</v>
      </c>
      <c r="F155" s="941" t="s">
        <v>776</v>
      </c>
      <c r="G155" s="1260" t="s">
        <v>732</v>
      </c>
      <c r="H155" s="980" t="s">
        <v>222</v>
      </c>
      <c r="I155" s="1261" t="s">
        <v>232</v>
      </c>
      <c r="J155" s="79" t="s">
        <v>179</v>
      </c>
      <c r="K155" s="1262" t="s">
        <v>224</v>
      </c>
      <c r="L155" s="943" t="s">
        <v>225</v>
      </c>
      <c r="M155" s="944">
        <v>40802</v>
      </c>
      <c r="N155" s="1263" t="s">
        <v>172</v>
      </c>
      <c r="O155" s="983">
        <v>40856</v>
      </c>
      <c r="P155" s="947" t="s">
        <v>230</v>
      </c>
      <c r="R155" s="3486"/>
      <c r="S155" s="3487"/>
      <c r="T155" s="1075"/>
      <c r="U155" s="3486"/>
      <c r="V155" s="3487"/>
      <c r="W155" s="1076"/>
      <c r="X155" s="1077"/>
      <c r="Y155" s="3486"/>
      <c r="Z155" s="3487"/>
      <c r="AA155" s="1075"/>
      <c r="AB155" s="3486"/>
      <c r="AC155" s="3487"/>
      <c r="AE155" s="1037">
        <v>5</v>
      </c>
      <c r="AF155" s="932" t="s">
        <v>825</v>
      </c>
      <c r="AG155" s="975" t="s">
        <v>210</v>
      </c>
      <c r="AH155" s="1250" t="s">
        <v>213</v>
      </c>
      <c r="AI155" s="124" t="s">
        <v>183</v>
      </c>
    </row>
    <row r="156" spans="3:35" ht="18.95" customHeight="1" thickBot="1">
      <c r="C156" s="1134">
        <v>47</v>
      </c>
      <c r="D156" s="3503"/>
      <c r="E156" s="1098">
        <v>6</v>
      </c>
      <c r="F156" s="1251" t="s">
        <v>776</v>
      </c>
      <c r="G156" s="1252" t="s">
        <v>732</v>
      </c>
      <c r="H156" s="1253" t="s">
        <v>222</v>
      </c>
      <c r="I156" s="1254" t="s">
        <v>233</v>
      </c>
      <c r="J156" s="907" t="s">
        <v>179</v>
      </c>
      <c r="K156" s="1255" t="s">
        <v>224</v>
      </c>
      <c r="L156" s="1256" t="s">
        <v>225</v>
      </c>
      <c r="M156" s="1163">
        <v>40802</v>
      </c>
      <c r="N156" s="1257" t="s">
        <v>172</v>
      </c>
      <c r="O156" s="1258">
        <v>40856</v>
      </c>
      <c r="P156" s="1259" t="s">
        <v>230</v>
      </c>
      <c r="R156" s="3488"/>
      <c r="S156" s="3489"/>
      <c r="U156" s="3488"/>
      <c r="V156" s="3489"/>
      <c r="W156" s="1089"/>
      <c r="X156" s="1089"/>
      <c r="Y156" s="3488"/>
      <c r="Z156" s="3489"/>
      <c r="AB156" s="3488"/>
      <c r="AC156" s="3489"/>
      <c r="AE156" s="1037">
        <v>6</v>
      </c>
      <c r="AF156" s="932" t="s">
        <v>825</v>
      </c>
      <c r="AG156" s="975" t="s">
        <v>210</v>
      </c>
      <c r="AH156" s="1250" t="s">
        <v>214</v>
      </c>
      <c r="AI156" s="124" t="s">
        <v>183</v>
      </c>
    </row>
    <row r="157" spans="3:35" ht="18.95" customHeight="1">
      <c r="C157" s="1134">
        <v>48</v>
      </c>
      <c r="D157" s="3503"/>
      <c r="E157" s="1078">
        <v>7</v>
      </c>
      <c r="F157" s="941" t="s">
        <v>776</v>
      </c>
      <c r="G157" s="1260" t="s">
        <v>732</v>
      </c>
      <c r="H157" s="980" t="s">
        <v>222</v>
      </c>
      <c r="I157" s="1261" t="s">
        <v>234</v>
      </c>
      <c r="J157" s="79" t="s">
        <v>179</v>
      </c>
      <c r="K157" s="1262" t="s">
        <v>224</v>
      </c>
      <c r="L157" s="943" t="s">
        <v>225</v>
      </c>
      <c r="M157" s="944">
        <v>40802</v>
      </c>
      <c r="N157" s="1263" t="s">
        <v>130</v>
      </c>
      <c r="O157" s="983">
        <v>40861</v>
      </c>
      <c r="P157" s="947" t="s">
        <v>230</v>
      </c>
      <c r="V157" s="1091"/>
      <c r="W157" s="1089"/>
      <c r="X157" s="1089"/>
      <c r="Y157" s="1089"/>
      <c r="Z157" s="1092"/>
      <c r="AE157" s="1037">
        <v>7</v>
      </c>
      <c r="AF157" s="932" t="s">
        <v>825</v>
      </c>
      <c r="AG157" s="975" t="s">
        <v>210</v>
      </c>
      <c r="AH157" s="1250" t="s">
        <v>215</v>
      </c>
      <c r="AI157" s="124" t="s">
        <v>183</v>
      </c>
    </row>
    <row r="158" spans="3:35" ht="18.95" customHeight="1" thickBot="1">
      <c r="C158" s="1177">
        <v>49</v>
      </c>
      <c r="D158" s="3504"/>
      <c r="E158" s="1098">
        <v>8</v>
      </c>
      <c r="F158" s="1251" t="s">
        <v>776</v>
      </c>
      <c r="G158" s="1252" t="s">
        <v>732</v>
      </c>
      <c r="H158" s="1253" t="s">
        <v>222</v>
      </c>
      <c r="I158" s="1254" t="s">
        <v>235</v>
      </c>
      <c r="J158" s="907" t="s">
        <v>179</v>
      </c>
      <c r="K158" s="1255" t="s">
        <v>224</v>
      </c>
      <c r="L158" s="1256" t="s">
        <v>225</v>
      </c>
      <c r="M158" s="1163">
        <v>40802</v>
      </c>
      <c r="N158" s="1257" t="s">
        <v>130</v>
      </c>
      <c r="O158" s="1258">
        <v>40861</v>
      </c>
      <c r="P158" s="1259" t="s">
        <v>230</v>
      </c>
      <c r="R158" s="3484">
        <v>7</v>
      </c>
      <c r="S158" s="3485"/>
      <c r="T158" s="437"/>
      <c r="U158" s="3484">
        <v>8</v>
      </c>
      <c r="V158" s="3485"/>
      <c r="W158" s="1093"/>
      <c r="X158" s="1093"/>
      <c r="Y158" s="3484">
        <v>9</v>
      </c>
      <c r="Z158" s="3485"/>
      <c r="AA158" s="437"/>
      <c r="AB158" s="3484">
        <v>10</v>
      </c>
      <c r="AC158" s="3485"/>
      <c r="AE158" s="1037">
        <v>8</v>
      </c>
      <c r="AF158" s="932" t="s">
        <v>825</v>
      </c>
      <c r="AG158" s="975" t="s">
        <v>210</v>
      </c>
      <c r="AH158" s="1250" t="s">
        <v>216</v>
      </c>
      <c r="AI158" s="124" t="s">
        <v>183</v>
      </c>
    </row>
    <row r="159" spans="3:35" ht="18.95" customHeight="1">
      <c r="R159" s="3486"/>
      <c r="S159" s="3487"/>
      <c r="T159" s="1075"/>
      <c r="U159" s="3486"/>
      <c r="V159" s="3487"/>
      <c r="W159" s="1076"/>
      <c r="X159" s="1077"/>
      <c r="Y159" s="3486"/>
      <c r="Z159" s="3487"/>
      <c r="AA159" s="1075"/>
      <c r="AB159" s="3486"/>
      <c r="AC159" s="3487"/>
      <c r="AE159" s="1037">
        <v>9</v>
      </c>
      <c r="AF159" s="932" t="s">
        <v>825</v>
      </c>
      <c r="AG159" s="975" t="s">
        <v>210</v>
      </c>
      <c r="AH159" s="1250" t="s">
        <v>218</v>
      </c>
      <c r="AI159" s="124" t="s">
        <v>183</v>
      </c>
    </row>
    <row r="160" spans="3:35" ht="18.95" customHeight="1">
      <c r="R160" s="3488"/>
      <c r="S160" s="3489"/>
      <c r="U160" s="3488"/>
      <c r="V160" s="3489"/>
      <c r="W160" s="1089"/>
      <c r="X160" s="1089"/>
      <c r="Y160" s="3488"/>
      <c r="Z160" s="3489"/>
      <c r="AB160" s="3488"/>
      <c r="AC160" s="3489"/>
      <c r="AE160" s="1037">
        <v>10</v>
      </c>
      <c r="AF160" s="932" t="s">
        <v>825</v>
      </c>
      <c r="AG160" s="975" t="s">
        <v>210</v>
      </c>
      <c r="AH160" s="1250" t="s">
        <v>219</v>
      </c>
      <c r="AI160" s="124" t="s">
        <v>183</v>
      </c>
    </row>
    <row r="161" spans="18:29" ht="18.95" customHeight="1" thickBot="1">
      <c r="V161" s="1094"/>
      <c r="W161" s="1095"/>
      <c r="X161" s="1095"/>
      <c r="Y161" s="1096"/>
    </row>
    <row r="162" spans="18:29" ht="18.95" customHeight="1" thickTop="1"/>
    <row r="163" spans="18:29" ht="18.95" customHeight="1"/>
    <row r="164" spans="18:29" ht="18.95" customHeight="1" thickBot="1">
      <c r="R164" s="463"/>
      <c r="S164" s="463"/>
      <c r="T164" s="463"/>
      <c r="U164" s="463"/>
      <c r="V164" s="463"/>
      <c r="W164" s="463"/>
      <c r="X164" s="463"/>
      <c r="Y164" s="463"/>
      <c r="Z164" s="463"/>
      <c r="AA164" s="463"/>
      <c r="AB164" s="463"/>
      <c r="AC164" s="463"/>
    </row>
    <row r="165" spans="18:29" ht="18.95" customHeight="1" thickTop="1">
      <c r="R165" s="463"/>
      <c r="S165" s="463"/>
      <c r="T165" s="463"/>
      <c r="U165" s="463"/>
      <c r="V165" s="1049"/>
      <c r="W165" s="1050"/>
      <c r="X165" s="1050"/>
      <c r="Y165" s="1051"/>
      <c r="Z165" s="463"/>
      <c r="AA165" s="463"/>
      <c r="AB165" s="463"/>
      <c r="AC165" s="463"/>
    </row>
    <row r="166" spans="18:29" ht="18.95" customHeight="1">
      <c r="R166" s="463"/>
      <c r="S166" s="463"/>
      <c r="T166" s="3484">
        <v>1</v>
      </c>
      <c r="U166" s="3485"/>
      <c r="V166" s="1052"/>
      <c r="W166" s="1052"/>
      <c r="X166" s="1052"/>
      <c r="Y166" s="1052"/>
      <c r="Z166" s="3484">
        <v>2</v>
      </c>
      <c r="AA166" s="3485"/>
      <c r="AB166" s="463"/>
      <c r="AC166" s="463"/>
    </row>
    <row r="167" spans="18:29" ht="18.95" customHeight="1">
      <c r="R167" s="463"/>
      <c r="S167" s="463"/>
      <c r="T167" s="3486"/>
      <c r="U167" s="3487"/>
      <c r="V167" s="1053"/>
      <c r="W167" s="1054"/>
      <c r="X167" s="1054"/>
      <c r="Y167" s="1055"/>
      <c r="Z167" s="3486"/>
      <c r="AA167" s="3487"/>
      <c r="AB167" s="463"/>
      <c r="AC167" s="463"/>
    </row>
    <row r="168" spans="18:29" ht="18.95" customHeight="1">
      <c r="R168" s="463"/>
      <c r="S168" s="463"/>
      <c r="T168" s="3488"/>
      <c r="U168" s="3489"/>
      <c r="V168" s="1056"/>
      <c r="W168" s="1056"/>
      <c r="X168" s="1056"/>
      <c r="Y168" s="1056"/>
      <c r="Z168" s="3488"/>
      <c r="AA168" s="3489"/>
      <c r="AB168" s="463"/>
      <c r="AC168" s="463"/>
    </row>
    <row r="169" spans="18:29" ht="18.95" customHeight="1">
      <c r="R169" s="463"/>
      <c r="S169" s="463"/>
      <c r="T169" s="736"/>
      <c r="U169" s="736"/>
      <c r="V169" s="1058"/>
      <c r="W169" s="1056"/>
      <c r="X169" s="1056"/>
      <c r="Y169" s="1059"/>
      <c r="Z169" s="463"/>
      <c r="AA169" s="736"/>
      <c r="AB169" s="463"/>
      <c r="AC169" s="463"/>
    </row>
    <row r="170" spans="18:29" ht="18.95" customHeight="1">
      <c r="R170" s="463"/>
      <c r="S170" s="463"/>
      <c r="T170" s="736"/>
      <c r="U170" s="736"/>
      <c r="V170" s="1058"/>
      <c r="W170" s="1056"/>
      <c r="X170" s="1056"/>
      <c r="Y170" s="1059"/>
      <c r="Z170" s="463"/>
      <c r="AA170" s="736"/>
      <c r="AB170" s="463"/>
      <c r="AC170" s="463"/>
    </row>
    <row r="171" spans="18:29" ht="18.95" customHeight="1">
      <c r="R171" s="463"/>
      <c r="S171" s="463"/>
      <c r="T171" s="463"/>
      <c r="U171" s="463"/>
      <c r="V171" s="1060"/>
      <c r="W171" s="1056"/>
      <c r="X171" s="1056"/>
      <c r="Y171" s="1061"/>
      <c r="Z171" s="463"/>
      <c r="AA171" s="463"/>
      <c r="AB171" s="463"/>
      <c r="AC171" s="463"/>
    </row>
    <row r="172" spans="18:29" ht="18.95" customHeight="1">
      <c r="R172" s="3484">
        <v>3</v>
      </c>
      <c r="S172" s="3485"/>
      <c r="T172" s="1062"/>
      <c r="U172" s="3484">
        <v>4</v>
      </c>
      <c r="V172" s="3485"/>
      <c r="W172" s="1052"/>
      <c r="X172" s="1052"/>
      <c r="Y172" s="3484">
        <v>5</v>
      </c>
      <c r="Z172" s="3485"/>
      <c r="AA172" s="1062"/>
      <c r="AB172" s="3484">
        <v>6</v>
      </c>
      <c r="AC172" s="3485"/>
    </row>
    <row r="173" spans="18:29" ht="18.95" customHeight="1">
      <c r="R173" s="3486"/>
      <c r="S173" s="3487"/>
      <c r="T173" s="1075"/>
      <c r="U173" s="3486"/>
      <c r="V173" s="3487"/>
      <c r="W173" s="1076"/>
      <c r="X173" s="1077"/>
      <c r="Y173" s="3486"/>
      <c r="Z173" s="3487"/>
      <c r="AA173" s="1075"/>
      <c r="AB173" s="3486"/>
      <c r="AC173" s="3487"/>
    </row>
    <row r="174" spans="18:29" ht="18.95" customHeight="1">
      <c r="R174" s="3488"/>
      <c r="S174" s="3489"/>
      <c r="U174" s="3488"/>
      <c r="V174" s="3489"/>
      <c r="W174" s="1089"/>
      <c r="X174" s="1089"/>
      <c r="Y174" s="3488"/>
      <c r="Z174" s="3489"/>
      <c r="AB174" s="3488"/>
      <c r="AC174" s="3489"/>
    </row>
    <row r="175" spans="18:29" ht="18.95" customHeight="1">
      <c r="V175" s="1091"/>
      <c r="W175" s="1089"/>
      <c r="X175" s="1089"/>
      <c r="Y175" s="1089"/>
      <c r="Z175" s="1092"/>
    </row>
    <row r="176" spans="18:29" ht="18.95" customHeight="1">
      <c r="R176" s="3484">
        <v>7</v>
      </c>
      <c r="S176" s="3485"/>
      <c r="T176" s="437"/>
      <c r="U176" s="3484">
        <v>8</v>
      </c>
      <c r="V176" s="3485"/>
      <c r="W176" s="1093"/>
      <c r="X176" s="1093"/>
      <c r="Y176" s="3484">
        <v>9</v>
      </c>
      <c r="Z176" s="3485"/>
      <c r="AA176" s="437"/>
      <c r="AB176" s="3484">
        <v>10</v>
      </c>
      <c r="AC176" s="3485"/>
    </row>
    <row r="177" spans="18:29" ht="18.95" customHeight="1">
      <c r="R177" s="3486"/>
      <c r="S177" s="3487"/>
      <c r="T177" s="1075"/>
      <c r="U177" s="3486"/>
      <c r="V177" s="3487"/>
      <c r="W177" s="1076"/>
      <c r="X177" s="1077"/>
      <c r="Y177" s="3486"/>
      <c r="Z177" s="3487"/>
      <c r="AA177" s="1075"/>
      <c r="AB177" s="3486"/>
      <c r="AC177" s="3487"/>
    </row>
    <row r="178" spans="18:29" ht="18.95" customHeight="1">
      <c r="R178" s="3488"/>
      <c r="S178" s="3489"/>
      <c r="U178" s="3488"/>
      <c r="V178" s="3489"/>
      <c r="W178" s="1089"/>
      <c r="X178" s="1089"/>
      <c r="Y178" s="3488"/>
      <c r="Z178" s="3489"/>
      <c r="AB178" s="3488"/>
      <c r="AC178" s="3489"/>
    </row>
    <row r="179" spans="18:29" ht="18.95" customHeight="1" thickBot="1">
      <c r="V179" s="1094"/>
      <c r="W179" s="1095"/>
      <c r="X179" s="1095"/>
      <c r="Y179" s="1096"/>
    </row>
    <row r="180" spans="18:29" ht="18.95" customHeight="1" thickTop="1"/>
    <row r="181" spans="18:29" ht="18.95" customHeight="1"/>
    <row r="182" spans="18:29" ht="18.95" customHeight="1" thickBot="1">
      <c r="R182" s="463"/>
      <c r="S182" s="463"/>
      <c r="T182" s="463"/>
      <c r="U182" s="463"/>
      <c r="V182" s="463"/>
      <c r="W182" s="463"/>
      <c r="X182" s="463"/>
      <c r="Y182" s="463"/>
      <c r="Z182" s="463"/>
      <c r="AA182" s="463"/>
      <c r="AB182" s="463"/>
      <c r="AC182" s="463"/>
    </row>
    <row r="183" spans="18:29" ht="18.95" customHeight="1" thickTop="1">
      <c r="R183" s="463"/>
      <c r="S183" s="463"/>
      <c r="T183" s="463"/>
      <c r="U183" s="463"/>
      <c r="V183" s="1049"/>
      <c r="W183" s="1050"/>
      <c r="X183" s="1050"/>
      <c r="Y183" s="1051"/>
      <c r="Z183" s="463"/>
      <c r="AA183" s="463"/>
      <c r="AB183" s="463"/>
      <c r="AC183" s="463"/>
    </row>
    <row r="184" spans="18:29" ht="18.95" customHeight="1">
      <c r="R184" s="463"/>
      <c r="S184" s="463"/>
      <c r="T184" s="3484">
        <v>1</v>
      </c>
      <c r="U184" s="3485"/>
      <c r="V184" s="1052"/>
      <c r="W184" s="1052"/>
      <c r="X184" s="1052"/>
      <c r="Y184" s="1052"/>
      <c r="Z184" s="3484">
        <v>2</v>
      </c>
      <c r="AA184" s="3485"/>
      <c r="AB184" s="463"/>
      <c r="AC184" s="463"/>
    </row>
    <row r="185" spans="18:29" ht="18.95" customHeight="1">
      <c r="R185" s="463"/>
      <c r="S185" s="463"/>
      <c r="T185" s="3486"/>
      <c r="U185" s="3487"/>
      <c r="V185" s="1053"/>
      <c r="W185" s="1054"/>
      <c r="X185" s="1054"/>
      <c r="Y185" s="1055"/>
      <c r="Z185" s="3486"/>
      <c r="AA185" s="3487"/>
      <c r="AB185" s="463"/>
      <c r="AC185" s="463"/>
    </row>
    <row r="186" spans="18:29" ht="18.95" customHeight="1">
      <c r="R186" s="463"/>
      <c r="S186" s="463"/>
      <c r="T186" s="3488"/>
      <c r="U186" s="3489"/>
      <c r="V186" s="1056"/>
      <c r="W186" s="1056"/>
      <c r="X186" s="1056"/>
      <c r="Y186" s="1056"/>
      <c r="Z186" s="3488"/>
      <c r="AA186" s="3489"/>
      <c r="AB186" s="463"/>
      <c r="AC186" s="463"/>
    </row>
    <row r="187" spans="18:29" ht="18.95" customHeight="1">
      <c r="R187" s="463"/>
      <c r="S187" s="463"/>
      <c r="T187" s="736"/>
      <c r="U187" s="736"/>
      <c r="V187" s="1058"/>
      <c r="W187" s="1056"/>
      <c r="X187" s="1056"/>
      <c r="Y187" s="1059"/>
      <c r="Z187" s="463"/>
      <c r="AA187" s="736"/>
      <c r="AB187" s="463"/>
      <c r="AC187" s="463"/>
    </row>
    <row r="188" spans="18:29" ht="18.95" customHeight="1">
      <c r="R188" s="463"/>
      <c r="S188" s="463"/>
      <c r="T188" s="736"/>
      <c r="U188" s="736"/>
      <c r="V188" s="1058"/>
      <c r="W188" s="1056"/>
      <c r="X188" s="1056"/>
      <c r="Y188" s="1059"/>
      <c r="Z188" s="463"/>
      <c r="AA188" s="736"/>
      <c r="AB188" s="463"/>
      <c r="AC188" s="463"/>
    </row>
    <row r="189" spans="18:29" ht="18.95" customHeight="1">
      <c r="R189" s="463"/>
      <c r="S189" s="463"/>
      <c r="T189" s="463"/>
      <c r="U189" s="463"/>
      <c r="V189" s="1060"/>
      <c r="W189" s="1056"/>
      <c r="X189" s="1056"/>
      <c r="Y189" s="1061"/>
      <c r="Z189" s="463"/>
      <c r="AA189" s="463"/>
      <c r="AB189" s="463"/>
      <c r="AC189" s="463"/>
    </row>
    <row r="190" spans="18:29" ht="18.95" customHeight="1">
      <c r="R190" s="3484">
        <v>3</v>
      </c>
      <c r="S190" s="3485"/>
      <c r="T190" s="1062"/>
      <c r="U190" s="3484">
        <v>4</v>
      </c>
      <c r="V190" s="3485"/>
      <c r="W190" s="1052"/>
      <c r="X190" s="1052"/>
      <c r="Y190" s="3484">
        <v>5</v>
      </c>
      <c r="Z190" s="3485"/>
      <c r="AA190" s="1062"/>
      <c r="AB190" s="3484">
        <v>6</v>
      </c>
      <c r="AC190" s="3485"/>
    </row>
    <row r="191" spans="18:29" ht="18.95" customHeight="1">
      <c r="R191" s="3486"/>
      <c r="S191" s="3487"/>
      <c r="T191" s="1075"/>
      <c r="U191" s="3486"/>
      <c r="V191" s="3487"/>
      <c r="W191" s="1076"/>
      <c r="X191" s="1077"/>
      <c r="Y191" s="3486"/>
      <c r="Z191" s="3487"/>
      <c r="AA191" s="1075"/>
      <c r="AB191" s="3486"/>
      <c r="AC191" s="3487"/>
    </row>
    <row r="192" spans="18:29" ht="18.95" customHeight="1">
      <c r="R192" s="3488"/>
      <c r="S192" s="3489"/>
      <c r="U192" s="3488"/>
      <c r="V192" s="3489"/>
      <c r="W192" s="1089"/>
      <c r="X192" s="1089"/>
      <c r="Y192" s="3488"/>
      <c r="Z192" s="3489"/>
      <c r="AB192" s="3488"/>
      <c r="AC192" s="3489"/>
    </row>
    <row r="193" spans="18:29" ht="18.95" customHeight="1">
      <c r="V193" s="1091"/>
      <c r="W193" s="1089"/>
      <c r="X193" s="1089"/>
      <c r="Y193" s="1089"/>
      <c r="Z193" s="1092"/>
    </row>
    <row r="194" spans="18:29" ht="18.95" customHeight="1">
      <c r="R194" s="3484">
        <v>7</v>
      </c>
      <c r="S194" s="3485"/>
      <c r="T194" s="437"/>
      <c r="U194" s="3484">
        <v>8</v>
      </c>
      <c r="V194" s="3485"/>
      <c r="W194" s="1093"/>
      <c r="X194" s="1093"/>
      <c r="Y194" s="3484">
        <v>9</v>
      </c>
      <c r="Z194" s="3485"/>
      <c r="AA194" s="437"/>
      <c r="AB194" s="3484">
        <v>10</v>
      </c>
      <c r="AC194" s="3485"/>
    </row>
    <row r="195" spans="18:29" ht="18.95" customHeight="1">
      <c r="R195" s="3486"/>
      <c r="S195" s="3487"/>
      <c r="T195" s="1075"/>
      <c r="U195" s="3486"/>
      <c r="V195" s="3487"/>
      <c r="W195" s="1076"/>
      <c r="X195" s="1077"/>
      <c r="Y195" s="3486"/>
      <c r="Z195" s="3487"/>
      <c r="AA195" s="1075"/>
      <c r="AB195" s="3486"/>
      <c r="AC195" s="3487"/>
    </row>
    <row r="196" spans="18:29" ht="18.95" customHeight="1">
      <c r="R196" s="3488"/>
      <c r="S196" s="3489"/>
      <c r="U196" s="3488"/>
      <c r="V196" s="3489"/>
      <c r="W196" s="1089"/>
      <c r="X196" s="1089"/>
      <c r="Y196" s="3488"/>
      <c r="Z196" s="3489"/>
      <c r="AB196" s="3488"/>
      <c r="AC196" s="3489"/>
    </row>
    <row r="197" spans="18:29" ht="18.95" customHeight="1" thickBot="1">
      <c r="V197" s="1094"/>
      <c r="W197" s="1095"/>
      <c r="X197" s="1095"/>
      <c r="Y197" s="1096"/>
    </row>
    <row r="198" spans="18:29" ht="18.95" customHeight="1" thickTop="1"/>
    <row r="199" spans="18:29" ht="18.95" customHeight="1"/>
    <row r="200" spans="18:29" ht="18.95" customHeight="1" thickBot="1">
      <c r="R200" s="463"/>
      <c r="S200" s="463"/>
      <c r="T200" s="463"/>
      <c r="U200" s="463"/>
      <c r="V200" s="463"/>
      <c r="W200" s="463"/>
      <c r="X200" s="463"/>
      <c r="Y200" s="463"/>
      <c r="Z200" s="463"/>
      <c r="AA200" s="463"/>
      <c r="AB200" s="463"/>
      <c r="AC200" s="463"/>
    </row>
    <row r="201" spans="18:29" ht="18.95" customHeight="1" thickTop="1">
      <c r="R201" s="463"/>
      <c r="S201" s="463"/>
      <c r="T201" s="463"/>
      <c r="U201" s="463"/>
      <c r="V201" s="1049"/>
      <c r="W201" s="1050"/>
      <c r="X201" s="1050"/>
      <c r="Y201" s="1051"/>
      <c r="Z201" s="463"/>
      <c r="AA201" s="463"/>
      <c r="AB201" s="463"/>
      <c r="AC201" s="463"/>
    </row>
    <row r="202" spans="18:29" ht="18.95" customHeight="1">
      <c r="R202" s="463"/>
      <c r="S202" s="463"/>
      <c r="T202" s="3484">
        <v>1</v>
      </c>
      <c r="U202" s="3485"/>
      <c r="V202" s="1052"/>
      <c r="W202" s="1052"/>
      <c r="X202" s="1052"/>
      <c r="Y202" s="1052"/>
      <c r="Z202" s="3484">
        <v>2</v>
      </c>
      <c r="AA202" s="3485"/>
      <c r="AB202" s="463"/>
      <c r="AC202" s="463"/>
    </row>
    <row r="203" spans="18:29" ht="18.95" customHeight="1">
      <c r="R203" s="463"/>
      <c r="S203" s="463"/>
      <c r="T203" s="3486"/>
      <c r="U203" s="3487"/>
      <c r="V203" s="1053"/>
      <c r="W203" s="1054"/>
      <c r="X203" s="1054"/>
      <c r="Y203" s="1055"/>
      <c r="Z203" s="3486"/>
      <c r="AA203" s="3487"/>
      <c r="AB203" s="463"/>
      <c r="AC203" s="463"/>
    </row>
    <row r="204" spans="18:29" ht="18.95" customHeight="1">
      <c r="R204" s="463"/>
      <c r="S204" s="463"/>
      <c r="T204" s="3488"/>
      <c r="U204" s="3489"/>
      <c r="V204" s="1056"/>
      <c r="W204" s="1056"/>
      <c r="X204" s="1056"/>
      <c r="Y204" s="1056"/>
      <c r="Z204" s="3488"/>
      <c r="AA204" s="3489"/>
      <c r="AB204" s="463"/>
      <c r="AC204" s="463"/>
    </row>
    <row r="205" spans="18:29" ht="18.95" customHeight="1">
      <c r="R205" s="463"/>
      <c r="S205" s="463"/>
      <c r="T205" s="736"/>
      <c r="U205" s="736"/>
      <c r="V205" s="1058"/>
      <c r="W205" s="1056"/>
      <c r="X205" s="1056"/>
      <c r="Y205" s="1059"/>
      <c r="Z205" s="463"/>
      <c r="AA205" s="736"/>
      <c r="AB205" s="463"/>
      <c r="AC205" s="463"/>
    </row>
    <row r="206" spans="18:29" ht="18.95" customHeight="1">
      <c r="R206" s="463"/>
      <c r="S206" s="463"/>
      <c r="T206" s="736"/>
      <c r="U206" s="736"/>
      <c r="V206" s="1058"/>
      <c r="W206" s="1056"/>
      <c r="X206" s="1056"/>
      <c r="Y206" s="1059"/>
      <c r="Z206" s="463"/>
      <c r="AA206" s="736"/>
      <c r="AB206" s="463"/>
      <c r="AC206" s="463"/>
    </row>
    <row r="207" spans="18:29" ht="18.95" customHeight="1">
      <c r="R207" s="463"/>
      <c r="S207" s="463"/>
      <c r="T207" s="463"/>
      <c r="U207" s="463"/>
      <c r="V207" s="1060"/>
      <c r="W207" s="1056"/>
      <c r="X207" s="1056"/>
      <c r="Y207" s="1061"/>
      <c r="Z207" s="463"/>
      <c r="AA207" s="463"/>
      <c r="AB207" s="463"/>
      <c r="AC207" s="463"/>
    </row>
    <row r="208" spans="18:29" ht="18.95" customHeight="1">
      <c r="R208" s="3484">
        <v>3</v>
      </c>
      <c r="S208" s="3485"/>
      <c r="T208" s="1062"/>
      <c r="U208" s="3484">
        <v>4</v>
      </c>
      <c r="V208" s="3485"/>
      <c r="W208" s="1052"/>
      <c r="X208" s="1052"/>
      <c r="Y208" s="3484">
        <v>5</v>
      </c>
      <c r="Z208" s="3485"/>
      <c r="AA208" s="1062"/>
      <c r="AB208" s="3484">
        <v>6</v>
      </c>
      <c r="AC208" s="3485"/>
    </row>
    <row r="209" spans="18:29" ht="18.95" customHeight="1">
      <c r="R209" s="3486"/>
      <c r="S209" s="3487"/>
      <c r="T209" s="1075"/>
      <c r="U209" s="3486"/>
      <c r="V209" s="3487"/>
      <c r="W209" s="1076"/>
      <c r="X209" s="1077"/>
      <c r="Y209" s="3486"/>
      <c r="Z209" s="3487"/>
      <c r="AA209" s="1075"/>
      <c r="AB209" s="3486"/>
      <c r="AC209" s="3487"/>
    </row>
    <row r="210" spans="18:29" ht="18.95" customHeight="1">
      <c r="R210" s="3488"/>
      <c r="S210" s="3489"/>
      <c r="U210" s="3488"/>
      <c r="V210" s="3489"/>
      <c r="W210" s="1089"/>
      <c r="X210" s="1089"/>
      <c r="Y210" s="3488"/>
      <c r="Z210" s="3489"/>
      <c r="AB210" s="3488"/>
      <c r="AC210" s="3489"/>
    </row>
    <row r="211" spans="18:29" ht="18.95" customHeight="1">
      <c r="V211" s="1091"/>
      <c r="W211" s="1089"/>
      <c r="X211" s="1089"/>
      <c r="Y211" s="1089"/>
      <c r="Z211" s="1092"/>
    </row>
    <row r="212" spans="18:29" ht="18.95" customHeight="1">
      <c r="R212" s="3484">
        <v>7</v>
      </c>
      <c r="S212" s="3485"/>
      <c r="T212" s="437"/>
      <c r="U212" s="3484">
        <v>8</v>
      </c>
      <c r="V212" s="3485"/>
      <c r="W212" s="1093"/>
      <c r="X212" s="1093"/>
      <c r="Y212" s="3484">
        <v>9</v>
      </c>
      <c r="Z212" s="3485"/>
      <c r="AA212" s="437"/>
      <c r="AB212" s="3484">
        <v>10</v>
      </c>
      <c r="AC212" s="3485"/>
    </row>
    <row r="213" spans="18:29" ht="18.95" customHeight="1">
      <c r="R213" s="3486"/>
      <c r="S213" s="3487"/>
      <c r="T213" s="1075"/>
      <c r="U213" s="3486"/>
      <c r="V213" s="3487"/>
      <c r="W213" s="1076"/>
      <c r="X213" s="1077"/>
      <c r="Y213" s="3486"/>
      <c r="Z213" s="3487"/>
      <c r="AA213" s="1075"/>
      <c r="AB213" s="3486"/>
      <c r="AC213" s="3487"/>
    </row>
    <row r="214" spans="18:29" ht="18.95" customHeight="1">
      <c r="R214" s="3488"/>
      <c r="S214" s="3489"/>
      <c r="U214" s="3488"/>
      <c r="V214" s="3489"/>
      <c r="W214" s="1089"/>
      <c r="X214" s="1089"/>
      <c r="Y214" s="3488"/>
      <c r="Z214" s="3489"/>
      <c r="AB214" s="3488"/>
      <c r="AC214" s="3489"/>
    </row>
    <row r="215" spans="18:29" ht="18.95" customHeight="1" thickBot="1">
      <c r="V215" s="1094"/>
      <c r="W215" s="1095"/>
      <c r="X215" s="1095"/>
      <c r="Y215" s="1096"/>
    </row>
    <row r="216" spans="18:29" ht="18.95" customHeight="1" thickTop="1"/>
    <row r="217" spans="18:29" ht="18.95" customHeight="1"/>
    <row r="218" spans="18:29" ht="18.95" customHeight="1" thickBot="1">
      <c r="R218" s="463"/>
      <c r="S218" s="463"/>
      <c r="T218" s="463"/>
      <c r="U218" s="463"/>
      <c r="V218" s="463"/>
      <c r="W218" s="463"/>
      <c r="X218" s="463"/>
      <c r="Y218" s="463"/>
      <c r="Z218" s="463"/>
      <c r="AA218" s="463"/>
      <c r="AB218" s="463"/>
      <c r="AC218" s="463"/>
    </row>
    <row r="219" spans="18:29" ht="18.95" customHeight="1" thickTop="1">
      <c r="R219" s="463"/>
      <c r="S219" s="463"/>
      <c r="T219" s="463"/>
      <c r="U219" s="463"/>
      <c r="V219" s="1049"/>
      <c r="W219" s="1050"/>
      <c r="X219" s="1050"/>
      <c r="Y219" s="1051"/>
      <c r="Z219" s="463"/>
      <c r="AA219" s="463"/>
      <c r="AB219" s="463"/>
      <c r="AC219" s="463"/>
    </row>
    <row r="220" spans="18:29" ht="18.95" customHeight="1">
      <c r="R220" s="463"/>
      <c r="S220" s="463"/>
      <c r="T220" s="3484">
        <v>1</v>
      </c>
      <c r="U220" s="3485"/>
      <c r="V220" s="1052"/>
      <c r="W220" s="1052"/>
      <c r="X220" s="1052"/>
      <c r="Y220" s="1052"/>
      <c r="Z220" s="3484">
        <v>2</v>
      </c>
      <c r="AA220" s="3485"/>
      <c r="AB220" s="463"/>
      <c r="AC220" s="463"/>
    </row>
    <row r="221" spans="18:29" ht="18.95" customHeight="1">
      <c r="R221" s="463"/>
      <c r="S221" s="463"/>
      <c r="T221" s="3486"/>
      <c r="U221" s="3487"/>
      <c r="V221" s="1053"/>
      <c r="W221" s="1054"/>
      <c r="X221" s="1054"/>
      <c r="Y221" s="1055"/>
      <c r="Z221" s="3486"/>
      <c r="AA221" s="3487"/>
      <c r="AB221" s="463"/>
      <c r="AC221" s="463"/>
    </row>
    <row r="222" spans="18:29" ht="18.95" customHeight="1">
      <c r="R222" s="463"/>
      <c r="S222" s="463"/>
      <c r="T222" s="3488"/>
      <c r="U222" s="3489"/>
      <c r="V222" s="1056"/>
      <c r="W222" s="1056"/>
      <c r="X222" s="1056"/>
      <c r="Y222" s="1056"/>
      <c r="Z222" s="3488"/>
      <c r="AA222" s="3489"/>
      <c r="AB222" s="463"/>
      <c r="AC222" s="463"/>
    </row>
    <row r="223" spans="18:29" ht="18.95" customHeight="1">
      <c r="R223" s="463"/>
      <c r="S223" s="463"/>
      <c r="T223" s="736"/>
      <c r="U223" s="736"/>
      <c r="V223" s="1058"/>
      <c r="W223" s="1056"/>
      <c r="X223" s="1056"/>
      <c r="Y223" s="1059"/>
      <c r="Z223" s="463"/>
      <c r="AA223" s="736"/>
      <c r="AB223" s="463"/>
      <c r="AC223" s="463"/>
    </row>
    <row r="224" spans="18:29" ht="18.95" customHeight="1">
      <c r="R224" s="463"/>
      <c r="S224" s="463"/>
      <c r="T224" s="736"/>
      <c r="U224" s="736"/>
      <c r="V224" s="1058"/>
      <c r="W224" s="1056"/>
      <c r="X224" s="1056"/>
      <c r="Y224" s="1059"/>
      <c r="Z224" s="463"/>
      <c r="AA224" s="736"/>
      <c r="AB224" s="463"/>
      <c r="AC224" s="463"/>
    </row>
    <row r="225" spans="18:29" ht="18.95" customHeight="1">
      <c r="R225" s="463"/>
      <c r="S225" s="463"/>
      <c r="T225" s="463"/>
      <c r="U225" s="463"/>
      <c r="V225" s="1060"/>
      <c r="W225" s="1056"/>
      <c r="X225" s="1056"/>
      <c r="Y225" s="1061"/>
      <c r="Z225" s="463"/>
      <c r="AA225" s="463"/>
      <c r="AB225" s="463"/>
      <c r="AC225" s="463"/>
    </row>
    <row r="226" spans="18:29" ht="18.95" customHeight="1">
      <c r="R226" s="3484">
        <v>3</v>
      </c>
      <c r="S226" s="3485"/>
      <c r="T226" s="1062"/>
      <c r="U226" s="3484">
        <v>4</v>
      </c>
      <c r="V226" s="3485"/>
      <c r="W226" s="1052"/>
      <c r="X226" s="1052"/>
      <c r="Y226" s="3484">
        <v>5</v>
      </c>
      <c r="Z226" s="3485"/>
      <c r="AA226" s="1062"/>
      <c r="AB226" s="3484">
        <v>6</v>
      </c>
      <c r="AC226" s="3485"/>
    </row>
    <row r="227" spans="18:29" ht="18.95" customHeight="1">
      <c r="R227" s="3486"/>
      <c r="S227" s="3487"/>
      <c r="T227" s="1075"/>
      <c r="U227" s="3486"/>
      <c r="V227" s="3487"/>
      <c r="W227" s="1076"/>
      <c r="X227" s="1077"/>
      <c r="Y227" s="3486"/>
      <c r="Z227" s="3487"/>
      <c r="AA227" s="1075"/>
      <c r="AB227" s="3486"/>
      <c r="AC227" s="3487"/>
    </row>
    <row r="228" spans="18:29" ht="18.95" customHeight="1">
      <c r="R228" s="3488"/>
      <c r="S228" s="3489"/>
      <c r="U228" s="3488"/>
      <c r="V228" s="3489"/>
      <c r="W228" s="1089"/>
      <c r="X228" s="1089"/>
      <c r="Y228" s="3488"/>
      <c r="Z228" s="3489"/>
      <c r="AB228" s="3488"/>
      <c r="AC228" s="3489"/>
    </row>
    <row r="229" spans="18:29" ht="18.95" customHeight="1">
      <c r="V229" s="1091"/>
      <c r="W229" s="1089"/>
      <c r="X229" s="1089"/>
      <c r="Y229" s="1089"/>
      <c r="Z229" s="1092"/>
    </row>
    <row r="230" spans="18:29" ht="18.95" customHeight="1">
      <c r="R230" s="3484">
        <v>7</v>
      </c>
      <c r="S230" s="3485"/>
      <c r="T230" s="437"/>
      <c r="U230" s="3484">
        <v>8</v>
      </c>
      <c r="V230" s="3485"/>
      <c r="W230" s="1093"/>
      <c r="X230" s="1093"/>
      <c r="Y230" s="3484">
        <v>9</v>
      </c>
      <c r="Z230" s="3485"/>
      <c r="AA230" s="437"/>
      <c r="AB230" s="3484">
        <v>10</v>
      </c>
      <c r="AC230" s="3485"/>
    </row>
    <row r="231" spans="18:29" ht="18.95" customHeight="1">
      <c r="R231" s="3486"/>
      <c r="S231" s="3487"/>
      <c r="T231" s="1075"/>
      <c r="U231" s="3486"/>
      <c r="V231" s="3487"/>
      <c r="W231" s="1076"/>
      <c r="X231" s="1077"/>
      <c r="Y231" s="3486"/>
      <c r="Z231" s="3487"/>
      <c r="AA231" s="1075"/>
      <c r="AB231" s="3486"/>
      <c r="AC231" s="3487"/>
    </row>
    <row r="232" spans="18:29" ht="18.95" customHeight="1">
      <c r="R232" s="3488"/>
      <c r="S232" s="3489"/>
      <c r="U232" s="3488"/>
      <c r="V232" s="3489"/>
      <c r="W232" s="1089"/>
      <c r="X232" s="1089"/>
      <c r="Y232" s="3488"/>
      <c r="Z232" s="3489"/>
      <c r="AB232" s="3488"/>
      <c r="AC232" s="3489"/>
    </row>
    <row r="233" spans="18:29" ht="18.95" customHeight="1" thickBot="1">
      <c r="V233" s="1094"/>
      <c r="W233" s="1095"/>
      <c r="X233" s="1095"/>
      <c r="Y233" s="1096"/>
    </row>
    <row r="234" spans="18:29" ht="18.95" customHeight="1" thickTop="1"/>
    <row r="235" spans="18:29" ht="18.95" customHeight="1"/>
    <row r="236" spans="18:29" ht="18.95" customHeight="1"/>
    <row r="237" spans="18:29" ht="18.95" customHeight="1"/>
    <row r="238" spans="18:29" ht="18.95" customHeight="1"/>
    <row r="239" spans="18:29" ht="18.95" customHeight="1"/>
    <row r="240" spans="18:29" ht="18.95" customHeight="1"/>
    <row r="241" ht="18.95" customHeight="1"/>
    <row r="242" ht="18.95" customHeight="1"/>
    <row r="243" ht="18.95" customHeight="1"/>
    <row r="244" ht="18.95" customHeight="1"/>
    <row r="245" ht="18.95" customHeight="1"/>
    <row r="246" ht="18.95" customHeight="1"/>
    <row r="247" ht="18.95" customHeight="1"/>
    <row r="248" ht="18.95" customHeight="1"/>
    <row r="249" ht="18.95" customHeight="1"/>
    <row r="250" ht="18.95" customHeight="1"/>
    <row r="251" ht="18.95" customHeight="1"/>
    <row r="252" ht="18.95" customHeight="1"/>
    <row r="253" ht="18.95" customHeight="1"/>
    <row r="254" ht="18.95" customHeight="1"/>
    <row r="255" ht="18.95" customHeight="1"/>
    <row r="256" ht="18.95" customHeight="1"/>
    <row r="257" ht="18.95" customHeight="1"/>
    <row r="258" ht="18.95" customHeight="1"/>
    <row r="259" ht="18.95" customHeight="1"/>
    <row r="260" ht="18.95" customHeight="1"/>
    <row r="261" ht="18.95" customHeight="1"/>
    <row r="262" ht="18.95" customHeight="1"/>
    <row r="263" ht="18.95" customHeight="1"/>
    <row r="264" ht="18.95" customHeight="1"/>
    <row r="265" ht="18.95" customHeight="1"/>
    <row r="266" ht="18.95" customHeight="1"/>
    <row r="267" ht="18.95" customHeight="1"/>
    <row r="268" ht="18.95" customHeight="1"/>
    <row r="269" ht="18.95" customHeight="1"/>
    <row r="270" ht="18.95" customHeight="1"/>
    <row r="271" ht="18.95" customHeight="1"/>
    <row r="272" ht="18.95" customHeight="1"/>
    <row r="273" ht="18.95" customHeight="1"/>
    <row r="274" ht="18.95" customHeight="1"/>
    <row r="275" ht="18.95" customHeight="1"/>
  </sheetData>
  <mergeCells count="97">
    <mergeCell ref="N8:O8"/>
    <mergeCell ref="D10:D21"/>
    <mergeCell ref="E10:E11"/>
    <mergeCell ref="N23:O23"/>
    <mergeCell ref="D25:D36"/>
    <mergeCell ref="N38:O38"/>
    <mergeCell ref="D40:D51"/>
    <mergeCell ref="D55:D66"/>
    <mergeCell ref="N53:O53"/>
    <mergeCell ref="D70:D81"/>
    <mergeCell ref="N68:O68"/>
    <mergeCell ref="N84:O84"/>
    <mergeCell ref="R140:S142"/>
    <mergeCell ref="D107:D121"/>
    <mergeCell ref="D86:D105"/>
    <mergeCell ref="D123:D138"/>
    <mergeCell ref="R115:S117"/>
    <mergeCell ref="R98:S100"/>
    <mergeCell ref="R119:S121"/>
    <mergeCell ref="D151:D158"/>
    <mergeCell ref="T88:U90"/>
    <mergeCell ref="U94:V96"/>
    <mergeCell ref="R94:S96"/>
    <mergeCell ref="D140:D149"/>
    <mergeCell ref="T129:U131"/>
    <mergeCell ref="R135:S137"/>
    <mergeCell ref="T148:U150"/>
    <mergeCell ref="U98:V100"/>
    <mergeCell ref="R158:S160"/>
    <mergeCell ref="R154:S156"/>
    <mergeCell ref="U154:V156"/>
    <mergeCell ref="U158:V160"/>
    <mergeCell ref="Z88:AA90"/>
    <mergeCell ref="AB98:AC100"/>
    <mergeCell ref="Y119:Z121"/>
    <mergeCell ref="AB115:AC117"/>
    <mergeCell ref="AB119:AC121"/>
    <mergeCell ref="Y98:Z100"/>
    <mergeCell ref="Y94:Z96"/>
    <mergeCell ref="AB94:AC96"/>
    <mergeCell ref="Z109:AA111"/>
    <mergeCell ref="Y154:Z156"/>
    <mergeCell ref="AB154:AC156"/>
    <mergeCell ref="T109:U111"/>
    <mergeCell ref="U119:V121"/>
    <mergeCell ref="U115:V117"/>
    <mergeCell ref="Z148:AA150"/>
    <mergeCell ref="Y135:Z137"/>
    <mergeCell ref="Y140:Z142"/>
    <mergeCell ref="Z129:AA131"/>
    <mergeCell ref="U135:V137"/>
    <mergeCell ref="Y115:Z117"/>
    <mergeCell ref="U140:V142"/>
    <mergeCell ref="AB140:AC142"/>
    <mergeCell ref="AB135:AC137"/>
    <mergeCell ref="Y158:Z160"/>
    <mergeCell ref="AB158:AC160"/>
    <mergeCell ref="R176:S178"/>
    <mergeCell ref="R172:S174"/>
    <mergeCell ref="U172:V174"/>
    <mergeCell ref="Y172:Z174"/>
    <mergeCell ref="Y176:Z178"/>
    <mergeCell ref="U176:V178"/>
    <mergeCell ref="T166:U168"/>
    <mergeCell ref="Z166:AA168"/>
    <mergeCell ref="AB172:AC174"/>
    <mergeCell ref="R212:S214"/>
    <mergeCell ref="U212:V214"/>
    <mergeCell ref="Y212:Z214"/>
    <mergeCell ref="R194:S196"/>
    <mergeCell ref="R190:S192"/>
    <mergeCell ref="U190:V192"/>
    <mergeCell ref="Y208:Z210"/>
    <mergeCell ref="T202:U204"/>
    <mergeCell ref="Z202:AA204"/>
    <mergeCell ref="U208:V210"/>
    <mergeCell ref="R208:S210"/>
    <mergeCell ref="T220:U222"/>
    <mergeCell ref="Z220:AA222"/>
    <mergeCell ref="R226:S228"/>
    <mergeCell ref="U226:V228"/>
    <mergeCell ref="Y226:Z228"/>
    <mergeCell ref="R230:S232"/>
    <mergeCell ref="U230:V232"/>
    <mergeCell ref="Y230:Z232"/>
    <mergeCell ref="AB230:AC232"/>
    <mergeCell ref="AB226:AC228"/>
    <mergeCell ref="T184:U186"/>
    <mergeCell ref="AB176:AC178"/>
    <mergeCell ref="Z184:AA186"/>
    <mergeCell ref="AB212:AC214"/>
    <mergeCell ref="AB208:AC210"/>
    <mergeCell ref="AB194:AC196"/>
    <mergeCell ref="AB190:AC192"/>
    <mergeCell ref="U194:V196"/>
    <mergeCell ref="Y194:Z196"/>
    <mergeCell ref="Y190:Z192"/>
  </mergeCells>
  <phoneticPr fontId="0" type="noConversion"/>
  <printOptions horizontalCentered="1" verticalCentered="1"/>
  <pageMargins left="0.75" right="0.75" top="1" bottom="1" header="0" footer="0"/>
  <pageSetup paperSize="9" scale="13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8"/>
  <sheetViews>
    <sheetView workbookViewId="0">
      <selection activeCell="G15" sqref="G15"/>
    </sheetView>
  </sheetViews>
  <sheetFormatPr baseColWidth="10" defaultRowHeight="12.75"/>
  <cols>
    <col min="2" max="2" width="5.28515625" customWidth="1"/>
    <col min="3" max="3" width="32.5703125" bestFit="1" customWidth="1"/>
    <col min="4" max="4" width="7.7109375" customWidth="1"/>
    <col min="5" max="5" width="4.7109375" bestFit="1" customWidth="1"/>
    <col min="6" max="6" width="6.5703125" bestFit="1" customWidth="1"/>
    <col min="7" max="7" width="7.7109375" customWidth="1"/>
    <col min="8" max="8" width="4.7109375" bestFit="1" customWidth="1"/>
    <col min="9" max="9" width="6.5703125" bestFit="1" customWidth="1"/>
    <col min="10" max="10" width="14" bestFit="1" customWidth="1"/>
  </cols>
  <sheetData>
    <row r="3" spans="1:10">
      <c r="H3" s="3090"/>
    </row>
    <row r="4" spans="1:10" ht="15">
      <c r="B4" s="3108" t="s">
        <v>3760</v>
      </c>
    </row>
    <row r="5" spans="1:10">
      <c r="B5" t="s">
        <v>3741</v>
      </c>
    </row>
    <row r="6" spans="1:10" ht="13.5" thickBot="1">
      <c r="B6" s="1238" t="s">
        <v>3742</v>
      </c>
    </row>
    <row r="7" spans="1:10">
      <c r="B7" s="3544" t="s">
        <v>3749</v>
      </c>
      <c r="C7" s="3545"/>
      <c r="D7" s="3109" t="s">
        <v>471</v>
      </c>
      <c r="E7" s="3546" t="s">
        <v>3751</v>
      </c>
      <c r="F7" s="3539" t="s">
        <v>3753</v>
      </c>
      <c r="G7" s="3109" t="s">
        <v>3750</v>
      </c>
      <c r="H7" s="3546" t="s">
        <v>3751</v>
      </c>
      <c r="I7" s="3546" t="s">
        <v>3753</v>
      </c>
      <c r="J7" s="3542" t="s">
        <v>571</v>
      </c>
    </row>
    <row r="8" spans="1:10" ht="13.5" thickBot="1">
      <c r="A8" s="3090" t="s">
        <v>3590</v>
      </c>
      <c r="B8" s="3371"/>
      <c r="C8" s="3372"/>
      <c r="D8" s="3110" t="s">
        <v>3752</v>
      </c>
      <c r="E8" s="3547"/>
      <c r="F8" s="3541"/>
      <c r="G8" s="3110" t="s">
        <v>3754</v>
      </c>
      <c r="H8" s="3547"/>
      <c r="I8" s="3547"/>
      <c r="J8" s="3543"/>
    </row>
    <row r="9" spans="1:10" ht="15">
      <c r="B9" s="3100" t="s">
        <v>3743</v>
      </c>
      <c r="C9" s="962" t="s">
        <v>3746</v>
      </c>
      <c r="D9" s="3093">
        <f>56.7796610169492*$F$13</f>
        <v>186.66313559322049</v>
      </c>
      <c r="E9" s="3091">
        <v>0.75</v>
      </c>
      <c r="F9" s="3094">
        <f>+D9*E9</f>
        <v>139.99735169491538</v>
      </c>
      <c r="G9" s="3093">
        <f>161.0169*$F$13</f>
        <v>529.34305874999995</v>
      </c>
      <c r="H9" s="3091">
        <v>0.65</v>
      </c>
      <c r="I9" s="3092">
        <f>+G9*H9</f>
        <v>344.07298818749996</v>
      </c>
      <c r="J9" s="3099">
        <f>+I9+F9</f>
        <v>484.07033988241534</v>
      </c>
    </row>
    <row r="10" spans="1:10" ht="15">
      <c r="B10" s="3102" t="s">
        <v>3744</v>
      </c>
      <c r="C10" s="2847" t="s">
        <v>3747</v>
      </c>
      <c r="D10" s="3103">
        <f>56.7796610169492*$F$13</f>
        <v>186.66313559322049</v>
      </c>
      <c r="E10" s="3104">
        <v>0.75</v>
      </c>
      <c r="F10" s="3105">
        <f>+D10*E10</f>
        <v>139.99735169491538</v>
      </c>
      <c r="G10" s="3103">
        <f>207.6271*$F$13</f>
        <v>682.57409125000004</v>
      </c>
      <c r="H10" s="3104">
        <v>0.8</v>
      </c>
      <c r="I10" s="3106">
        <f>+G10*H10</f>
        <v>546.05927300000008</v>
      </c>
      <c r="J10" s="3107">
        <f>+I10+F10</f>
        <v>686.0566246949154</v>
      </c>
    </row>
    <row r="11" spans="1:10" ht="15.75" thickBot="1">
      <c r="B11" s="3101" t="s">
        <v>3745</v>
      </c>
      <c r="C11" s="1111" t="s">
        <v>3748</v>
      </c>
      <c r="D11" s="3095">
        <f>56.7796610169492*$F$13</f>
        <v>186.66313559322049</v>
      </c>
      <c r="E11" s="3096">
        <v>0.75</v>
      </c>
      <c r="F11" s="3097">
        <f>+D11*E11</f>
        <v>139.99735169491538</v>
      </c>
      <c r="G11" s="3095">
        <f>207.6271*$F$13</f>
        <v>682.57409125000004</v>
      </c>
      <c r="H11" s="3096">
        <v>0.85</v>
      </c>
      <c r="I11" s="3098">
        <f>+G11*H11</f>
        <v>580.18797756250001</v>
      </c>
      <c r="J11" s="3099">
        <f>+I11+F11</f>
        <v>720.18532925741533</v>
      </c>
    </row>
    <row r="12" spans="1:10" ht="16.5" thickBot="1">
      <c r="G12" s="2037"/>
      <c r="I12" s="2037"/>
      <c r="J12" s="3115">
        <f>SUM(J9:J11)</f>
        <v>1890.312293834746</v>
      </c>
    </row>
    <row r="13" spans="1:10" ht="13.5" thickBot="1">
      <c r="D13" s="3111" t="s">
        <v>3755</v>
      </c>
      <c r="E13" s="2847"/>
      <c r="F13" s="2848">
        <f>+(3.285+3.29)/2</f>
        <v>3.2875000000000001</v>
      </c>
    </row>
    <row r="14" spans="1:10">
      <c r="B14" s="3538" t="s">
        <v>3756</v>
      </c>
      <c r="C14" s="3539"/>
    </row>
    <row r="15" spans="1:10" ht="13.5" thickBot="1">
      <c r="B15" s="3540"/>
      <c r="C15" s="3541"/>
    </row>
    <row r="16" spans="1:10">
      <c r="B16" s="3100" t="s">
        <v>3743</v>
      </c>
      <c r="C16" s="3112" t="s">
        <v>3757</v>
      </c>
    </row>
    <row r="17" spans="2:3">
      <c r="B17" s="3102" t="s">
        <v>3744</v>
      </c>
      <c r="C17" s="3113" t="s">
        <v>3758</v>
      </c>
    </row>
    <row r="18" spans="2:3" ht="13.5" thickBot="1">
      <c r="B18" s="3101" t="s">
        <v>3745</v>
      </c>
      <c r="C18" s="3114" t="s">
        <v>3759</v>
      </c>
    </row>
  </sheetData>
  <mergeCells count="7">
    <mergeCell ref="B14:C15"/>
    <mergeCell ref="J7:J8"/>
    <mergeCell ref="B7:C8"/>
    <mergeCell ref="F7:F8"/>
    <mergeCell ref="I7:I8"/>
    <mergeCell ref="E7:E8"/>
    <mergeCell ref="H7:H8"/>
  </mergeCells>
  <pageMargins left="0.7" right="0.7" top="0.75" bottom="0.75" header="0.3" footer="0.3"/>
  <pageSetup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9</vt:i4>
      </vt:variant>
    </vt:vector>
  </HeadingPairs>
  <TitlesOfParts>
    <vt:vector size="16" baseType="lpstr">
      <vt:lpstr>Reencauchadas</vt:lpstr>
      <vt:lpstr>Compras</vt:lpstr>
      <vt:lpstr>Nuevas</vt:lpstr>
      <vt:lpstr>Distrb_Llant</vt:lpstr>
      <vt:lpstr>Usadas</vt:lpstr>
      <vt:lpstr>Nuevas (Resumen)</vt:lpstr>
      <vt:lpstr>Hoja1</vt:lpstr>
      <vt:lpstr>Compras!Área_de_impresión</vt:lpstr>
      <vt:lpstr>Distrb_Llant!Área_de_impresión</vt:lpstr>
      <vt:lpstr>Nuevas!Área_de_impresión</vt:lpstr>
      <vt:lpstr>'Nuevas (Resumen)'!Área_de_impresión</vt:lpstr>
      <vt:lpstr>Reencauchadas!Área_de_impresión</vt:lpstr>
      <vt:lpstr>Compras!Títulos_a_imprimir</vt:lpstr>
      <vt:lpstr>Nuevas!Títulos_a_imprimir</vt:lpstr>
      <vt:lpstr>'Nuevas (Resumen)'!Títulos_a_imprimir</vt:lpstr>
      <vt:lpstr>Reencauchadas!Títulos_a_imprimir</vt:lpstr>
    </vt:vector>
  </TitlesOfParts>
  <Company>Transporte Comercial y Seguro Takushi SAC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CesarQ</dc:creator>
  <cp:lastModifiedBy>CesarQ</cp:lastModifiedBy>
  <cp:lastPrinted>2019-11-09T17:00:45Z</cp:lastPrinted>
  <dcterms:created xsi:type="dcterms:W3CDTF">2016-01-12T20:51:40Z</dcterms:created>
  <dcterms:modified xsi:type="dcterms:W3CDTF">2020-03-05T20:56:14Z</dcterms:modified>
</cp:coreProperties>
</file>